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drawings/drawing1.xml" ContentType="application/vnd.openxmlformats-officedocument.drawing+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202300"/>
  <mc:AlternateContent xmlns:mc="http://schemas.openxmlformats.org/markup-compatibility/2006">
    <mc:Choice Requires="x15">
      <x15ac:absPath xmlns:x15ac="http://schemas.microsoft.com/office/spreadsheetml/2010/11/ac" url="https://rochdalespearsco.sharepoint.com/sites/Commercial/Product Development/General/Hospitality/1.0 SALE_FORECAST/"/>
    </mc:Choice>
  </mc:AlternateContent>
  <xr:revisionPtr revIDLastSave="7318" documentId="120_S{93395621-8F34-5D67-AF1F-4EAE84FDB54D}" xr6:coauthVersionLast="47" xr6:coauthVersionMax="47" xr10:uidLastSave="{8666A4F7-1843-4B59-A130-68D1DBF892D9}"/>
  <bookViews>
    <workbookView minimized="1" xWindow="1812" yWindow="1812" windowWidth="17280" windowHeight="8880" tabRatio="763" firstSheet="1" activeTab="6"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2026" sheetId="60" r:id="rId6"/>
    <sheet name="2027" sheetId="61" r:id="rId7"/>
    <sheet name="PROTOTYPE" sheetId="57" r:id="rId8"/>
    <sheet name="BE" sheetId="58" r:id="rId9"/>
    <sheet name="OVERVIEW" sheetId="62" r:id="rId10"/>
    <sheet name="PIC" sheetId="59" r:id="rId11"/>
    <sheet name="CUS VALUE" sheetId="50" r:id="rId12"/>
    <sheet name="RH PIC" sheetId="52" state="hidden" r:id="rId13"/>
    <sheet name="Customer " sheetId="35" r:id="rId14"/>
    <sheet name="Detail" sheetId="12" state="hidden" r:id="rId15"/>
    <sheet name="STAGE DEFINITION" sheetId="20" state="hidden" r:id="rId16"/>
    <sheet name="2026 Calendar" sheetId="9" r:id="rId17"/>
    <sheet name="NPD Analysis" sheetId="64" r:id="rId18"/>
    <sheet name="Sheet1" sheetId="63" r:id="rId19"/>
    <sheet name="Folder structure" sheetId="47" state="hidden" r:id="rId20"/>
    <sheet name="Drop list" sheetId="8" r:id="rId21"/>
    <sheet name="Sheet2" sheetId="54" state="hidden" r:id="rId22"/>
    <sheet name="BACK SCHEDULE" sheetId="51" state="hidden" r:id="rId23"/>
    <sheet name="PDHS" sheetId="37" state="hidden" r:id="rId24"/>
    <sheet name="PIC Summary" sheetId="49" state="hidden" r:id="rId25"/>
  </sheets>
  <definedNames>
    <definedName name="_xlnm._FilterDatabase" localSheetId="16" hidden="1">'2026 Calendar'!$A$2:$H$55</definedName>
    <definedName name="_xlnm._FilterDatabase" localSheetId="13" hidden="1">'Customer '!$A$3:$D$26</definedName>
    <definedName name="_xlnm._FilterDatabase" localSheetId="14"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3" hidden="1">PDHS!$A$1:$B$5</definedName>
  </definedNames>
  <calcPr calcId="191028"/>
  <pivotCaches>
    <pivotCache cacheId="78" r:id="rId26"/>
    <pivotCache cacheId="79" r:id="rId2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7" i="46" l="1"/>
  <c r="F207" i="46"/>
  <c r="H207" i="46" s="1"/>
  <c r="AA207" i="46"/>
  <c r="AF207" i="46"/>
  <c r="AG207" i="46"/>
  <c r="BC207" i="46"/>
  <c r="BE207" i="46"/>
  <c r="A208" i="46"/>
  <c r="F208" i="46"/>
  <c r="H208" i="46" s="1"/>
  <c r="AA208" i="46"/>
  <c r="AF208" i="46"/>
  <c r="AG208" i="46"/>
  <c r="BE208" i="46" s="1"/>
  <c r="BC208" i="46"/>
  <c r="I209" i="46"/>
  <c r="A118" i="46"/>
  <c r="F118" i="46"/>
  <c r="H118" i="46" s="1"/>
  <c r="AA118" i="46"/>
  <c r="AF118" i="46"/>
  <c r="AG118" i="46"/>
  <c r="BE118" i="46" s="1"/>
  <c r="BC118" i="46"/>
  <c r="AA206" i="46"/>
  <c r="A206" i="46"/>
  <c r="F206" i="46"/>
  <c r="H206" i="46" s="1"/>
  <c r="AF206" i="46"/>
  <c r="AG206" i="46"/>
  <c r="BC206" i="46"/>
  <c r="BE206" i="46"/>
  <c r="A205" i="46"/>
  <c r="F205" i="46"/>
  <c r="H205" i="46" s="1"/>
  <c r="AA205" i="46"/>
  <c r="BC205" i="46"/>
  <c r="A195" i="46"/>
  <c r="F195" i="46"/>
  <c r="H195" i="46" s="1"/>
  <c r="AA195" i="46"/>
  <c r="AF195" i="46"/>
  <c r="AG195" i="46"/>
  <c r="BE195" i="46" s="1"/>
  <c r="BC195" i="46"/>
  <c r="A204" i="46"/>
  <c r="F204" i="46"/>
  <c r="H204" i="46" s="1"/>
  <c r="AA204" i="46"/>
  <c r="AF204" i="46"/>
  <c r="AG204" i="46"/>
  <c r="BE204" i="46" s="1"/>
  <c r="BC204" i="46"/>
  <c r="A34" i="46"/>
  <c r="F34" i="46"/>
  <c r="H34" i="46" s="1"/>
  <c r="AA34" i="46"/>
  <c r="AF34" i="46"/>
  <c r="AG34" i="46"/>
  <c r="BE34" i="46" s="1"/>
  <c r="BC34" i="46"/>
  <c r="I53" i="64" a="1"/>
  <c r="I51" i="64" a="1"/>
  <c r="I50" i="64" a="1"/>
  <c r="I49" i="64" a="1"/>
  <c r="I48" i="64" a="1"/>
  <c r="H53" i="64" a="1"/>
  <c r="H52" i="64" a="1"/>
  <c r="H51" i="64" a="1"/>
  <c r="H50" i="64" a="1"/>
  <c r="H49" i="64" a="1"/>
  <c r="H48" i="64" a="1"/>
  <c r="F53" i="64" a="1"/>
  <c r="F52" i="64" a="1"/>
  <c r="F51" i="64" a="1"/>
  <c r="F50" i="64" a="1"/>
  <c r="F49" i="64" a="1"/>
  <c r="F48" i="64" a="1"/>
  <c r="E53" i="64" a="1"/>
  <c r="E52" i="64" a="1"/>
  <c r="E51" i="64" a="1"/>
  <c r="E50" i="64" a="1"/>
  <c r="E49" i="64" a="1"/>
  <c r="E48" i="64" a="1"/>
  <c r="A6" i="64"/>
  <c r="I47" i="64" a="1"/>
  <c r="I46" i="64" a="1"/>
  <c r="I45" i="64" a="1"/>
  <c r="I44" i="64" a="1"/>
  <c r="I43" i="64" a="1"/>
  <c r="I42" i="64" a="1"/>
  <c r="I41" i="64" a="1"/>
  <c r="I39" i="64" a="1"/>
  <c r="I37" i="64" a="1"/>
  <c r="I36" i="64" a="1"/>
  <c r="I35" i="64" a="1"/>
  <c r="I34" i="64" a="1"/>
  <c r="I33" i="64" a="1"/>
  <c r="I32" i="64" a="1"/>
  <c r="I31" i="64" a="1"/>
  <c r="I30" i="64" a="1"/>
  <c r="I28" i="64" a="1"/>
  <c r="I27" i="64" a="1"/>
  <c r="I26" i="64" a="1"/>
  <c r="I25" i="64" a="1"/>
  <c r="I24" i="64" a="1"/>
  <c r="I23" i="64" a="1"/>
  <c r="I21" i="64" a="1"/>
  <c r="I20" i="64" a="1"/>
  <c r="I19" i="64" a="1"/>
  <c r="I18" i="64" a="1"/>
  <c r="H47" i="64" a="1"/>
  <c r="H46" i="64" a="1"/>
  <c r="H45" i="64" a="1"/>
  <c r="H44" i="64" a="1"/>
  <c r="H43" i="64" a="1"/>
  <c r="H42" i="64" a="1"/>
  <c r="H41" i="64" a="1"/>
  <c r="H40" i="64" a="1"/>
  <c r="H39" i="64" a="1"/>
  <c r="H38" i="64" a="1"/>
  <c r="H37" i="64" a="1"/>
  <c r="H36" i="64" a="1"/>
  <c r="H35" i="64" a="1"/>
  <c r="H34" i="64" a="1"/>
  <c r="H33" i="64" a="1"/>
  <c r="H32" i="64" a="1"/>
  <c r="H31" i="64" a="1"/>
  <c r="H30" i="64" a="1"/>
  <c r="H29" i="64" a="1"/>
  <c r="H28" i="64" a="1"/>
  <c r="H27" i="64" a="1"/>
  <c r="H26" i="64" a="1"/>
  <c r="H25" i="64" a="1"/>
  <c r="H24" i="64" a="1"/>
  <c r="H23" i="64" a="1"/>
  <c r="H22" i="64" a="1"/>
  <c r="H21" i="64" a="1"/>
  <c r="H20" i="64" a="1"/>
  <c r="H19" i="64" a="1"/>
  <c r="H18" i="64" a="1"/>
  <c r="F47" i="64" a="1"/>
  <c r="F46" i="64" a="1"/>
  <c r="F45" i="64" a="1"/>
  <c r="F44" i="64" a="1"/>
  <c r="F43" i="64" a="1"/>
  <c r="F42" i="64" a="1"/>
  <c r="F41" i="64" a="1"/>
  <c r="F40" i="64" a="1"/>
  <c r="F39" i="64" a="1"/>
  <c r="F38" i="64" a="1"/>
  <c r="F37" i="64" a="1"/>
  <c r="F36" i="64" a="1"/>
  <c r="F35" i="64" a="1"/>
  <c r="F34" i="64" a="1"/>
  <c r="F33" i="64" a="1"/>
  <c r="F32" i="64" a="1"/>
  <c r="F31" i="64" a="1"/>
  <c r="F30" i="64" a="1"/>
  <c r="F29" i="64" a="1"/>
  <c r="F28" i="64" a="1"/>
  <c r="F27" i="64" a="1"/>
  <c r="F26" i="64" a="1"/>
  <c r="F25" i="64" a="1"/>
  <c r="F24" i="64" a="1"/>
  <c r="F23" i="64" a="1"/>
  <c r="F22" i="64" a="1"/>
  <c r="F21" i="64" a="1"/>
  <c r="F20" i="64" a="1"/>
  <c r="F19" i="64" a="1"/>
  <c r="F18" i="64" a="1"/>
  <c r="E47" i="64" a="1"/>
  <c r="E46" i="64" a="1"/>
  <c r="E45" i="64" a="1"/>
  <c r="E44" i="64" a="1"/>
  <c r="E43" i="64" a="1"/>
  <c r="E42" i="64" a="1"/>
  <c r="E41" i="64" a="1"/>
  <c r="E40" i="64" a="1"/>
  <c r="E39" i="64" a="1"/>
  <c r="E38" i="64" a="1"/>
  <c r="E37" i="64" a="1"/>
  <c r="E36" i="64" a="1"/>
  <c r="E35" i="64" a="1"/>
  <c r="E34" i="64" a="1"/>
  <c r="E33" i="64" a="1"/>
  <c r="E32" i="64" a="1"/>
  <c r="E31" i="64" a="1"/>
  <c r="E30" i="64" a="1"/>
  <c r="E29" i="64" a="1"/>
  <c r="E28" i="64" a="1"/>
  <c r="E27" i="64" a="1"/>
  <c r="E26" i="64" a="1"/>
  <c r="E25" i="64" a="1"/>
  <c r="E24" i="64" a="1"/>
  <c r="E23" i="64" a="1"/>
  <c r="E22" i="64" a="1"/>
  <c r="E21" i="64" a="1"/>
  <c r="E20" i="64" a="1"/>
  <c r="E19" i="64" a="1"/>
  <c r="E18" i="64" a="1"/>
  <c r="Y10" i="46"/>
  <c r="AA203" i="46"/>
  <c r="E2" i="63"/>
  <c r="A203" i="46" l="1"/>
  <c r="F203" i="46"/>
  <c r="H203" i="46" s="1"/>
  <c r="AF203" i="46"/>
  <c r="AG203" i="46"/>
  <c r="BE203" i="46" s="1"/>
  <c r="BC203" i="46"/>
  <c r="AA202" i="46"/>
  <c r="A202" i="46"/>
  <c r="F202" i="46"/>
  <c r="H202" i="46" s="1"/>
  <c r="AF202" i="46"/>
  <c r="AG202" i="46"/>
  <c r="BE202" i="46" s="1"/>
  <c r="BC202" i="46"/>
  <c r="A201" i="46"/>
  <c r="F201" i="46"/>
  <c r="B29" i="35" l="1"/>
  <c r="H201" i="46" l="1"/>
  <c r="AA201" i="46"/>
  <c r="AF201" i="46"/>
  <c r="AG201" i="46"/>
  <c r="BE201" i="46" s="1"/>
  <c r="BC201" i="46"/>
  <c r="A200" i="46" l="1"/>
  <c r="F200" i="46"/>
  <c r="H200" i="46" s="1"/>
  <c r="AA200" i="46"/>
  <c r="AF200" i="46"/>
  <c r="AG200" i="46"/>
  <c r="BE200" i="46" s="1"/>
  <c r="BC200" i="46"/>
  <c r="G4" i="63" l="1"/>
  <c r="I4" i="63" s="1"/>
  <c r="G5" i="63"/>
  <c r="I5" i="63" s="1"/>
  <c r="G3" i="63"/>
  <c r="I3" i="63" s="1"/>
  <c r="J67" i="9"/>
  <c r="F199" i="46" l="1"/>
  <c r="T198" i="46"/>
  <c r="W65" i="46"/>
  <c r="A65" i="46"/>
  <c r="F65" i="46"/>
  <c r="AA65" i="46"/>
  <c r="AF65" i="46"/>
  <c r="AG65" i="46"/>
  <c r="BE65" i="46" s="1"/>
  <c r="BC65" i="46"/>
  <c r="H65" i="46" l="1"/>
  <c r="A198" i="46"/>
  <c r="F198" i="46"/>
  <c r="H198" i="46" s="1"/>
  <c r="AA198" i="46"/>
  <c r="AF198" i="46"/>
  <c r="AG198" i="46"/>
  <c r="BE198" i="46" s="1"/>
  <c r="BC198" i="46"/>
  <c r="A199" i="46"/>
  <c r="H199" i="46"/>
  <c r="AA199" i="46"/>
  <c r="AF199" i="46"/>
  <c r="AG199" i="46"/>
  <c r="BE199" i="46" s="1"/>
  <c r="BC199" i="46"/>
  <c r="A190" i="46"/>
  <c r="F190" i="46"/>
  <c r="H190" i="46" s="1"/>
  <c r="W190" i="46"/>
  <c r="AA190" i="46"/>
  <c r="AF190" i="46"/>
  <c r="AG190" i="46"/>
  <c r="BE190" i="46" s="1"/>
  <c r="BC190" i="46"/>
  <c r="A22" i="46"/>
  <c r="F22" i="46"/>
  <c r="AA22" i="46"/>
  <c r="AF22" i="46"/>
  <c r="AG22" i="46"/>
  <c r="BE22" i="46" s="1"/>
  <c r="BC22" i="46"/>
  <c r="BC89" i="46"/>
  <c r="Y194" i="46"/>
  <c r="A194" i="46"/>
  <c r="F194" i="46"/>
  <c r="H194" i="46" s="1"/>
  <c r="AA194" i="46"/>
  <c r="AF194" i="46"/>
  <c r="AG194" i="46"/>
  <c r="BE194" i="46" s="1"/>
  <c r="BC194" i="46"/>
  <c r="A183" i="46"/>
  <c r="F183" i="46"/>
  <c r="H183" i="46" s="1"/>
  <c r="AA183" i="46"/>
  <c r="AF183" i="46"/>
  <c r="AG183" i="46"/>
  <c r="BE183" i="46" s="1"/>
  <c r="BC183" i="46"/>
  <c r="A181" i="46"/>
  <c r="F181" i="46"/>
  <c r="H181" i="46" s="1"/>
  <c r="AA181" i="46"/>
  <c r="AF181" i="46"/>
  <c r="AG181" i="46"/>
  <c r="BE181" i="46" s="1"/>
  <c r="BC181" i="46"/>
  <c r="A197" i="46"/>
  <c r="F197" i="46"/>
  <c r="H197" i="46" s="1"/>
  <c r="AA197" i="46"/>
  <c r="AF197" i="46"/>
  <c r="AG197" i="46"/>
  <c r="BE197" i="46" s="1"/>
  <c r="BC197" i="46"/>
  <c r="A196" i="46"/>
  <c r="F196" i="46"/>
  <c r="H196" i="46" s="1"/>
  <c r="AA196" i="46"/>
  <c r="AF196" i="46"/>
  <c r="AG196" i="46"/>
  <c r="BE196" i="46" s="1"/>
  <c r="BC196" i="46"/>
  <c r="AF9" i="46"/>
  <c r="AG9" i="46"/>
  <c r="BE9" i="46" s="1"/>
  <c r="AF10" i="46"/>
  <c r="AG10" i="46"/>
  <c r="BE10" i="46" s="1"/>
  <c r="AG8" i="46"/>
  <c r="BE8" i="46" s="1"/>
  <c r="AF8" i="46"/>
  <c r="AG192" i="46"/>
  <c r="BE192" i="46" s="1"/>
  <c r="AF192" i="46"/>
  <c r="AG186" i="46"/>
  <c r="BE186" i="46" s="1"/>
  <c r="AF186" i="46"/>
  <c r="AG185" i="46"/>
  <c r="BE185" i="46" s="1"/>
  <c r="AF185" i="46"/>
  <c r="AG184" i="46"/>
  <c r="BE184" i="46" s="1"/>
  <c r="AF184" i="46"/>
  <c r="AG173" i="46"/>
  <c r="BE173" i="46" s="1"/>
  <c r="AF173" i="46"/>
  <c r="AG172" i="46"/>
  <c r="BE172" i="46" s="1"/>
  <c r="AF172" i="46"/>
  <c r="BC139" i="46"/>
  <c r="AG139" i="46"/>
  <c r="BE139" i="46" s="1"/>
  <c r="AF139" i="46"/>
  <c r="AA139" i="46"/>
  <c r="F139" i="46"/>
  <c r="A139" i="46"/>
  <c r="A193" i="46"/>
  <c r="F3" i="46"/>
  <c r="F4" i="46"/>
  <c r="F5" i="46"/>
  <c r="F6" i="46"/>
  <c r="F7" i="46"/>
  <c r="F8" i="46"/>
  <c r="F9" i="46"/>
  <c r="F10" i="46"/>
  <c r="F11" i="46"/>
  <c r="F12" i="46"/>
  <c r="F13" i="46"/>
  <c r="F14" i="46"/>
  <c r="F15" i="46"/>
  <c r="F16" i="46"/>
  <c r="F17" i="46"/>
  <c r="F18" i="46"/>
  <c r="F19" i="46"/>
  <c r="F20" i="46"/>
  <c r="F21" i="46"/>
  <c r="F23" i="46"/>
  <c r="F24" i="46"/>
  <c r="F25" i="46"/>
  <c r="F26" i="46"/>
  <c r="F27" i="46"/>
  <c r="F28" i="46"/>
  <c r="F29" i="46"/>
  <c r="F30" i="46"/>
  <c r="F31" i="46"/>
  <c r="F32" i="46"/>
  <c r="F33"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9" i="46"/>
  <c r="F120" i="46"/>
  <c r="F121" i="46"/>
  <c r="F122" i="46"/>
  <c r="F123" i="46"/>
  <c r="F124" i="46"/>
  <c r="F125" i="46"/>
  <c r="F126" i="46"/>
  <c r="F127" i="46"/>
  <c r="F128" i="46"/>
  <c r="F129" i="46"/>
  <c r="F130" i="46"/>
  <c r="F131" i="46"/>
  <c r="F132" i="46"/>
  <c r="F133" i="46"/>
  <c r="F134" i="46"/>
  <c r="F135" i="46"/>
  <c r="F136" i="46"/>
  <c r="F137" i="46"/>
  <c r="F138"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F177" i="46"/>
  <c r="H177" i="46" s="1"/>
  <c r="F178" i="46"/>
  <c r="H178" i="46" s="1"/>
  <c r="F179" i="46"/>
  <c r="H179" i="46" s="1"/>
  <c r="F180" i="46"/>
  <c r="H180" i="46" s="1"/>
  <c r="F182" i="46"/>
  <c r="H182" i="46" s="1"/>
  <c r="F184" i="46"/>
  <c r="H184" i="46" s="1"/>
  <c r="F185" i="46"/>
  <c r="H185" i="46" s="1"/>
  <c r="F186" i="46"/>
  <c r="H186" i="46" s="1"/>
  <c r="F187" i="46"/>
  <c r="H187" i="46" s="1"/>
  <c r="F188" i="46"/>
  <c r="H188" i="46" s="1"/>
  <c r="F189" i="46"/>
  <c r="H189" i="46" s="1"/>
  <c r="F191" i="46"/>
  <c r="H191" i="46" s="1"/>
  <c r="F192" i="46"/>
  <c r="H192" i="46" s="1"/>
  <c r="F193" i="46"/>
  <c r="H193" i="46" s="1"/>
  <c r="BC129" i="46"/>
  <c r="AG129" i="46"/>
  <c r="BE129" i="46" s="1"/>
  <c r="AF129" i="46"/>
  <c r="AA129" i="46"/>
  <c r="A129" i="46"/>
  <c r="BC128" i="46"/>
  <c r="AG128" i="46"/>
  <c r="BE128" i="46" s="1"/>
  <c r="AF128" i="46"/>
  <c r="AA128" i="46"/>
  <c r="A128" i="46"/>
  <c r="BC127" i="46"/>
  <c r="AG127" i="46"/>
  <c r="BE127" i="46" s="1"/>
  <c r="AF127" i="46"/>
  <c r="AA127" i="46"/>
  <c r="A127" i="46"/>
  <c r="BC126" i="46"/>
  <c r="AG126" i="46"/>
  <c r="BE126" i="46" s="1"/>
  <c r="AF126" i="46"/>
  <c r="AA126" i="46"/>
  <c r="A126" i="46"/>
  <c r="BC21" i="46"/>
  <c r="AG21" i="46"/>
  <c r="BE21" i="46" s="1"/>
  <c r="AF21" i="46"/>
  <c r="AA21" i="46"/>
  <c r="A21" i="46"/>
  <c r="BC20" i="46"/>
  <c r="AG20" i="46"/>
  <c r="BE20" i="46" s="1"/>
  <c r="AF20" i="46"/>
  <c r="AA20" i="46"/>
  <c r="A20" i="46"/>
  <c r="BC43" i="46"/>
  <c r="AG43" i="46"/>
  <c r="BE43" i="46" s="1"/>
  <c r="AF43" i="46"/>
  <c r="AA43" i="46"/>
  <c r="A43" i="46"/>
  <c r="AA193" i="46"/>
  <c r="AF193" i="46"/>
  <c r="AG193" i="46"/>
  <c r="BE193" i="46" s="1"/>
  <c r="BC193" i="46"/>
  <c r="A191" i="46"/>
  <c r="AA191" i="46"/>
  <c r="AF191" i="46"/>
  <c r="AG191" i="46"/>
  <c r="BE191" i="46" s="1"/>
  <c r="BC191" i="46"/>
  <c r="A192" i="46"/>
  <c r="AA192" i="46"/>
  <c r="BC192" i="46"/>
  <c r="Y28" i="46"/>
  <c r="A185" i="46"/>
  <c r="AA185" i="46"/>
  <c r="BC185" i="46"/>
  <c r="A186" i="46"/>
  <c r="AA186" i="46"/>
  <c r="BC186" i="46"/>
  <c r="A184" i="46"/>
  <c r="AA184" i="46"/>
  <c r="BC184" i="46"/>
  <c r="BC172" i="46"/>
  <c r="AA172" i="46"/>
  <c r="A172" i="46"/>
  <c r="W189" i="46"/>
  <c r="A189" i="46"/>
  <c r="AA189" i="46"/>
  <c r="AF189" i="46"/>
  <c r="AG189" i="46"/>
  <c r="BE189" i="46" s="1"/>
  <c r="BC189" i="46"/>
  <c r="A188" i="46"/>
  <c r="AA188" i="46"/>
  <c r="AF188" i="46"/>
  <c r="AG188" i="46"/>
  <c r="BE188" i="46" s="1"/>
  <c r="BC188" i="46"/>
  <c r="A187" i="46"/>
  <c r="AA187" i="46"/>
  <c r="AF187" i="46"/>
  <c r="AG187" i="46"/>
  <c r="BE187" i="46" s="1"/>
  <c r="BC187" i="46"/>
  <c r="BC177" i="46"/>
  <c r="AG177" i="46"/>
  <c r="BE177" i="46" s="1"/>
  <c r="AF177" i="46"/>
  <c r="AA177" i="46"/>
  <c r="A177" i="46"/>
  <c r="AG210" i="46"/>
  <c r="AG209" i="46"/>
  <c r="BE209" i="46" s="1"/>
  <c r="AG182" i="46"/>
  <c r="BE182" i="46" s="1"/>
  <c r="AG180" i="46"/>
  <c r="BE180" i="46" s="1"/>
  <c r="AG179" i="46"/>
  <c r="BE179" i="46" s="1"/>
  <c r="AG178" i="46"/>
  <c r="BE178" i="46" s="1"/>
  <c r="AG176" i="46"/>
  <c r="BE176" i="46" s="1"/>
  <c r="AG175" i="46"/>
  <c r="BE175" i="46" s="1"/>
  <c r="AG174" i="46"/>
  <c r="BE174" i="46" s="1"/>
  <c r="AG171" i="46"/>
  <c r="BE171"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AG153" i="46"/>
  <c r="BE153" i="46" s="1"/>
  <c r="AG152" i="46"/>
  <c r="BE152" i="46" s="1"/>
  <c r="AG151" i="46"/>
  <c r="BE151" i="46" s="1"/>
  <c r="AG150" i="46"/>
  <c r="AG149" i="46"/>
  <c r="BE149" i="46" s="1"/>
  <c r="AG148" i="46"/>
  <c r="BE148" i="46" s="1"/>
  <c r="AG147" i="46"/>
  <c r="BE147" i="46" s="1"/>
  <c r="AG146" i="46"/>
  <c r="BE146" i="46" s="1"/>
  <c r="AG145" i="46"/>
  <c r="BE145" i="46" s="1"/>
  <c r="AG144" i="46"/>
  <c r="BE144" i="46" s="1"/>
  <c r="AG143" i="46"/>
  <c r="BE143" i="46" s="1"/>
  <c r="AG142" i="46"/>
  <c r="AG141" i="46"/>
  <c r="AG140" i="46"/>
  <c r="AG138" i="46"/>
  <c r="BE138" i="46" s="1"/>
  <c r="AG137" i="46"/>
  <c r="BE137" i="46" s="1"/>
  <c r="AG136" i="46"/>
  <c r="BE136" i="46" s="1"/>
  <c r="AG135" i="46"/>
  <c r="BE135" i="46" s="1"/>
  <c r="AG134" i="46"/>
  <c r="BE134" i="46" s="1"/>
  <c r="AG133" i="46"/>
  <c r="AG132" i="46"/>
  <c r="AG131" i="46"/>
  <c r="AG130" i="46"/>
  <c r="AG125" i="46"/>
  <c r="BE125" i="46" s="1"/>
  <c r="AG124" i="46"/>
  <c r="AG123" i="46"/>
  <c r="AG122" i="46"/>
  <c r="AG121" i="46"/>
  <c r="AG120" i="46"/>
  <c r="AG119"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10" i="46"/>
  <c r="AF209" i="46"/>
  <c r="AF182" i="46"/>
  <c r="AF180" i="46"/>
  <c r="AF179" i="46"/>
  <c r="AF178" i="46"/>
  <c r="AF176" i="46"/>
  <c r="AF175" i="46"/>
  <c r="AF174" i="46"/>
  <c r="AF171"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8" i="46"/>
  <c r="AF137" i="46"/>
  <c r="AF136" i="46"/>
  <c r="AF135" i="46"/>
  <c r="AF134" i="46"/>
  <c r="AF133" i="46"/>
  <c r="AF132" i="46"/>
  <c r="AF131" i="46"/>
  <c r="AF130" i="46"/>
  <c r="AF125" i="46"/>
  <c r="AF124" i="46"/>
  <c r="AF123" i="46"/>
  <c r="AF122" i="46"/>
  <c r="AF121" i="46"/>
  <c r="AF120" i="46"/>
  <c r="AF119"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80" i="46"/>
  <c r="AA180" i="46"/>
  <c r="BC180" i="46"/>
  <c r="A182" i="46"/>
  <c r="AA182" i="46"/>
  <c r="BC182" i="46"/>
  <c r="Y178" i="46"/>
  <c r="A179" i="46"/>
  <c r="AA179" i="46"/>
  <c r="BC179" i="46"/>
  <c r="A178" i="46"/>
  <c r="AA178" i="46"/>
  <c r="BC178" i="46"/>
  <c r="A176" i="46"/>
  <c r="BC176" i="46"/>
  <c r="AA176" i="46"/>
  <c r="BC144" i="46"/>
  <c r="AA144" i="46"/>
  <c r="A144" i="46"/>
  <c r="Y86" i="46"/>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5" i="46"/>
  <c r="AA135" i="46"/>
  <c r="A135" i="46"/>
  <c r="A174" i="46"/>
  <c r="AA174" i="46"/>
  <c r="BC174" i="46"/>
  <c r="A173" i="46"/>
  <c r="AA173" i="46"/>
  <c r="BC173" i="46"/>
  <c r="BE18" i="46"/>
  <c r="BC18" i="46"/>
  <c r="AA18" i="46"/>
  <c r="A18" i="46"/>
  <c r="BC53" i="46"/>
  <c r="AA53" i="46"/>
  <c r="A53" i="46"/>
  <c r="BC42" i="46"/>
  <c r="BE42" i="46"/>
  <c r="AA42" i="46"/>
  <c r="A42" i="46"/>
  <c r="BC35" i="46"/>
  <c r="AA35" i="46"/>
  <c r="A35" i="46"/>
  <c r="BC32" i="46"/>
  <c r="BE32" i="46"/>
  <c r="AA32" i="46"/>
  <c r="A32" i="46"/>
  <c r="BC14" i="46"/>
  <c r="AA14" i="46"/>
  <c r="A14" i="46"/>
  <c r="BC13" i="46"/>
  <c r="BE13" i="46"/>
  <c r="AA13" i="46"/>
  <c r="A13" i="46"/>
  <c r="BC81" i="46"/>
  <c r="BE81" i="46"/>
  <c r="AA81" i="46"/>
  <c r="A81" i="46"/>
  <c r="A175" i="46"/>
  <c r="AA175" i="46"/>
  <c r="BC175" i="46"/>
  <c r="A171" i="46"/>
  <c r="AA171" i="46"/>
  <c r="BC171" i="46"/>
  <c r="A170" i="46"/>
  <c r="A169" i="46"/>
  <c r="AA169" i="46"/>
  <c r="BC169" i="46"/>
  <c r="AA170" i="46"/>
  <c r="BC170" i="46"/>
  <c r="A168" i="46"/>
  <c r="AA167" i="46"/>
  <c r="A167" i="46"/>
  <c r="BC167" i="46"/>
  <c r="A166" i="46"/>
  <c r="AA166" i="46"/>
  <c r="BC166" i="46"/>
  <c r="AA168" i="46"/>
  <c r="BC168" i="46"/>
  <c r="BC63" i="46"/>
  <c r="AA63" i="46"/>
  <c r="A63" i="46"/>
  <c r="BE154" i="46"/>
  <c r="BE150" i="46"/>
  <c r="BE132" i="46"/>
  <c r="BE123" i="46"/>
  <c r="BE122" i="46"/>
  <c r="BE121" i="46"/>
  <c r="BE120" i="46"/>
  <c r="BE119"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5" i="46"/>
  <c r="A165" i="46"/>
  <c r="BC165" i="46"/>
  <c r="AA163" i="46"/>
  <c r="A164" i="46"/>
  <c r="AA164" i="46"/>
  <c r="BC164" i="46"/>
  <c r="A163" i="46"/>
  <c r="BC163" i="46"/>
  <c r="A6" i="46"/>
  <c r="AA6" i="46"/>
  <c r="BC6" i="46"/>
  <c r="A162" i="46"/>
  <c r="AA162" i="46"/>
  <c r="BC162" i="46"/>
  <c r="Y161" i="46"/>
  <c r="Y160" i="46"/>
  <c r="A161" i="46"/>
  <c r="AA161" i="46"/>
  <c r="BC161" i="46"/>
  <c r="A160" i="46"/>
  <c r="AA160" i="46"/>
  <c r="BC160" i="46"/>
  <c r="A159" i="46"/>
  <c r="AA159" i="46"/>
  <c r="BC159" i="46"/>
  <c r="A158" i="46"/>
  <c r="AA158" i="46"/>
  <c r="BC158" i="46"/>
  <c r="A157" i="46"/>
  <c r="AA157" i="46"/>
  <c r="BC157" i="46"/>
  <c r="A156" i="46"/>
  <c r="A155" i="46"/>
  <c r="AA155" i="46"/>
  <c r="BC155" i="46"/>
  <c r="AA156" i="46"/>
  <c r="BC156" i="46"/>
  <c r="A209" i="46"/>
  <c r="AA209" i="46"/>
  <c r="BC209" i="46"/>
  <c r="BC154" i="46"/>
  <c r="AA154" i="46"/>
  <c r="A154" i="46"/>
  <c r="AA4" i="46"/>
  <c r="AA5" i="46"/>
  <c r="AA7" i="46"/>
  <c r="AA11" i="46"/>
  <c r="AA12" i="46"/>
  <c r="AA15" i="46"/>
  <c r="AA16" i="46"/>
  <c r="AA17" i="46"/>
  <c r="AA19" i="46"/>
  <c r="AA23" i="46"/>
  <c r="AA24" i="46"/>
  <c r="AA25" i="46"/>
  <c r="AA26" i="46"/>
  <c r="AA27" i="46"/>
  <c r="AA28" i="46"/>
  <c r="AA29" i="46"/>
  <c r="AA30" i="46"/>
  <c r="AA31" i="46"/>
  <c r="AA33"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9" i="46"/>
  <c r="AA120" i="46"/>
  <c r="AA121" i="46"/>
  <c r="AA122" i="46"/>
  <c r="AA123" i="46"/>
  <c r="AA124" i="46"/>
  <c r="AA125" i="46"/>
  <c r="AA130" i="46"/>
  <c r="AA131" i="46"/>
  <c r="AA132" i="46"/>
  <c r="AA133" i="46"/>
  <c r="AA134" i="46"/>
  <c r="AA136" i="46"/>
  <c r="AA137" i="46"/>
  <c r="AA138" i="46"/>
  <c r="AA140" i="46"/>
  <c r="AA141" i="46"/>
  <c r="AA142" i="46"/>
  <c r="AA143" i="46"/>
  <c r="AA145" i="46"/>
  <c r="AA146" i="46"/>
  <c r="AA147" i="46"/>
  <c r="AA148" i="46"/>
  <c r="AA149" i="46"/>
  <c r="AA150" i="46"/>
  <c r="AA151" i="46"/>
  <c r="AA152" i="46"/>
  <c r="AA153" i="46"/>
  <c r="BC152" i="46"/>
  <c r="BC97" i="46"/>
  <c r="A97" i="46"/>
  <c r="Y93" i="46"/>
  <c r="Y92" i="46"/>
  <c r="A151" i="46"/>
  <c r="BC151" i="46"/>
  <c r="A150" i="46"/>
  <c r="BC150" i="46"/>
  <c r="A149" i="46"/>
  <c r="BC149" i="46"/>
  <c r="A3" i="46"/>
  <c r="A4" i="46"/>
  <c r="A5" i="46"/>
  <c r="A7" i="46"/>
  <c r="A11" i="46"/>
  <c r="A12" i="46"/>
  <c r="A15" i="46"/>
  <c r="A16" i="46"/>
  <c r="A17" i="46"/>
  <c r="A19" i="46"/>
  <c r="A23" i="46"/>
  <c r="A24" i="46"/>
  <c r="A25" i="46"/>
  <c r="A26" i="46"/>
  <c r="A27" i="46"/>
  <c r="A28" i="46"/>
  <c r="A29" i="46"/>
  <c r="A30" i="46"/>
  <c r="A31" i="46"/>
  <c r="A33"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9" i="46"/>
  <c r="A120" i="46"/>
  <c r="A121" i="46"/>
  <c r="A122" i="46"/>
  <c r="A123" i="46"/>
  <c r="A124" i="46"/>
  <c r="A125" i="46"/>
  <c r="A130" i="46"/>
  <c r="A131" i="46"/>
  <c r="A132" i="46"/>
  <c r="A133" i="46"/>
  <c r="A134" i="46"/>
  <c r="A136" i="46"/>
  <c r="A137" i="46"/>
  <c r="A138" i="46"/>
  <c r="A140" i="46"/>
  <c r="A141" i="46"/>
  <c r="A142" i="46"/>
  <c r="A143" i="46"/>
  <c r="A145" i="46"/>
  <c r="A146" i="46"/>
  <c r="A147" i="46"/>
  <c r="A148" i="46"/>
  <c r="BC148" i="46"/>
  <c r="BC153" i="46"/>
  <c r="BC147" i="46"/>
  <c r="BC146" i="46"/>
  <c r="BC92" i="46"/>
  <c r="BC70" i="46"/>
  <c r="BC138" i="46"/>
  <c r="BC145" i="46"/>
  <c r="BC4" i="46"/>
  <c r="BC30" i="46"/>
  <c r="BC143" i="46"/>
  <c r="C16" i="51"/>
  <c r="C9" i="51"/>
  <c r="BC82" i="46"/>
  <c r="BC77" i="46"/>
  <c r="BE77" i="46"/>
  <c r="BC68" i="46"/>
  <c r="Y105" i="46"/>
  <c r="Y104" i="46"/>
  <c r="BC104" i="46"/>
  <c r="I29" i="64" l="1" a="1"/>
  <c r="I38" i="64" a="1"/>
  <c r="I52" i="64" a="1"/>
  <c r="I22" i="64" a="1"/>
  <c r="I40" i="64" a="1"/>
  <c r="H172" i="46"/>
  <c r="H171" i="46"/>
  <c r="H155" i="46"/>
  <c r="H32" i="46"/>
  <c r="H170" i="46"/>
  <c r="H162" i="46"/>
  <c r="H154" i="46"/>
  <c r="H129" i="46"/>
  <c r="H63" i="46"/>
  <c r="H14" i="46"/>
  <c r="H6" i="46"/>
  <c r="H164" i="46"/>
  <c r="H22" i="46"/>
  <c r="H169" i="46"/>
  <c r="H161" i="46"/>
  <c r="H153" i="46"/>
  <c r="H128" i="46"/>
  <c r="H21" i="46"/>
  <c r="H13" i="46"/>
  <c r="H163" i="46"/>
  <c r="H176" i="46"/>
  <c r="H168" i="46"/>
  <c r="H160" i="46"/>
  <c r="H152" i="46"/>
  <c r="H144" i="46"/>
  <c r="H135" i="46"/>
  <c r="H127" i="46"/>
  <c r="H53" i="46"/>
  <c r="H20" i="46"/>
  <c r="H175" i="46"/>
  <c r="H167" i="46"/>
  <c r="H159" i="46"/>
  <c r="H126" i="46"/>
  <c r="H85" i="46"/>
  <c r="H8" i="46"/>
  <c r="H139" i="46"/>
  <c r="H166" i="46"/>
  <c r="H158" i="46"/>
  <c r="H150" i="46"/>
  <c r="H43" i="46"/>
  <c r="H18" i="46"/>
  <c r="H10" i="46"/>
  <c r="H156" i="46"/>
  <c r="H81" i="46"/>
  <c r="H173" i="46"/>
  <c r="H165" i="46"/>
  <c r="H157" i="46"/>
  <c r="H42" i="46"/>
  <c r="H35" i="46"/>
  <c r="H9" i="46"/>
  <c r="E77" i="9"/>
  <c r="D76" i="9"/>
  <c r="E58" i="9"/>
  <c r="D57" i="9"/>
  <c r="H97" i="46"/>
  <c r="H151" i="46"/>
  <c r="H149" i="46"/>
  <c r="H148" i="46"/>
  <c r="H82" i="46"/>
  <c r="H77" i="46"/>
  <c r="H104" i="46"/>
  <c r="H68" i="46"/>
  <c r="H147" i="46"/>
  <c r="H146" i="46"/>
  <c r="H92" i="46"/>
  <c r="H70" i="46"/>
  <c r="H145" i="46"/>
  <c r="H138" i="46"/>
  <c r="H4" i="46"/>
  <c r="H30" i="46"/>
  <c r="H143" i="46"/>
  <c r="BC29" i="46"/>
  <c r="H29" i="46"/>
  <c r="BE64" i="46"/>
  <c r="BE62" i="46"/>
  <c r="BE61" i="46"/>
  <c r="BC45" i="46"/>
  <c r="Y45" i="46"/>
  <c r="H45" i="46"/>
  <c r="Y46" i="46"/>
  <c r="BC62" i="46"/>
  <c r="H62" i="46"/>
  <c r="BC61" i="46"/>
  <c r="H61" i="46"/>
  <c r="H142" i="46"/>
  <c r="E78" i="9" l="1"/>
  <c r="D77" i="9"/>
  <c r="E59" i="9"/>
  <c r="D58" i="9"/>
  <c r="BE142" i="46"/>
  <c r="BC142" i="46"/>
  <c r="H141" i="46"/>
  <c r="BE141" i="46"/>
  <c r="BC141" i="46"/>
  <c r="H140" i="46"/>
  <c r="BE140" i="46"/>
  <c r="BC140" i="46"/>
  <c r="BC3" i="46"/>
  <c r="BC5" i="46"/>
  <c r="BC7" i="46"/>
  <c r="BC11" i="46"/>
  <c r="BC12" i="46"/>
  <c r="BC15" i="46"/>
  <c r="BC16" i="46"/>
  <c r="BC17" i="46"/>
  <c r="BC19" i="46"/>
  <c r="BC23" i="46"/>
  <c r="BC24" i="46"/>
  <c r="BC25" i="46"/>
  <c r="BC26" i="46"/>
  <c r="BC27" i="46"/>
  <c r="BC28" i="46"/>
  <c r="BC31" i="46"/>
  <c r="BC33"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9" i="46"/>
  <c r="BC120" i="46"/>
  <c r="BC121" i="46"/>
  <c r="BC122" i="46"/>
  <c r="BC123" i="46"/>
  <c r="BC124" i="46"/>
  <c r="BC125" i="46"/>
  <c r="BC130" i="46"/>
  <c r="BC131" i="46"/>
  <c r="BC132" i="46"/>
  <c r="BC133" i="46"/>
  <c r="BC134" i="46"/>
  <c r="BC136" i="46"/>
  <c r="BC137"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4" i="46"/>
  <c r="BE130" i="46"/>
  <c r="BE131" i="46"/>
  <c r="BE133" i="46"/>
  <c r="AA3" i="46"/>
  <c r="H3" i="46"/>
  <c r="H5" i="46"/>
  <c r="I5" i="46" s="1"/>
  <c r="H7" i="46"/>
  <c r="H11" i="46"/>
  <c r="H12" i="46"/>
  <c r="H15" i="46"/>
  <c r="H16" i="46"/>
  <c r="H17" i="46"/>
  <c r="H19" i="46"/>
  <c r="H23" i="46"/>
  <c r="H24" i="46"/>
  <c r="H25" i="46"/>
  <c r="H26" i="46"/>
  <c r="H27" i="46"/>
  <c r="H28" i="46"/>
  <c r="H31" i="46"/>
  <c r="H33"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9" i="46"/>
  <c r="H120" i="46"/>
  <c r="H121" i="46"/>
  <c r="H122" i="46"/>
  <c r="H123" i="46"/>
  <c r="H124" i="46"/>
  <c r="H125" i="46"/>
  <c r="H131" i="46"/>
  <c r="H132" i="46"/>
  <c r="H133" i="46"/>
  <c r="H134" i="46"/>
  <c r="H136" i="46"/>
  <c r="H137"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7" i="46" l="1"/>
  <c r="I11" i="46"/>
  <c r="I12" i="46"/>
  <c r="I15" i="46"/>
  <c r="I16" i="46"/>
  <c r="I24" i="46"/>
  <c r="I31" i="46"/>
  <c r="I37" i="46"/>
  <c r="I41" i="46"/>
  <c r="I49" i="46"/>
  <c r="I52" i="46"/>
  <c r="I58" i="46"/>
  <c r="I64" i="46"/>
  <c r="I71" i="46"/>
  <c r="I74" i="46"/>
  <c r="I79" i="46"/>
  <c r="I19" i="46"/>
  <c r="I26" i="46"/>
  <c r="I33" i="46"/>
  <c r="I40" i="46"/>
  <c r="I47" i="46"/>
  <c r="I50" i="46"/>
  <c r="I59" i="46"/>
  <c r="I66" i="46"/>
  <c r="I72" i="46"/>
  <c r="I76" i="46"/>
  <c r="I83" i="46"/>
  <c r="I87" i="46"/>
  <c r="I91" i="46"/>
  <c r="I94" i="46"/>
  <c r="I98" i="46"/>
  <c r="I102" i="46"/>
  <c r="I105" i="46"/>
  <c r="I107" i="46"/>
  <c r="I108" i="46"/>
  <c r="I109" i="46"/>
  <c r="I110" i="46"/>
  <c r="I111" i="46"/>
  <c r="I112" i="46"/>
  <c r="I113" i="46"/>
  <c r="I114" i="46"/>
  <c r="I115" i="46"/>
  <c r="I116" i="46"/>
  <c r="I117" i="46"/>
  <c r="I119" i="46"/>
  <c r="I120" i="46"/>
  <c r="I121" i="46"/>
  <c r="I122" i="46"/>
  <c r="I123" i="46"/>
  <c r="I124" i="46"/>
  <c r="I125" i="46"/>
  <c r="I17" i="46"/>
  <c r="I27" i="46"/>
  <c r="I36" i="46"/>
  <c r="I39" i="46"/>
  <c r="I46" i="46"/>
  <c r="I51" i="46"/>
  <c r="I54" i="46"/>
  <c r="I56" i="46"/>
  <c r="I67" i="46"/>
  <c r="I73" i="46"/>
  <c r="I78" i="46"/>
  <c r="I84" i="46"/>
  <c r="I88" i="46"/>
  <c r="I90" i="46"/>
  <c r="I95" i="46"/>
  <c r="I99" i="46"/>
  <c r="I101" i="46"/>
  <c r="I106" i="46"/>
  <c r="I23" i="46"/>
  <c r="I25" i="46"/>
  <c r="I28" i="46"/>
  <c r="I38" i="46"/>
  <c r="I44" i="46"/>
  <c r="I48" i="46"/>
  <c r="I55" i="46"/>
  <c r="I57" i="46"/>
  <c r="I60" i="46"/>
  <c r="I69" i="46"/>
  <c r="I75" i="46"/>
  <c r="I80" i="46"/>
  <c r="I86" i="46"/>
  <c r="I89" i="46"/>
  <c r="I93" i="46"/>
  <c r="I96" i="46"/>
  <c r="I100" i="46"/>
  <c r="I103" i="46"/>
  <c r="I65" i="46"/>
  <c r="I129" i="46"/>
  <c r="I127" i="46"/>
  <c r="I21" i="46"/>
  <c r="I8" i="46"/>
  <c r="I6" i="46"/>
  <c r="I42" i="46"/>
  <c r="I63" i="46"/>
  <c r="I128" i="46"/>
  <c r="I20" i="46"/>
  <c r="I126" i="46"/>
  <c r="I35" i="46"/>
  <c r="I82" i="46"/>
  <c r="I32" i="46"/>
  <c r="I14" i="46"/>
  <c r="I22" i="46"/>
  <c r="I13" i="46"/>
  <c r="I53" i="46"/>
  <c r="I85" i="46"/>
  <c r="I9" i="46"/>
  <c r="I77" i="46"/>
  <c r="I43" i="46"/>
  <c r="I18" i="46"/>
  <c r="I10" i="46"/>
  <c r="I81" i="46"/>
  <c r="I97" i="46"/>
  <c r="I104" i="46"/>
  <c r="I68" i="46"/>
  <c r="I92" i="46"/>
  <c r="I70" i="46"/>
  <c r="I4" i="46"/>
  <c r="I30" i="46"/>
  <c r="I29" i="46"/>
  <c r="I45" i="46"/>
  <c r="I62" i="46"/>
  <c r="I61" i="46"/>
  <c r="I118" i="46"/>
  <c r="I34" i="46"/>
  <c r="I3" i="46"/>
  <c r="E79" i="9"/>
  <c r="D78" i="9"/>
  <c r="E60" i="9"/>
  <c r="D59" i="9"/>
  <c r="H130" i="46"/>
  <c r="A107" i="12"/>
  <c r="I207" i="46" l="1"/>
  <c r="I208" i="46"/>
  <c r="I180" i="46"/>
  <c r="I187" i="46"/>
  <c r="I192" i="46"/>
  <c r="I189" i="46"/>
  <c r="I191" i="46"/>
  <c r="I196" i="46"/>
  <c r="I197" i="46"/>
  <c r="I181" i="46"/>
  <c r="I194" i="46"/>
  <c r="I165" i="46"/>
  <c r="I172" i="46"/>
  <c r="I171" i="46"/>
  <c r="I155" i="46"/>
  <c r="I170" i="46"/>
  <c r="I162" i="46"/>
  <c r="I164" i="46"/>
  <c r="I163" i="46"/>
  <c r="I205" i="46"/>
  <c r="I147" i="46"/>
  <c r="I146" i="46"/>
  <c r="I145" i="46"/>
  <c r="I138" i="46"/>
  <c r="I151" i="46"/>
  <c r="I156" i="46"/>
  <c r="I179" i="46"/>
  <c r="I161" i="46"/>
  <c r="I182" i="46"/>
  <c r="I184" i="46"/>
  <c r="I185" i="46"/>
  <c r="I186" i="46"/>
  <c r="I168" i="46"/>
  <c r="I135" i="46"/>
  <c r="I167" i="46"/>
  <c r="I160" i="46"/>
  <c r="I150" i="46"/>
  <c r="I143" i="46"/>
  <c r="I178" i="46"/>
  <c r="I183" i="46"/>
  <c r="I188" i="46"/>
  <c r="I193" i="46"/>
  <c r="I153" i="46"/>
  <c r="I176" i="46"/>
  <c r="I190" i="46"/>
  <c r="I159" i="46"/>
  <c r="I166" i="46"/>
  <c r="I157" i="46"/>
  <c r="I149" i="46"/>
  <c r="I154" i="46"/>
  <c r="I169" i="46"/>
  <c r="I144" i="46"/>
  <c r="I175" i="46"/>
  <c r="I139" i="46"/>
  <c r="I148" i="46"/>
  <c r="I152" i="46"/>
  <c r="I158" i="46"/>
  <c r="I142" i="46"/>
  <c r="I174" i="46"/>
  <c r="I195" i="46"/>
  <c r="I204" i="46"/>
  <c r="I206" i="46"/>
  <c r="I173" i="46"/>
  <c r="I202" i="46"/>
  <c r="I203" i="46"/>
  <c r="I201" i="46"/>
  <c r="I200" i="46"/>
  <c r="I198" i="46"/>
  <c r="I199" i="46"/>
  <c r="I177" i="46"/>
  <c r="I130" i="46"/>
  <c r="I131" i="46"/>
  <c r="I134" i="46"/>
  <c r="I141" i="46"/>
  <c r="I132" i="46"/>
  <c r="I136" i="46"/>
  <c r="I133" i="46"/>
  <c r="I137" i="46"/>
  <c r="I140"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 r="G24" i="64" s="1"/>
  <c r="G23" i="64" l="1"/>
  <c r="G41" i="64"/>
  <c r="G19" i="64"/>
  <c r="G37" i="64"/>
  <c r="G46" i="64"/>
  <c r="G33" i="64"/>
  <c r="G51" i="64"/>
  <c r="G38" i="64"/>
  <c r="G25" i="64"/>
  <c r="G34" i="64"/>
  <c r="G30" i="64"/>
  <c r="G35" i="64"/>
  <c r="G42" i="64"/>
  <c r="G29" i="64"/>
  <c r="G43" i="64"/>
  <c r="G21" i="64"/>
  <c r="G44" i="64"/>
  <c r="G32" i="64"/>
  <c r="G50" i="64"/>
  <c r="G28" i="64"/>
  <c r="G20" i="64"/>
  <c r="G47" i="64"/>
  <c r="G52" i="64"/>
  <c r="G39" i="64"/>
  <c r="G48" i="64"/>
  <c r="G26" i="64"/>
  <c r="G53" i="64"/>
  <c r="G22" i="64"/>
  <c r="G31" i="64"/>
  <c r="G40" i="64"/>
  <c r="G49" i="64"/>
  <c r="G18" i="64"/>
  <c r="G27" i="64"/>
  <c r="G36" i="64"/>
  <c r="G45" i="64"/>
  <c r="J6" i="64" l="1"/>
  <c r="G6" i="64"/>
  <c r="C12" i="64"/>
  <c r="B13" i="64"/>
  <c r="D6" i="64"/>
  <c r="M6" i="64" s="1"/>
  <c r="C11" i="64"/>
  <c r="B12" i="64"/>
  <c r="C13" i="64"/>
  <c r="B11" i="64"/>
  <c r="P6" i="64"/>
  <c r="AF205" i="46"/>
  <c r="AG205" i="46"/>
  <c r="BE205"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<sst xmlns="http://schemas.openxmlformats.org/spreadsheetml/2006/main" count="10567" uniqueCount="1657">
  <si>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</si>
  <si>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</si>
  <si>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</si>
  <si>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</si>
  <si>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</si>
  <si>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</si>
  <si>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</si>
  <si>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</si>
  <si>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</si>
  <si>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</si>
  <si>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</si>
  <si>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</si>
  <si>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</si>
  <si>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</si>
  <si>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</si>
  <si>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</si>
  <si>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</si>
  <si>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</si>
  <si>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</si>
  <si>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</si>
  <si>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</si>
  <si>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</si>
  <si>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</si>
  <si>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</si>
  <si>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</si>
  <si>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</si>
  <si>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</si>
  <si>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</si>
  <si>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</si>
  <si>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</si>
  <si>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</si>
  <si>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</si>
  <si>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</si>
  <si>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</si>
  <si>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</si>
  <si>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</si>
  <si>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</si>
  <si>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</si>
  <si>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</si>
  <si>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</si>
  <si>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</si>
  <si>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</si>
  <si>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</si>
  <si>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</si>
  <si>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</si>
  <si>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</si>
  <si>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</si>
  <si>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</si>
  <si>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</si>
  <si>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</si>
  <si>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</si>
  <si>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</si>
  <si>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</si>
  <si>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</si>
  <si>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</si>
  <si>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</si>
  <si>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</si>
  <si>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</si>
  <si>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</si>
  <si>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</si>
  <si>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</si>
  <si>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</si>
  <si>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</si>
  <si>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</si>
  <si>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</si>
  <si>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</si>
  <si>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</si>
  <si>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</si>
  <si>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</si>
  <si>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</si>
  <si>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</si>
  <si>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</si>
  <si>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</si>
  <si>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</si>
  <si>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</si>
  <si>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</si>
  <si>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</si>
  <si>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</si>
  <si>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</si>
  <si>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</si>
  <si>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</si>
  <si>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</si>
  <si>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</si>
  <si>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</si>
  <si>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</si>
  <si>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</si>
  <si>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</si>
  <si>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</si>
  <si>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</si>
  <si>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</si>
  <si>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</si>
  <si>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</si>
  <si>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</si>
  <si>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</si>
  <si>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</si>
  <si>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</si>
  <si>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</si>
  <si>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</si>
  <si>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</si>
  <si>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</si>
  <si>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</si>
  <si>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</si>
  <si>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</si>
  <si>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</si>
  <si>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</si>
  <si>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</si>
  <si>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</si>
  <si>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</si>
  <si>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</si>
  <si>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</si>
  <si>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</si>
  <si>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</si>
  <si>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</si>
  <si>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</si>
  <si>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</si>
  <si>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</si>
  <si>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</si>
  <si>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</si>
  <si>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</si>
  <si>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</si>
  <si>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</si>
  <si>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</si>
  <si>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</si>
  <si>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</si>
  <si>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</si>
  <si>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</si>
  <si>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</si>
  <si>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</si>
  <si>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</si>
  <si>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</si>
  <si>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</si>
  <si>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</si>
  <si>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</si>
  <si>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</si>
  <si>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</si>
  <si>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</si>
  <si>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</si>
  <si>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</si>
  <si>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</si>
  <si>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</si>
  <si>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</si>
  <si>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</si>
  <si>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</si>
  <si>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</si>
  <si>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</si>
  <si>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</si>
  <si>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</si>
  <si>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</si>
  <si>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</si>
  <si>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</si>
  <si>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</si>
  <si>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</si>
  <si>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</si>
  <si>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</si>
  <si>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</si>
  <si>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</si>
  <si>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</si>
  <si>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</si>
  <si>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</si>
  <si>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</si>
  <si>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</si>
  <si>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</si>
  <si>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</si>
  <si>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</si>
  <si>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</si>
  <si>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</si>
  <si>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</si>
  <si>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</si>
  <si>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</si>
  <si>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</si>
  <si>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</si>
  <si>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</si>
  <si>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</si>
  <si>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</si>
  <si>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</si>
  <si>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</si>
  <si>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</si>
  <si>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</si>
  <si>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</si>
  <si>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</si>
  <si>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</si>
  <si>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</si>
  <si>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</si>
  <si>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</si>
  <si>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</si>
  <si>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</si>
  <si>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</si>
  <si>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</si>
  <si>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</si>
  <si>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</si>
  <si>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</si>
  <si>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</si>
  <si>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</si>
  <si>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</si>
  <si>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</si>
  <si>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</si>
  <si>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</si>
  <si>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</si>
  <si>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</si>
  <si>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</si>
  <si>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</si>
  <si>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</si>
  <si>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</si>
  <si>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</si>
  <si>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</si>
  <si>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</si>
  <si>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</si>
  <si>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</si>
  <si>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</si>
  <si>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</si>
  <si>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</si>
  <si>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</si>
  <si>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</si>
  <si>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</si>
  <si>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</si>
  <si>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</si>
  <si>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</si>
  <si>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</si>
  <si>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</si>
  <si>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</si>
  <si>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</si>
  <si>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</si>
  <si>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</si>
  <si>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</si>
  <si>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</si>
  <si>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</si>
  <si>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</si>
  <si>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</si>
  <si>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</si>
  <si>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</si>
  <si>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</si>
  <si>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</si>
  <si>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</si>
  <si>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</si>
  <si>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</si>
  <si>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</si>
  <si>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</si>
  <si>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</si>
  <si>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</si>
  <si>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</si>
  <si>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</si>
  <si>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</si>
  <si>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</si>
  <si>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</si>
  <si>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</si>
  <si>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</si>
  <si>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</si>
  <si>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</si>
  <si>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</si>
  <si>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</si>
  <si>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</si>
  <si>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</si>
  <si>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</si>
  <si>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</si>
  <si>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</si>
  <si>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</si>
  <si>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</si>
  <si>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</si>
  <si>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</si>
  <si>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</si>
  <si>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</si>
  <si>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</si>
  <si>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</si>
  <si>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</si>
  <si>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</si>
  <si>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</si>
  <si>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</si>
  <si>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</si>
  <si>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</si>
  <si>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</si>
  <si>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</si>
  <si>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</si>
  <si>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</si>
  <si>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</si>
  <si>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</si>
  <si>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</si>
  <si>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</si>
  <si>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</si>
  <si>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</si>
  <si>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</si>
  <si>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</si>
  <si>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</si>
  <si>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BIEN</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</si>
  <si>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</si>
  <si>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</si>
  <si>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</si>
  <si>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</si>
  <si>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</si>
  <si>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</si>
  <si>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</si>
  <si>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</si>
  <si>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</si>
  <si>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</si>
  <si>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</si>
  <si>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</si>
  <si>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</si>
  <si>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</si>
  <si>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</si>
  <si>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</si>
  <si>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</si>
  <si>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</si>
  <si>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</si>
  <si>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</si>
  <si>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</si>
  <si>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</si>
  <si>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</si>
  <si>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</si>
  <si>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</si>
  <si>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</si>
  <si>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HA STUDIO PICO/WILKINS-REODER</t>
  </si>
  <si>
    <t>OB</t>
  </si>
  <si>
    <t>7. Mass Production</t>
  </si>
  <si>
    <t>2026/M11</t>
  </si>
  <si>
    <t>Madison Lay</t>
  </si>
  <si>
    <t>Portugal</t>
  </si>
  <si>
    <t xml:space="preserve">NAMA LISBON-PUBLIC SPACE </t>
  </si>
  <si>
    <t>NOR</t>
  </si>
  <si>
    <t>2. Product &amp; Process Dev</t>
  </si>
  <si>
    <t xml:space="preserve">Pending PO </t>
  </si>
  <si>
    <t>2027/M01</t>
  </si>
  <si>
    <t>Need PO this week WK42</t>
  </si>
  <si>
    <t>PIPELINE</t>
  </si>
  <si>
    <t>Pending Approval</t>
  </si>
  <si>
    <t>THU</t>
  </si>
  <si>
    <t>RH CONTRACT (LARA CHAIR 25)</t>
  </si>
  <si>
    <t>2026/M03</t>
  </si>
  <si>
    <t>2026/W13</t>
  </si>
  <si>
    <t>NPD</t>
  </si>
  <si>
    <t>DUONG</t>
  </si>
  <si>
    <t>NY</t>
  </si>
  <si>
    <t>TRUMP DORAL</t>
  </si>
  <si>
    <t>3. Prototype Readiness</t>
  </si>
  <si>
    <t>2027/M05</t>
  </si>
  <si>
    <t>2026/M12</t>
  </si>
  <si>
    <t>WY</t>
  </si>
  <si>
    <t>NV</t>
  </si>
  <si>
    <t>AZ</t>
  </si>
  <si>
    <t>2027/M04</t>
  </si>
  <si>
    <t>MAYBOURNE_ONE WALL STREET NY</t>
  </si>
  <si>
    <t>ST. REGIS KANAI</t>
  </si>
  <si>
    <t>Mexico</t>
  </si>
  <si>
    <t>THAO</t>
  </si>
  <si>
    <t>COM Pending</t>
  </si>
  <si>
    <t>2027/M10</t>
  </si>
  <si>
    <t xml:space="preserve">Not Started </t>
  </si>
  <si>
    <t>Lori</t>
  </si>
  <si>
    <t>2027/M02</t>
  </si>
  <si>
    <t>2027/M03</t>
  </si>
  <si>
    <t>HI</t>
  </si>
  <si>
    <t>Apr</t>
  </si>
  <si>
    <t>SANG</t>
  </si>
  <si>
    <t>TX</t>
  </si>
  <si>
    <t>PHONG</t>
  </si>
  <si>
    <t>KNOX DALLAS INSPECTION COVERS</t>
  </si>
  <si>
    <t>5. Production Readiness</t>
  </si>
  <si>
    <t>Saudi Arabia</t>
  </si>
  <si>
    <t>NC</t>
  </si>
  <si>
    <t>Aaron Newell</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</si>
  <si>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</si>
  <si>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</si>
  <si>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</si>
  <si>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</si>
  <si>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</si>
  <si>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</si>
  <si>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</si>
  <si>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</si>
  <si>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</si>
  <si>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</si>
  <si>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</si>
  <si>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</si>
  <si>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</si>
  <si>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</si>
  <si>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ON HOLD</t>
  </si>
  <si>
    <t>PR</t>
  </si>
  <si>
    <t>2027/M09</t>
  </si>
  <si>
    <t>OTMB VANITY</t>
  </si>
  <si>
    <t>AYALA INTERNATIONAL</t>
  </si>
  <si>
    <t>KHOBAR HILTON CANOPY HOTEL</t>
  </si>
  <si>
    <t>BENJAMIN WEST</t>
  </si>
  <si>
    <t xml:space="preserve">HACIENDA HOTEL LISBON PORTUGAL </t>
  </si>
  <si>
    <t>3. Prototype Readiness (BOM)</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</si>
  <si>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</si>
  <si>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</si>
  <si>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</si>
  <si>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</si>
  <si>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</si>
  <si>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</si>
  <si>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</si>
  <si>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</si>
  <si>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</si>
  <si>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</si>
  <si>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</si>
  <si>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</si>
  <si>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</si>
  <si>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</si>
  <si>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</si>
  <si>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</si>
  <si>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</si>
  <si>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</si>
  <si>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AWH TOPNOTCH</t>
  </si>
  <si>
    <t>Vermont</t>
  </si>
  <si>
    <t xml:space="preserve">SPANISH BAY CLUB </t>
  </si>
  <si>
    <t>2026/M02</t>
  </si>
  <si>
    <t>RH BRANDYWINE</t>
  </si>
  <si>
    <t>RITZ CARLTON PHILADELPHIA</t>
  </si>
  <si>
    <t>PA</t>
  </si>
  <si>
    <t>Caroline Dillard</t>
  </si>
  <si>
    <t>CUSTOM MIYU TABLES</t>
  </si>
  <si>
    <t>GRAND HYATT DENVER</t>
  </si>
  <si>
    <t>CO</t>
  </si>
  <si>
    <t xml:space="preserve">COMPETITIVE EDGE </t>
  </si>
  <si>
    <t>WALDORF ASTORIA DEER VALLEY</t>
  </si>
  <si>
    <t>PEBBLE BEACH CASA PALMERO</t>
  </si>
  <si>
    <t>James Le will come for final inspection before packing 10-Oct</t>
  </si>
  <si>
    <t>Monica Cuevas</t>
  </si>
  <si>
    <t xml:space="preserve">SUNRIVER RESORT </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</si>
  <si>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</si>
  <si>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</si>
  <si>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</si>
  <si>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</si>
  <si>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</si>
  <si>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</si>
  <si>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</si>
  <si>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</si>
  <si>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</si>
  <si>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GY</t>
  </si>
  <si>
    <t>Guyana</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</si>
  <si>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</si>
  <si>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</si>
  <si>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</si>
  <si>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</si>
  <si>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</si>
  <si>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</si>
  <si>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</si>
  <si>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</si>
  <si>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</si>
  <si>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</si>
  <si>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</si>
  <si>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</si>
  <si>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</si>
  <si>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</si>
  <si>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</si>
  <si>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</si>
  <si>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</si>
  <si>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FOOTES REST</t>
  </si>
  <si>
    <t>FOC</t>
  </si>
  <si>
    <t>RITZ CABO VILLA</t>
  </si>
  <si>
    <t>Pending finish confirm for "Aged natural"</t>
  </si>
  <si>
    <t>BDNY</t>
  </si>
  <si>
    <t>AHS ONE CANAL CRESENT</t>
  </si>
  <si>
    <t>Florida, Miami</t>
  </si>
  <si>
    <t>Waiting for PO</t>
  </si>
  <si>
    <t>1419 MONUMENT HOTEL</t>
  </si>
  <si>
    <t>SOHO HOUSE</t>
  </si>
  <si>
    <t>OAKLEY COURT MINI BAR BRIEF</t>
  </si>
  <si>
    <t>ACCOUTER GROUP</t>
  </si>
  <si>
    <t>8 EATON LANE</t>
  </si>
  <si>
    <t>BOARDROOM FURNITURE</t>
  </si>
  <si>
    <t>CHARTER STREET TABLES</t>
  </si>
  <si>
    <t xml:space="preserve">DEER VALLEY  </t>
  </si>
  <si>
    <t>2028/M03</t>
  </si>
  <si>
    <t xml:space="preserve">ALTERRA_DEER VALLEY </t>
  </si>
  <si>
    <t>HONG</t>
  </si>
  <si>
    <t>SLPS - SUGAR LAND, PUBLIC SPACE</t>
  </si>
  <si>
    <t>2026-BISCAYNE-SLPS - SUGAR LAND, PUBLIC SPACE</t>
  </si>
  <si>
    <t>Texas</t>
  </si>
  <si>
    <t>SLPSC</t>
  </si>
  <si>
    <t>NOT YET</t>
  </si>
  <si>
    <t>MGM BELLAGIO</t>
  </si>
  <si>
    <t>Re-allocate from Auberge</t>
  </si>
  <si>
    <t>LV</t>
  </si>
  <si>
    <t>Schedule for Fleetwood WW inspection W45</t>
  </si>
  <si>
    <t>FOUR SEASON DUBROVNIK</t>
  </si>
  <si>
    <t>AGV MODEL ROOM</t>
  </si>
  <si>
    <t>AGV MODEL ROOM-EXTRA</t>
  </si>
  <si>
    <t>REJECTED</t>
  </si>
  <si>
    <t>AGSR - ARIZONA GRAND SUITES - MODEL ROOM</t>
  </si>
  <si>
    <t>AGSR - ARIZONA GRAND SUITES - EXTRA</t>
  </si>
  <si>
    <t>SPA</t>
  </si>
  <si>
    <t xml:space="preserve">Deposit invoice sent Sep/11th </t>
  </si>
  <si>
    <t>OLY PA</t>
  </si>
  <si>
    <t>Pennsylvania</t>
  </si>
  <si>
    <t>MJM</t>
  </si>
  <si>
    <t>CABIN PROJECT</t>
  </si>
  <si>
    <t>OPS-0069737 TRIBECA CONDOS - VANITIES</t>
  </si>
  <si>
    <t>MIVAN</t>
  </si>
  <si>
    <t>CLEVELAND CLINIC</t>
  </si>
  <si>
    <t>Pending Deposit</t>
  </si>
  <si>
    <t>MONTAGE PENDRY BARBADOS</t>
  </si>
  <si>
    <t>PROJECT 550 POCKET DOORS</t>
  </si>
  <si>
    <t xml:space="preserve"> FOUR SEASONS LAS VEGAS</t>
  </si>
  <si>
    <t>Nevada</t>
  </si>
  <si>
    <t>LAKE OCONEE TENTS</t>
  </si>
  <si>
    <t>Georgia</t>
  </si>
  <si>
    <t>MCO</t>
  </si>
  <si>
    <t>Orlando, Florida</t>
  </si>
  <si>
    <t>FAIRFIELD</t>
  </si>
  <si>
    <t>WASHINGTON-DUKE</t>
  </si>
  <si>
    <t>Washington DC</t>
  </si>
  <si>
    <t>MONDO CONTRACT</t>
  </si>
  <si>
    <t>LEXINGTON HOTEL</t>
  </si>
  <si>
    <t>Lexington</t>
  </si>
  <si>
    <t>Value</t>
  </si>
  <si>
    <t>YEAR</t>
  </si>
  <si>
    <t>SM</t>
  </si>
  <si>
    <t>2026</t>
  </si>
  <si>
    <t>Grand Total</t>
  </si>
  <si>
    <t>2024-RH-ST. REGIS KANAI</t>
  </si>
  <si>
    <t>2024-RH-TRUMP DORAL</t>
  </si>
  <si>
    <t>2025-RH-FOX HARBOR</t>
  </si>
  <si>
    <t>2025-RH-MAIN STREET BOUTIQUE HOTEL</t>
  </si>
  <si>
    <t>2025-RH-RH CASSIA CONDO</t>
  </si>
  <si>
    <t>2026-RH-BELGROVE VILLAS</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</si>
  <si>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</si>
  <si>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</si>
  <si>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</si>
  <si>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</si>
  <si>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</si>
  <si>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</si>
  <si>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</si>
  <si>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</si>
  <si>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</si>
  <si>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</si>
  <si>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</si>
  <si>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2026-RH-VICEROY SUGAR BEACH - ASH WOOD VERSION</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</si>
  <si>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</si>
  <si>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</si>
  <si>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</si>
  <si>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</si>
  <si>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</si>
  <si>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</si>
  <si>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</si>
  <si>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</si>
  <si>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2026-FLEETWOOD -PEBBLE BEACH CASA PALMERO</t>
  </si>
  <si>
    <t>2026-KD-KNOX DALLAS</t>
  </si>
  <si>
    <t>2026-L&amp;S-ELYSEE HOTEL</t>
  </si>
  <si>
    <t>2026-MOHI-MOHI APPELLATION</t>
  </si>
  <si>
    <t>2026-PLUS CORPORATION-SOHO HOUSE TOKYO</t>
  </si>
  <si>
    <t xml:space="preserve">2026-SPECTRUM-1122 MADISON </t>
  </si>
  <si>
    <t xml:space="preserve">2026-TRIMA-ASIATICO RESTAURANT </t>
  </si>
  <si>
    <t>2026-TRIMA-JRH</t>
  </si>
  <si>
    <t>2026-WOODHAUS-KNOX HENDERSON</t>
  </si>
  <si>
    <t>NON RH Sum</t>
  </si>
  <si>
    <t>KA</t>
  </si>
  <si>
    <t>2026-MH-MH HOTEL PROJECT</t>
  </si>
  <si>
    <t>KA Sum</t>
  </si>
  <si>
    <t>LOCAL</t>
  </si>
  <si>
    <t>2026-RSC-THẢO ĐIỀN OFFICE</t>
  </si>
  <si>
    <t>LOCAL Sum</t>
  </si>
  <si>
    <t>SHIPPED Sum</t>
  </si>
  <si>
    <t>2025-RH-ROSEWOOD CALISTOGA</t>
  </si>
  <si>
    <t>2026-RH-1419 MONUMENT HOTEL</t>
  </si>
  <si>
    <t>2026-RH-HA STUDIO PICO/WILKINS-REODER</t>
  </si>
  <si>
    <t>2026-RH-MONTAGE PENDRY BARBADOS</t>
  </si>
  <si>
    <t>2025-KD-KNOX DALLAS SUITE</t>
  </si>
  <si>
    <t>2026-AG-8 EATON LANE</t>
  </si>
  <si>
    <t>2026-AG-BOARDROOM FURNITURE</t>
  </si>
  <si>
    <t>2026-AG-CHARTER STREET TABLES</t>
  </si>
  <si>
    <t>2026-FLEETWOOD -MGM BELLAGIO</t>
  </si>
  <si>
    <t xml:space="preserve">2026-FLEETWOOD -SPANISH BAY CLUB </t>
  </si>
  <si>
    <t>2026-HBA-HILTON PASADENA</t>
  </si>
  <si>
    <t>2026-KD-KNOX DALLAS SUITE</t>
  </si>
  <si>
    <t>2026-L&amp;S-THE STANDARD MIAMI HOTEL</t>
  </si>
  <si>
    <t>OB Sum</t>
  </si>
  <si>
    <t>2026-KD-KNOX DALLAS INSPECTION COVERS</t>
  </si>
  <si>
    <t>NOR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</si>
  <si>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</si>
  <si>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</si>
  <si>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</si>
  <si>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</si>
  <si>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</si>
  <si>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</si>
  <si>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</si>
  <si>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</si>
  <si>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</si>
  <si>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</si>
  <si>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</si>
  <si>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</si>
  <si>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</si>
  <si>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</si>
  <si>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</si>
  <si>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</si>
  <si>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</si>
  <si>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</si>
  <si>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</si>
  <si>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</si>
  <si>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</si>
  <si>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</si>
  <si>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</si>
  <si>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</si>
  <si>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</si>
  <si>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</si>
  <si>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</si>
  <si>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</si>
  <si>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</si>
  <si>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</si>
  <si>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</si>
  <si>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</si>
  <si>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</si>
  <si>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</si>
  <si>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</si>
  <si>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</si>
  <si>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</si>
  <si>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</si>
  <si>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</si>
  <si>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</si>
  <si>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</si>
  <si>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</si>
  <si>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</si>
  <si>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</si>
  <si>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</si>
  <si>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</si>
  <si>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</si>
  <si>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</si>
  <si>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</si>
  <si>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</si>
  <si>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</si>
  <si>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</si>
  <si>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</si>
  <si>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</si>
  <si>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</si>
  <si>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</si>
  <si>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</si>
  <si>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</si>
  <si>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</si>
  <si>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</si>
  <si>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</si>
  <si>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</si>
  <si>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</si>
  <si>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</si>
  <si>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</si>
  <si>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</si>
  <si>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</si>
  <si>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</si>
  <si>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</si>
  <si>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</si>
  <si>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</si>
  <si>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</si>
  <si>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</si>
  <si>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</si>
  <si>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</si>
  <si>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</si>
  <si>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</si>
  <si>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</si>
  <si>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</si>
  <si>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</si>
  <si>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</si>
  <si>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</si>
  <si>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</si>
  <si>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</si>
  <si>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</si>
  <si>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</si>
  <si>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</si>
  <si>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</si>
  <si>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</si>
  <si>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</si>
  <si>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</si>
  <si>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</si>
  <si>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</si>
  <si>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</si>
  <si>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</si>
  <si>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</si>
  <si>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</si>
  <si>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</si>
  <si>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</si>
  <si>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</si>
  <si>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</si>
  <si>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</si>
  <si>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</si>
  <si>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</si>
  <si>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</si>
  <si>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</si>
  <si>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</si>
  <si>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</si>
  <si>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</si>
  <si>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</si>
  <si>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</si>
  <si>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</si>
  <si>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</si>
  <si>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</si>
  <si>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</si>
  <si>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</si>
  <si>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</si>
  <si>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</si>
  <si>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</si>
  <si>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</si>
  <si>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</si>
  <si>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</si>
  <si>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</si>
  <si>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</si>
  <si>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</si>
  <si>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</si>
  <si>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</si>
  <si>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</si>
  <si>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</si>
  <si>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</si>
  <si>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</si>
  <si>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</si>
  <si>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</si>
  <si>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</si>
  <si>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</si>
  <si>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</si>
  <si>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</si>
  <si>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</si>
  <si>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</si>
  <si>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</si>
  <si>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</si>
  <si>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</si>
  <si>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</si>
  <si>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</si>
  <si>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</si>
  <si>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</si>
  <si>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</si>
  <si>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</si>
  <si>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</si>
  <si>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</si>
  <si>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</si>
  <si>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</si>
  <si>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</si>
  <si>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</si>
  <si>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</si>
  <si>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</si>
  <si>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</si>
  <si>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</si>
  <si>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</si>
  <si>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</si>
  <si>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</si>
  <si>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</si>
  <si>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</si>
  <si>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</si>
  <si>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</si>
  <si>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</si>
  <si>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</si>
  <si>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</si>
  <si>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</si>
  <si>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</si>
  <si>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</si>
  <si>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</si>
  <si>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</si>
  <si>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</si>
  <si>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</si>
  <si>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</si>
  <si>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</si>
  <si>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</si>
  <si>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</si>
  <si>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</si>
  <si>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</si>
  <si>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</si>
  <si>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</si>
  <si>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NPD Project Conversion Analysis</t>
  </si>
  <si>
    <t>Project-level view of prototype conversion from NPD into NPI outcomes</t>
  </si>
  <si>
    <t>TOTAL NPD PROJECTS</t>
  </si>
  <si>
    <t>WON</t>
  </si>
  <si>
    <t xml:space="preserve">PENDING </t>
  </si>
  <si>
    <t>WIN RATE</t>
  </si>
  <si>
    <t>Outcome</t>
  </si>
  <si>
    <t>Projects</t>
  </si>
  <si>
    <t>NPD Prototype Value</t>
  </si>
  <si>
    <t>Won</t>
  </si>
  <si>
    <t>Project Detail — one row per unique NPD project</t>
  </si>
  <si>
    <t>Project Name (Short)</t>
  </si>
  <si>
    <t>Project Type</t>
  </si>
  <si>
    <t>Customer</t>
  </si>
  <si>
    <t>NPD Status</t>
  </si>
  <si>
    <t>NPI Status</t>
  </si>
  <si>
    <t>DANCING BEAR</t>
  </si>
  <si>
    <t>HACIENDA HOTEL LISBON PORTUGAL</t>
  </si>
  <si>
    <t>SUNRIVER RESORT</t>
  </si>
  <si>
    <t>VALUE</t>
  </si>
  <si>
    <t>Sum of COUNT</t>
  </si>
  <si>
    <t>2027</t>
  </si>
  <si>
    <t>2026-L&amp;S-FAENA TULLUM (FTMX)</t>
  </si>
  <si>
    <t>2026-RH-CIA O&amp;O GUESTROOMS</t>
  </si>
  <si>
    <t>2025-L&amp;S-RITZ CARLTON COTTON BAY</t>
  </si>
  <si>
    <t>2026-RH-GRAND HYATT BAHA MAR-PHASE 2</t>
  </si>
  <si>
    <t>2025-FLEETWOOD -W-HOTEL-LAS-VEGAS</t>
  </si>
  <si>
    <t>2026-RH-RH TRUMP SUITES NYC</t>
  </si>
  <si>
    <t>2026-SPECTRUM-OTMB VANITY</t>
  </si>
  <si>
    <t>2025-RH-TRUMP LAS VEGAS PENTHOUSES</t>
  </si>
  <si>
    <t>2026-AYALA-KHOBAR HILTON CANOPY HOTEL</t>
  </si>
  <si>
    <t>2026-RH-RITZ DOVE MOUNTAIN</t>
  </si>
  <si>
    <t xml:space="preserve">2026-BENJAMIN-HACIENDA HOTEL LISBON PORTUGAL </t>
  </si>
  <si>
    <t>2026-RH-RED SEA</t>
  </si>
  <si>
    <t>2026-SPECTRUM-PROJECT 550</t>
  </si>
  <si>
    <t xml:space="preserve">2026-RH-SUNRIVER RESORT </t>
  </si>
  <si>
    <t>2026-SH-OAKLEY COURT MINI BAR BRIEF</t>
  </si>
  <si>
    <t>2026-RH-FOUR SEASONS  DENVER</t>
  </si>
  <si>
    <t>2026-BISCAYNE-SLPSC</t>
  </si>
  <si>
    <t>2026-RH-MAUNA LANI</t>
  </si>
  <si>
    <t>2026-RH-CUSTOM BEDS FOR EU</t>
  </si>
  <si>
    <t>2026-BISCAYNE-OLY PA</t>
  </si>
  <si>
    <t xml:space="preserve">2026-RH-DANCING BEAR </t>
  </si>
  <si>
    <t>2026-MV-CLEVELAND CLINIC</t>
  </si>
  <si>
    <t>2026-RH-FOOTES REST</t>
  </si>
  <si>
    <t>2026-SPECTRUM-PROJECT 550 POCKET DOORS</t>
  </si>
  <si>
    <t xml:space="preserve">2026-RH-ALTERRA_DEER VALLEY </t>
  </si>
  <si>
    <t>2026-BISCAYNE-MCO</t>
  </si>
  <si>
    <t xml:space="preserve">2026-RH-NAMA LISBON-PUBLIC SPACE </t>
  </si>
  <si>
    <t>2026-RH- FOUR SEASONS LAS VEGAS</t>
  </si>
  <si>
    <t>2026-RH-LAKE OCONEE TENTS</t>
  </si>
  <si>
    <t>2026/W37</t>
  </si>
  <si>
    <t>2026/W40</t>
  </si>
  <si>
    <t>2026/W46</t>
  </si>
  <si>
    <t>2026/W49</t>
  </si>
  <si>
    <t>2026-BISCAYNE-PARK_AVENUE_HOTEL</t>
  </si>
  <si>
    <t>2026/W39</t>
  </si>
  <si>
    <t>2026/W47</t>
  </si>
  <si>
    <t>2027/W03</t>
  </si>
  <si>
    <t>2026-BISCAYNE-SPA</t>
  </si>
  <si>
    <t>2027/W04</t>
  </si>
  <si>
    <t>2026/W48</t>
  </si>
  <si>
    <t>2026-FAIRFIELD-WASHINGTON-DUKE</t>
  </si>
  <si>
    <t>(blank)</t>
  </si>
  <si>
    <t>2026-MONDO-LEXINGTON HOTEL</t>
  </si>
  <si>
    <t>2026-RH-GRAND HYATT DENVER</t>
  </si>
  <si>
    <t>2026/W44</t>
  </si>
  <si>
    <t>2026/W43</t>
  </si>
  <si>
    <t>2026/W52</t>
  </si>
  <si>
    <t>2026/W45</t>
  </si>
  <si>
    <t>2027/W01</t>
  </si>
  <si>
    <t>2027/W13</t>
  </si>
  <si>
    <t>2027/W14</t>
  </si>
  <si>
    <t>2027/W09</t>
  </si>
  <si>
    <t>2027/W12</t>
  </si>
  <si>
    <t>2027/W05</t>
  </si>
  <si>
    <t>2026-RH-RANCHO VALENCIA</t>
  </si>
  <si>
    <t>2027/W15</t>
  </si>
  <si>
    <t>2027/W16</t>
  </si>
  <si>
    <t>2027/W19</t>
  </si>
  <si>
    <t>2027/W26</t>
  </si>
  <si>
    <t xml:space="preserve">2026-RH-COMPETITIVE EDGE </t>
  </si>
  <si>
    <t>2027/W02</t>
  </si>
  <si>
    <t>2026-RH-RITZ CABO VILLA</t>
  </si>
  <si>
    <t>NPD Sum</t>
  </si>
  <si>
    <t>NPI Sum</t>
  </si>
  <si>
    <t>Lex</t>
  </si>
  <si>
    <t>TBC-BISCAYNE-PARK_AVENUE_HOTEL</t>
  </si>
  <si>
    <t>Check vs c Van confirm FC sx -&gt; Nói Michael cho BOQ sx để prepare capacity</t>
  </si>
  <si>
    <t>TBC-FAIRFIELD-WASHINGTON-DUKE</t>
  </si>
  <si>
    <t>BIEN Sum</t>
  </si>
  <si>
    <t>DUNG Sum</t>
  </si>
  <si>
    <t xml:space="preserve">2026-RH-DEER VALLEY  </t>
  </si>
  <si>
    <t>DUY Sum</t>
  </si>
  <si>
    <t>2026-FLEETWOOD -WALDORF ASTORIA DEER VALLEY</t>
  </si>
  <si>
    <t>2026-TRIMA-JOIA TIERRA DEL SOL</t>
  </si>
  <si>
    <t>THAO Sum</t>
  </si>
  <si>
    <t>TRAN Sum</t>
  </si>
  <si>
    <t>PHONG Sum</t>
  </si>
  <si>
    <t>Values</t>
  </si>
  <si>
    <t>Total  COUNT</t>
  </si>
  <si>
    <t>Total Value</t>
  </si>
  <si>
    <t xml:space="preserve"> COUNT</t>
  </si>
  <si>
    <t>2026/W50</t>
  </si>
  <si>
    <t>2026/W02</t>
  </si>
  <si>
    <t>RESTORATION HARDWARE_HS Sum</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</si>
  <si>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</si>
  <si>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</si>
  <si>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</si>
  <si>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</si>
  <si>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</si>
  <si>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</si>
  <si>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</si>
  <si>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</si>
  <si>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</si>
  <si>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</si>
  <si>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</si>
  <si>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</si>
  <si>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</si>
  <si>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</si>
  <si>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</si>
  <si>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</si>
  <si>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</si>
  <si>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</si>
  <si>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</si>
  <si>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</si>
  <si>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</si>
  <si>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</si>
  <si>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</si>
  <si>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PAYMENT TERM</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</si>
  <si>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</si>
  <si>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</si>
  <si>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</si>
  <si>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</si>
  <si>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</si>
  <si>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</si>
  <si>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</si>
  <si>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</si>
  <si>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</si>
  <si>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</si>
  <si>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</si>
  <si>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</si>
  <si>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</si>
  <si>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</si>
  <si>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</si>
  <si>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</si>
  <si>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</si>
  <si>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</si>
  <si>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</si>
  <si>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</si>
  <si>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</si>
  <si>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MONDO</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</si>
  <si>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</si>
  <si>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</si>
  <si>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</si>
  <si>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</si>
  <si>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</si>
  <si>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</si>
  <si>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</si>
  <si>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</si>
  <si>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</si>
  <si>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</si>
  <si>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</si>
  <si>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</si>
  <si>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</si>
  <si>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</si>
  <si>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</si>
  <si>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</si>
  <si>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</si>
  <si>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</si>
  <si>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</si>
  <si>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</si>
  <si>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</si>
  <si>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2026/W29</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</si>
  <si>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</si>
  <si>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</si>
  <si>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</si>
  <si>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</si>
  <si>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</si>
  <si>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</si>
  <si>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</si>
  <si>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</si>
  <si>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</si>
  <si>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</si>
  <si>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</si>
  <si>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</si>
  <si>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</si>
  <si>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</si>
  <si>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</si>
  <si>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</si>
  <si>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Removed</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</si>
  <si>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</si>
  <si>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</si>
  <si>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</si>
  <si>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</si>
  <si>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</si>
  <si>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</si>
  <si>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</si>
  <si>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</si>
  <si>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</si>
  <si>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</si>
  <si>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</si>
  <si>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</si>
  <si>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</si>
  <si>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</si>
  <si>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</si>
  <si>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</si>
  <si>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</si>
  <si>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</si>
  <si>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</si>
  <si>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</si>
  <si>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</si>
  <si>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</si>
  <si>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</si>
  <si>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</si>
  <si>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</si>
  <si>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</si>
  <si>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</si>
  <si>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</si>
  <si>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</si>
  <si>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</si>
  <si>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</si>
  <si>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</si>
  <si>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</si>
  <si>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</si>
  <si>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</si>
  <si>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</si>
  <si>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</si>
  <si>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</si>
  <si>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</si>
  <si>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</si>
  <si>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</si>
  <si>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</si>
  <si>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</si>
  <si>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</si>
  <si>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</si>
  <si>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</si>
  <si>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</si>
  <si>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</si>
  <si>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</si>
  <si>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</si>
  <si>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</si>
  <si>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</si>
  <si>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</si>
  <si>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</si>
  <si>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</si>
  <si>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</si>
  <si>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</si>
  <si>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</si>
  <si>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</si>
  <si>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</si>
  <si>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</si>
  <si>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</si>
  <si>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</si>
  <si>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</si>
  <si>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</si>
  <si>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</si>
  <si>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</si>
  <si>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</si>
  <si>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</si>
  <si>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</si>
  <si>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</si>
  <si>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</si>
  <si>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</si>
  <si>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</si>
  <si>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</si>
  <si>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</si>
  <si>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</si>
  <si>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</si>
  <si>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</si>
  <si>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</si>
  <si>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</si>
  <si>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</si>
  <si>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</si>
  <si>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</si>
  <si>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</si>
  <si>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</si>
  <si>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</si>
  <si>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</si>
  <si>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</si>
  <si>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</si>
  <si>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</si>
  <si>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</si>
  <si>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</si>
  <si>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</si>
  <si>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</si>
  <si>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</si>
  <si>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</si>
  <si>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</si>
  <si>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</si>
  <si>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</si>
  <si>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</si>
  <si>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</si>
  <si>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</si>
  <si>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</si>
  <si>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</si>
  <si>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</si>
  <si>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</si>
  <si>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</si>
  <si>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</si>
  <si>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</si>
  <si>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</si>
  <si>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</si>
  <si>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</si>
  <si>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</si>
  <si>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</si>
  <si>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</si>
  <si>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</si>
  <si>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2026/W38</t>
  </si>
  <si>
    <t>2026/W41</t>
  </si>
  <si>
    <t>Oct</t>
  </si>
  <si>
    <t>2026/W42</t>
  </si>
  <si>
    <t>Nov</t>
  </si>
  <si>
    <t>Vietnam’s Culture Day (11/24)v</t>
  </si>
  <si>
    <t>Dec</t>
  </si>
  <si>
    <t>2026/W51</t>
  </si>
  <si>
    <t>2027/W06</t>
  </si>
  <si>
    <t>2027/W07</t>
  </si>
  <si>
    <t>2027/W08</t>
  </si>
  <si>
    <t>2027/W10</t>
  </si>
  <si>
    <t>2027/W11</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</si>
  <si>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</si>
  <si>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</si>
  <si>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</si>
  <si>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</si>
  <si>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</si>
  <si>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</si>
  <si>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</si>
  <si>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</si>
  <si>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</si>
  <si>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</si>
  <si>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</si>
  <si>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</si>
  <si>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</si>
  <si>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</si>
  <si>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</si>
  <si>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</si>
  <si>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</si>
  <si>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</si>
  <si>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</si>
  <si>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</si>
  <si>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</si>
  <si>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</si>
  <si>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</si>
  <si>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</si>
  <si>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</si>
  <si>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</si>
  <si>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</si>
  <si>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</si>
  <si>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</si>
  <si>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</si>
  <si>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</si>
  <si>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</si>
  <si>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</si>
  <si>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</si>
  <si>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</si>
  <si>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</si>
  <si>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</si>
  <si>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SKUs</t>
  </si>
  <si>
    <t>Qty</t>
  </si>
  <si>
    <t>BE Qty</t>
  </si>
  <si>
    <t>Ship WK</t>
  </si>
  <si>
    <t>Friday</t>
  </si>
  <si>
    <t>Transit time (days)</t>
  </si>
  <si>
    <t>London Port</t>
  </si>
  <si>
    <t>BOQ 1</t>
  </si>
  <si>
    <t>1st shipment</t>
  </si>
  <si>
    <t>Lower Ground Floor, Ground Floor, 2nd Floor</t>
  </si>
  <si>
    <t>2nd</t>
  </si>
  <si>
    <t>3rd</t>
  </si>
  <si>
    <t>Sunriver</t>
  </si>
  <si>
    <t>WK13-14</t>
  </si>
  <si>
    <t>BOQ 2nd</t>
  </si>
  <si>
    <t>Start WK15</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</si>
  <si>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</si>
  <si>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</si>
  <si>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</si>
  <si>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</si>
  <si>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</si>
  <si>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</si>
  <si>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</si>
  <si>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</si>
  <si>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</si>
  <si>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</si>
  <si>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</si>
  <si>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</si>
  <si>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</si>
  <si>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</si>
  <si>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</si>
  <si>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</si>
  <si>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</si>
  <si>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</si>
  <si>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</si>
  <si>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</si>
  <si>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</si>
  <si>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</si>
  <si>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</si>
  <si>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</si>
  <si>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</si>
  <si>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</si>
  <si>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</si>
  <si>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</si>
  <si>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</si>
  <si>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</si>
  <si>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</si>
  <si>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</si>
  <si>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</si>
  <si>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</si>
  <si>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</si>
  <si>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</si>
  <si>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</si>
  <si>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</si>
  <si>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</si>
  <si>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</si>
  <si>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</si>
  <si>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</si>
  <si>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</si>
  <si>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</si>
  <si>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</si>
  <si>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</si>
  <si>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</si>
  <si>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</si>
  <si>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</si>
  <si>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</si>
  <si>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</si>
  <si>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</si>
  <si>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</si>
  <si>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</si>
  <si>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</si>
  <si>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</si>
  <si>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</si>
  <si>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</si>
  <si>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</si>
  <si>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</si>
  <si>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</si>
  <si>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</si>
  <si>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</si>
  <si>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</si>
  <si>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</si>
  <si>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</si>
  <si>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</si>
  <si>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</si>
  <si>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</si>
  <si>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</si>
  <si>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</si>
  <si>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</si>
  <si>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</si>
  <si>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</si>
  <si>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</si>
  <si>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</si>
  <si>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</si>
  <si>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</si>
  <si>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</si>
  <si>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</si>
  <si>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</si>
  <si>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</si>
  <si>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</si>
  <si>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</si>
  <si>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</si>
  <si>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</si>
  <si>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</si>
  <si>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</si>
  <si>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</si>
  <si>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</si>
  <si>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</si>
  <si>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</si>
  <si>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</si>
  <si>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</si>
  <si>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</si>
  <si>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</si>
  <si>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</si>
  <si>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</si>
  <si>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</si>
  <si>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</si>
  <si>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</si>
  <si>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</si>
  <si>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</si>
  <si>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</si>
  <si>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</si>
  <si>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</si>
  <si>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</si>
  <si>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</si>
  <si>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</si>
  <si>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</si>
  <si>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</si>
  <si>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</si>
  <si>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</si>
  <si>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</si>
  <si>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</si>
  <si>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</si>
  <si>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</si>
  <si>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</si>
  <si>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</si>
  <si>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</si>
  <si>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</si>
  <si>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</si>
  <si>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</si>
  <si>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</si>
  <si>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</si>
  <si>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</si>
  <si>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</si>
  <si>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</si>
  <si>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</si>
  <si>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</si>
  <si>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</si>
  <si>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</si>
  <si>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</si>
  <si>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</si>
  <si>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</si>
  <si>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</si>
  <si>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</si>
  <si>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</si>
  <si>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</si>
  <si>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</si>
  <si>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</si>
  <si>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</si>
  <si>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</si>
  <si>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</si>
  <si>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</si>
  <si>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</si>
  <si>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</si>
  <si>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</si>
  <si>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</si>
  <si>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</si>
  <si>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</si>
  <si>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</si>
  <si>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</si>
  <si>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</si>
  <si>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</si>
  <si>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</si>
  <si>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</si>
  <si>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</si>
  <si>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</si>
  <si>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</si>
  <si>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</si>
  <si>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</si>
  <si>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</si>
  <si>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</si>
  <si>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</si>
  <si>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</si>
  <si>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</si>
  <si>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</si>
  <si>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</si>
  <si>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</si>
  <si>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</si>
  <si>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</si>
  <si>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</si>
  <si>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</si>
  <si>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</si>
  <si>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</si>
  <si>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</si>
  <si>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</si>
  <si>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</si>
  <si>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</si>
  <si>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</si>
  <si>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</si>
  <si>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</si>
  <si>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</si>
  <si>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</si>
  <si>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</si>
  <si>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</si>
  <si>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</si>
  <si>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</si>
  <si>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</si>
  <si>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</si>
  <si>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</si>
  <si>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</si>
  <si>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</si>
  <si>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</si>
  <si>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</si>
  <si>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</si>
  <si>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</si>
  <si>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</si>
  <si>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</si>
  <si>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</si>
  <si>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</si>
  <si>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</si>
  <si>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</si>
  <si>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</si>
  <si>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</si>
  <si>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</si>
  <si>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</si>
  <si>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</si>
  <si>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</si>
  <si>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</si>
  <si>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</si>
  <si>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</si>
  <si>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</si>
  <si>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</si>
  <si>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</si>
  <si>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</si>
  <si>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</si>
  <si>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</si>
  <si>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</si>
  <si>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</si>
  <si>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</si>
  <si>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</si>
  <si>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</si>
  <si>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</si>
  <si>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</si>
  <si>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</si>
  <si>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</si>
  <si>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</si>
  <si>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</si>
  <si>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</si>
  <si>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</si>
  <si>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</si>
  <si>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</si>
  <si>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</si>
  <si>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</si>
  <si>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</si>
  <si>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</si>
  <si>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</si>
  <si>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</si>
  <si>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</si>
  <si>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</si>
  <si>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</si>
  <si>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</si>
  <si>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</si>
  <si>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</si>
  <si>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</si>
  <si>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</si>
  <si>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</si>
  <si>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</si>
  <si>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</si>
  <si>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</si>
  <si>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</si>
  <si>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</si>
  <si>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</si>
  <si>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</si>
  <si>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</si>
  <si>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</si>
  <si>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</si>
  <si>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</si>
  <si>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</si>
  <si>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</si>
  <si>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</si>
  <si>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</si>
  <si>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</si>
  <si>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</si>
  <si>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</si>
  <si>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</si>
  <si>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</si>
  <si>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</si>
  <si>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</si>
  <si>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</si>
  <si>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</si>
  <si>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</si>
  <si>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</si>
  <si>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</si>
  <si>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</si>
  <si>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</si>
  <si>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</si>
  <si>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</si>
  <si>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</si>
  <si>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</si>
  <si>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</si>
  <si>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</si>
  <si>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</si>
  <si>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</si>
  <si>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</si>
  <si>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</si>
  <si>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</si>
  <si>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</si>
  <si>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</si>
  <si>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</si>
  <si>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</si>
  <si>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</si>
  <si>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</si>
  <si>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</si>
  <si>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</si>
  <si>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</si>
  <si>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</si>
  <si>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</si>
  <si>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</si>
  <si>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</si>
  <si>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</si>
  <si>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</si>
  <si>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</si>
  <si>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</si>
  <si>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</si>
  <si>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</si>
  <si>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</si>
  <si>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</si>
  <si>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</si>
  <si>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</si>
  <si>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</si>
  <si>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</si>
  <si>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</si>
  <si>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</si>
  <si>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</si>
  <si>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</si>
  <si>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</si>
  <si>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</si>
  <si>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</si>
  <si>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</si>
  <si>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</si>
  <si>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</si>
  <si>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</si>
  <si>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</si>
  <si>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</si>
  <si>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</si>
  <si>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</si>
  <si>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</si>
  <si>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</si>
  <si>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</si>
  <si>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</si>
  <si>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</si>
  <si>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</si>
  <si>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</si>
  <si>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</si>
  <si>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</si>
  <si>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</si>
  <si>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</si>
  <si>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</si>
  <si>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</si>
  <si>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</si>
  <si>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</si>
  <si>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</si>
  <si>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</si>
  <si>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</si>
  <si>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</si>
  <si>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</si>
  <si>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</si>
  <si>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</si>
  <si>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</si>
  <si>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</si>
  <si>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</si>
  <si>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</si>
  <si>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</si>
  <si>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</si>
  <si>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</si>
  <si>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</si>
  <si>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</si>
  <si>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</si>
  <si>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</si>
  <si>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</si>
  <si>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</si>
  <si>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</si>
  <si>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</si>
  <si>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</si>
  <si>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</si>
  <si>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</si>
  <si>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</si>
  <si>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</si>
  <si>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</si>
  <si>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</si>
  <si>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</si>
  <si>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</si>
  <si>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</si>
  <si>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</si>
  <si>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</si>
  <si>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</si>
  <si>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</si>
  <si>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</si>
  <si>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</si>
  <si>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</si>
  <si>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</si>
  <si>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</si>
  <si>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</si>
  <si>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</si>
  <si>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</si>
  <si>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</si>
  <si>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</si>
  <si>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</si>
  <si>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</si>
  <si>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</si>
  <si>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</si>
  <si>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</si>
  <si>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</si>
  <si>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</si>
  <si>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</si>
  <si>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</si>
  <si>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</si>
  <si>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</si>
  <si>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</si>
  <si>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</si>
  <si>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</si>
  <si>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</si>
  <si>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</si>
  <si>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</si>
  <si>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</si>
  <si>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</si>
  <si>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</si>
  <si>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</si>
  <si>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</si>
  <si>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</si>
  <si>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</si>
  <si>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</si>
  <si>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</si>
  <si>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</si>
  <si>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</si>
  <si>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</si>
  <si>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</si>
  <si>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</si>
  <si>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</si>
  <si>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</si>
  <si>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</si>
  <si>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</si>
  <si>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</si>
  <si>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</si>
  <si>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</si>
  <si>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</si>
  <si>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</si>
  <si>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</si>
  <si>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</si>
  <si>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</si>
  <si>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</si>
  <si>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</si>
  <si>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</si>
  <si>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</si>
  <si>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</si>
  <si>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</si>
  <si>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</si>
  <si>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</si>
  <si>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</si>
  <si>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</si>
  <si>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</si>
  <si>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</si>
  <si>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</si>
  <si>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</si>
  <si>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</si>
  <si>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</si>
  <si>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</si>
  <si>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</si>
  <si>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</si>
  <si>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</si>
  <si>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</si>
  <si>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</si>
  <si>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</si>
  <si>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</si>
  <si>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</si>
  <si>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</si>
  <si>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</si>
  <si>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</si>
  <si>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</si>
  <si>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</si>
  <si>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</si>
  <si>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</si>
  <si>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</si>
  <si>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</si>
  <si>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</si>
  <si>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</si>
  <si>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</si>
  <si>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</si>
  <si>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</si>
  <si>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</si>
  <si>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</si>
  <si>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</si>
  <si>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</si>
  <si>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</si>
  <si>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</si>
  <si>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</si>
  <si>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</si>
  <si>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</si>
  <si>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</si>
  <si>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</si>
  <si>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</si>
  <si>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</si>
  <si>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</si>
  <si>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</si>
  <si>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</si>
  <si>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</si>
  <si>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</si>
  <si>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</si>
  <si>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</si>
  <si>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</si>
  <si>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</si>
  <si>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</si>
  <si>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2026-BROOKFIELD-PARK HYATT VANCOUVER</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</si>
  <si>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</si>
  <si>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</si>
  <si>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</si>
  <si>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</si>
  <si>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</si>
  <si>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</si>
  <si>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</si>
  <si>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2026-L&amp;S-HARD ROCK SAN JUAN</t>
  </si>
  <si>
    <t>TBC-L&amp;S-SILVERSANDS GRAND ANSE</t>
  </si>
  <si>
    <t>Removed-AHMADIAH-MARRIOTT KHOBAR</t>
  </si>
  <si>
    <t>2025-RH-TRUMP NYC</t>
  </si>
  <si>
    <t>NHI, BIEN</t>
  </si>
  <si>
    <t>Total NPI Break Value</t>
  </si>
  <si>
    <t>WON TOTAL NPI BREAK VALUE</t>
  </si>
  <si>
    <t>LOST</t>
  </si>
  <si>
    <t>Lost</t>
  </si>
  <si>
    <t>Matching key: PROJECT NAME (SHORT), so NPD and NPI records with different years are treated as the same project. Won = NPI STATUS FC, NOR, OB or SHIPPED. Lost = DROPPED or CANCELLED in NPD or NPI, including cancelled/dropped projects recorded only at NPI stage. NPI value = total PROJECT BREAK VALUE across all matching NPI rows. REJECTED NPD-only projects are excluded.</t>
  </si>
  <si>
    <t xml:space="preserve">CABOT HILLSIDE HOMES </t>
  </si>
  <si>
    <t>CLEVELAND CLINIC-PHASE 2</t>
  </si>
  <si>
    <t xml:space="preserve">2026-RH-CABOT HILLSIDE HOMES </t>
  </si>
  <si>
    <t>2026-MV-CLEVELAND CLINIC-PHASE 2</t>
  </si>
  <si>
    <t>FC Sum</t>
  </si>
  <si>
    <t>No request SD</t>
  </si>
  <si>
    <t>Request early Mar for May installation</t>
  </si>
  <si>
    <t>No sidemark?</t>
  </si>
  <si>
    <t>Combine with RH core container to DC97</t>
  </si>
  <si>
    <t>OR</t>
  </si>
  <si>
    <t>6/8: Approved as Note, 2/8: RSC revision</t>
  </si>
  <si>
    <t>Shpped Gael panel on 19-oct</t>
  </si>
  <si>
    <t>Reviewed bybJohn Lee &amp; video call with RH 21-Oct. Shipment combine with RH core SPO container.</t>
  </si>
  <si>
    <t>5/7: Submitted 26-Oct, pending approval
2/7: In progress, schedule to submit 29-Oct</t>
  </si>
  <si>
    <t>RSC is reviewing old drawing to see if there's any update needed.</t>
  </si>
  <si>
    <t>PZT</t>
  </si>
  <si>
    <t>KNOX DALLAS- 1198-1509</t>
  </si>
  <si>
    <t>2026-KD-KNOX DALLAS- 1198-1509</t>
  </si>
  <si>
    <t>2026-BISCAYNE-PZT</t>
  </si>
  <si>
    <t xml:space="preserve">SNAKE RIVER LODGE BLUEFLAG-ADDITIONAL </t>
  </si>
  <si>
    <t xml:space="preserve">2026-RH-SNAKE RIVER LODGE BLUEFLAG-ADDITIONAL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</si>
</sst>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 numFmtId="177" formatCode="[$$-409]#,##0.00"/>
    <numFmt numFmtId="178" formatCode="_-&quot;$&quot;* #,##0.00_-;\-&quot;$&quot;* #,##0.00_-;_-&quot;$&quot;* &quot;-&quot;??_-;_-@_-"/>
  </numFmts>
  <fonts count="86">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family val="2"/>
    </font>
    <font>
      <b/>
      <sz val="22"/>
      <color rgb="FFFFFFFF"/>
      <name val="Aptos Narrow"/>
      <family val="2"/>
      <scheme val="minor"/>
    </font>
    <font>
      <sz val="12"/>
      <color rgb="FF365F91"/>
      <name val="Aptos Narrow"/>
      <family val="2"/>
      <scheme val="minor"/>
    </font>
    <font>
      <sz val="9"/>
      <color rgb="FF666666"/>
      <name val="Aptos Narrow"/>
      <family val="2"/>
      <scheme val="minor"/>
    </font>
    <font>
      <b/>
      <sz val="9"/>
      <color rgb="FF365F91"/>
      <name val="Aptos Narrow"/>
      <family val="2"/>
      <scheme val="minor"/>
    </font>
    <font>
      <b/>
      <sz val="20"/>
      <color rgb="FF17365D"/>
      <name val="Aptos Narrow"/>
      <family val="2"/>
      <scheme val="minor"/>
    </font>
    <font>
      <b/>
      <sz val="11"/>
      <color rgb="FF17365D"/>
      <name val="Aptos Narrow"/>
      <family val="2"/>
      <scheme val="minor"/>
    </font>
    <font>
      <sz val="11"/>
      <color rgb="FF000000"/>
      <name val="Calibri"/>
      <family val="2"/>
    </font>
    <font>
      <b/>
      <sz val="12"/>
      <color rgb="FF000000"/>
      <name val="Avenir Next"/>
      <family val="2"/>
    </font>
    <font>
      <sz val="10"/>
      <color rgb="FF000000"/>
      <name val="Aptos Narrow"/>
      <family val="2"/>
      <scheme val="minor"/>
    </font>
    <font>
      <b/>
      <sz val="11"/>
      <color theme="1" tint="0.24994659260841701"/>
      <name val="Aptos Narrow"/>
      <family val="2"/>
      <scheme val="minor"/>
    </font>
    <font>
      <sz val="12"/>
      <color theme="1" tint="0.24994659260841701"/>
      <name val="Aptos Display"/>
      <family val="2"/>
      <scheme val="major"/>
    </font>
    <font>
      <sz val="11"/>
      <color theme="1" tint="0.24994659260841701"/>
      <name val="Aptos Display"/>
      <family val="2"/>
      <scheme val="major"/>
    </font>
    <font>
      <sz val="14"/>
      <color theme="1" tint="0.24994659260841701"/>
      <name val="Aptos Narrow"/>
      <family val="2"/>
      <scheme val="minor"/>
    </font>
    <font>
      <b/>
      <sz val="11"/>
      <color theme="1" tint="0.34998626667073579"/>
      <name val="Aptos Narrow"/>
      <family val="2"/>
      <scheme val="minor"/>
    </font>
    <font>
      <b/>
      <sz val="13"/>
      <color theme="1" tint="0.24994659260841701"/>
      <name val="Aptos Display"/>
      <family val="2"/>
      <scheme val="major"/>
    </font>
    <font>
      <b/>
      <sz val="13"/>
      <color theme="7"/>
      <name val="Aptos Display"/>
      <family val="2"/>
      <scheme val="major"/>
    </font>
  </fonts>
  <fills count="57">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FF"/>
        <bgColor indexed="64"/>
      </patternFill>
    </fill>
    <fill>
      <patternFill patternType="solid">
        <fgColor rgb="FF17365D"/>
        <bgColor indexed="64"/>
      </patternFill>
    </fill>
    <fill>
      <patternFill patternType="solid">
        <fgColor rgb="FFEAF0F8"/>
        <bgColor indexed="64"/>
      </patternFill>
    </fill>
    <fill>
      <patternFill patternType="solid">
        <fgColor rgb="FFD9E2F3"/>
        <bgColor indexed="64"/>
      </patternFill>
    </fill>
    <fill>
      <patternFill patternType="solid">
        <fgColor theme="4" tint="0.59999389629810485"/>
        <bgColor indexed="64"/>
      </patternFill>
    </fill>
    <fill>
      <patternFill patternType="solid">
        <fgColor theme="0"/>
        <bgColor indexed="64"/>
      </patternFill>
    </fill>
    <fill>
      <patternFill patternType="solid">
        <fgColor theme="9" tint="0.59996337778862885"/>
        <bgColor indexed="64"/>
      </patternFill>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
      <left/>
      <right/>
      <top/>
      <bottom style="thin">
        <color rgb="FF9FBAD0"/>
      </bottom>
      <diagonal/>
    </border>
    <border>
      <left style="medium">
        <color indexed="64"/>
      </left>
      <right style="medium">
        <color indexed="64"/>
      </right>
      <top/>
      <bottom style="medium">
        <color indexed="64"/>
      </bottom>
      <diagonal/>
    </border>
    <border>
      <left/>
      <right/>
      <top style="thin">
        <color theme="9" tint="-0.24994659260841701"/>
      </top>
      <bottom style="thin">
        <color theme="9" tint="-0.24994659260841701"/>
      </bottom>
      <diagonal/>
    </border>
    <border>
      <left style="thick">
        <color theme="0"/>
      </left>
      <right style="thick">
        <color theme="0"/>
      </right>
      <top style="thin">
        <color theme="0"/>
      </top>
      <bottom style="thick">
        <color theme="0"/>
      </bottom>
      <diagonal/>
    </border>
    <border>
      <left style="thick">
        <color theme="0"/>
      </left>
      <right style="thick">
        <color theme="0"/>
      </right>
      <top style="thick">
        <color theme="0"/>
      </top>
      <bottom style="thick">
        <color theme="0"/>
      </bottom>
      <diagonal/>
    </border>
    <border>
      <left/>
      <right/>
      <top/>
      <bottom style="thin">
        <color theme="7"/>
      </bottom>
      <diagonal/>
    </border>
  </borders>
  <cellStyleXfs count="35">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xf numFmtId="9" fontId="3" fillId="0" borderId="0" applyFont="0" applyFill="0" applyBorder="0" applyAlignment="0" applyProtection="0"/>
    <xf numFmtId="0" fontId="76" fillId="0" borderId="0"/>
    <xf numFmtId="9" fontId="4" fillId="0" borderId="0" applyFont="0" applyFill="0" applyBorder="0" applyAlignment="0" applyProtection="0"/>
    <xf numFmtId="0" fontId="13" fillId="0" borderId="0"/>
    <xf numFmtId="0" fontId="3" fillId="0" borderId="0"/>
    <xf numFmtId="0" fontId="3" fillId="0" borderId="0"/>
    <xf numFmtId="0" fontId="4" fillId="0" borderId="0"/>
    <xf numFmtId="0" fontId="3" fillId="0" borderId="0"/>
    <xf numFmtId="0" fontId="3" fillId="0" borderId="0"/>
    <xf numFmtId="0" fontId="3" fillId="0" borderId="0"/>
    <xf numFmtId="0" fontId="3" fillId="0" borderId="0"/>
    <xf numFmtId="0" fontId="13" fillId="0" borderId="0"/>
    <xf numFmtId="0" fontId="78" fillId="0" borderId="0"/>
    <xf numFmtId="0" fontId="3" fillId="0" borderId="0"/>
    <xf numFmtId="0" fontId="3" fillId="0" borderId="0"/>
    <xf numFmtId="178" fontId="3" fillId="0" borderId="0" applyFont="0" applyFill="0" applyBorder="0" applyAlignment="0" applyProtection="0"/>
    <xf numFmtId="0" fontId="79" fillId="51" borderId="22" applyNumberFormat="0" applyProtection="0">
      <alignment horizontal="left" vertical="center"/>
    </xf>
    <xf numFmtId="1" fontId="80" fillId="51" borderId="22">
      <alignment horizontal="center" vertical="center"/>
    </xf>
    <xf numFmtId="0" fontId="81" fillId="52" borderId="23" applyNumberFormat="0" applyFont="0" applyAlignment="0">
      <alignment horizontal="center"/>
    </xf>
    <xf numFmtId="0" fontId="82" fillId="0" borderId="0" applyNumberFormat="0" applyFill="0" applyBorder="0" applyProtection="0">
      <alignment horizontal="left" vertical="center"/>
    </xf>
    <xf numFmtId="0" fontId="81" fillId="53" borderId="24" applyNumberFormat="0" applyFont="0" applyAlignment="0">
      <alignment horizontal="center"/>
    </xf>
    <xf numFmtId="0" fontId="81" fillId="54" borderId="24" applyNumberFormat="0" applyFont="0" applyAlignment="0">
      <alignment horizontal="center"/>
    </xf>
    <xf numFmtId="0" fontId="81" fillId="55" borderId="24" applyNumberFormat="0" applyFont="0" applyAlignment="0">
      <alignment horizontal="center"/>
    </xf>
    <xf numFmtId="0" fontId="81" fillId="56" borderId="24" applyNumberFormat="0" applyFont="0" applyAlignment="0">
      <alignment horizontal="center"/>
    </xf>
    <xf numFmtId="0" fontId="83" fillId="0" borderId="0" applyFill="0" applyBorder="0" applyProtection="0">
      <alignment horizontal="center" wrapText="1"/>
    </xf>
    <xf numFmtId="3" fontId="83" fillId="0" borderId="25" applyFill="0" applyProtection="0">
      <alignment horizontal="center"/>
    </xf>
    <xf numFmtId="0" fontId="84" fillId="0" borderId="0" applyFill="0" applyBorder="0" applyProtection="0">
      <alignment horizontal="left" wrapText="1"/>
    </xf>
    <xf numFmtId="9" fontId="85" fillId="0" borderId="0" applyFill="0" applyBorder="0" applyProtection="0">
      <alignment horizontal="center" vertical="center"/>
    </xf>
    <xf numFmtId="0" fontId="78" fillId="0" borderId="0"/>
  </cellStyleXfs>
  <cellXfs count="375">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64" fillId="42"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4" fontId="5" fillId="43"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0" fontId="68" fillId="0" borderId="0" xfId="0" applyFont="1"/>
    <xf numFmtId="0" fontId="69" fillId="0" borderId="0" xfId="0" applyFont="1"/>
    <xf numFmtId="0" fontId="0" fillId="45" borderId="0" xfId="0" applyFill="1"/>
    <xf numFmtId="0" fontId="52" fillId="35" borderId="0" xfId="0" applyFont="1" applyFill="1"/>
    <xf numFmtId="166" fontId="0" fillId="45" borderId="0" xfId="0" applyNumberFormat="1" applyFill="1"/>
    <xf numFmtId="0" fontId="0" fillId="14" borderId="0" xfId="0" applyFill="1" applyAlignment="1">
      <alignment vertical="top" wrapText="1"/>
    </xf>
    <xf numFmtId="9" fontId="0" fillId="45" borderId="0" xfId="6" applyFont="1" applyFill="1" applyAlignment="1">
      <alignment horizontal="left"/>
    </xf>
    <xf numFmtId="167" fontId="0" fillId="45" borderId="0" xfId="0" applyNumberFormat="1" applyFill="1"/>
    <xf numFmtId="166" fontId="66" fillId="4" borderId="0" xfId="0" applyNumberFormat="1" applyFont="1" applyFill="1"/>
    <xf numFmtId="3" fontId="0" fillId="0" borderId="0" xfId="0" applyNumberFormat="1"/>
    <xf numFmtId="166" fontId="66" fillId="41" borderId="0" xfId="0" applyNumberFormat="1" applyFont="1" applyFill="1"/>
    <xf numFmtId="0" fontId="2" fillId="0" borderId="0" xfId="0" applyFont="1" applyAlignment="1">
      <alignment vertical="top"/>
    </xf>
    <xf numFmtId="0" fontId="59" fillId="49" borderId="0" xfId="0" applyFont="1" applyFill="1"/>
    <xf numFmtId="166" fontId="59" fillId="49" borderId="0" xfId="0" applyNumberFormat="1" applyFont="1" applyFill="1"/>
    <xf numFmtId="15" fontId="0" fillId="0" borderId="0" xfId="0" applyNumberFormat="1" applyAlignment="1">
      <alignment vertical="center" wrapText="1"/>
    </xf>
    <xf numFmtId="177" fontId="77" fillId="50" borderId="21" xfId="7" applyNumberFormat="1" applyFont="1" applyFill="1" applyBorder="1" applyAlignment="1">
      <alignment horizontal="center" vertical="center"/>
    </xf>
    <xf numFmtId="175" fontId="0" fillId="0" borderId="0" xfId="0" applyNumberFormat="1" applyAlignment="1">
      <alignment vertical="center" wrapText="1"/>
    </xf>
    <xf numFmtId="175" fontId="63" fillId="37" borderId="0" xfId="0" applyNumberFormat="1" applyFont="1" applyFill="1" applyAlignment="1">
      <alignment vertical="center"/>
    </xf>
    <xf numFmtId="166" fontId="49" fillId="4" borderId="0" xfId="0" applyNumberFormat="1" applyFont="1" applyFill="1"/>
    <xf numFmtId="166" fontId="44" fillId="50" borderId="0" xfId="0" applyNumberFormat="1" applyFont="1" applyFill="1"/>
    <xf numFmtId="166" fontId="66" fillId="50" borderId="0" xfId="0" applyNumberFormat="1" applyFont="1" applyFill="1"/>
    <xf numFmtId="166" fontId="49" fillId="50" borderId="0" xfId="0" applyNumberFormat="1" applyFont="1" applyFill="1"/>
    <xf numFmtId="166" fontId="2" fillId="0" borderId="0" xfId="0" applyNumberFormat="1" applyFont="1"/>
    <xf numFmtId="166" fontId="66" fillId="0" borderId="0" xfId="0" applyNumberFormat="1" applyFont="1"/>
    <xf numFmtId="0" fontId="66" fillId="0" borderId="0" xfId="0" applyFont="1"/>
    <xf numFmtId="166" fontId="0" fillId="44" borderId="0" xfId="0" applyNumberFormat="1" applyFill="1"/>
    <xf numFmtId="176" fontId="0" fillId="0" borderId="0" xfId="0" applyNumberFormat="1"/>
    <xf numFmtId="176" fontId="2" fillId="0" borderId="0" xfId="0" applyNumberFormat="1" applyFont="1"/>
    <xf numFmtId="176" fontId="61" fillId="0" borderId="0" xfId="0" applyNumberFormat="1" applyFont="1"/>
    <xf numFmtId="176" fontId="62" fillId="0" borderId="0" xfId="0" applyNumberFormat="1" applyFont="1"/>
    <xf numFmtId="176" fontId="66" fillId="0" borderId="0" xfId="0" applyNumberFormat="1" applyFont="1"/>
    <xf numFmtId="176" fontId="0" fillId="44" borderId="0" xfId="0" applyNumberFormat="1" applyFill="1"/>
    <xf numFmtId="166" fontId="44" fillId="0" borderId="0" xfId="0" applyNumberFormat="1" applyFont="1"/>
    <xf numFmtId="166" fontId="49" fillId="0" borderId="0" xfId="0" applyNumberFormat="1" applyFont="1"/>
    <xf numFmtId="0" fontId="49" fillId="0" borderId="0" xfId="0" applyFont="1"/>
    <xf numFmtId="0" fontId="0" fillId="44" borderId="0" xfId="0" applyFill="1"/>
    <xf numFmtId="166" fontId="61" fillId="0" borderId="0" xfId="0" applyNumberFormat="1" applyFont="1"/>
    <xf numFmtId="166" fontId="62" fillId="0" borderId="0" xfId="0" applyNumberFormat="1" applyFont="1"/>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7" fillId="0" borderId="0" xfId="0" applyFont="1" applyAlignment="1">
      <alignment horizontal="left" vertical="center" wrapText="1"/>
    </xf>
    <xf numFmtId="172" fontId="17" fillId="0" borderId="0" xfId="2" applyNumberFormat="1" applyFont="1" applyAlignment="1">
      <alignment horizontal="center" vertical="center" wrapText="1"/>
    </xf>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0" fontId="75" fillId="48" borderId="0" xfId="0" applyFont="1" applyFill="1"/>
    <xf numFmtId="0" fontId="0" fillId="48" borderId="0" xfId="0" applyFill="1"/>
    <xf numFmtId="0" fontId="70" fillId="46" borderId="0" xfId="0" applyFont="1" applyFill="1"/>
    <xf numFmtId="0" fontId="0" fillId="46" borderId="0" xfId="0" applyFill="1"/>
    <xf numFmtId="0" fontId="71" fillId="45" borderId="0" xfId="0" applyFont="1" applyFill="1"/>
    <xf numFmtId="0" fontId="0" fillId="45" borderId="0" xfId="0" applyFill="1"/>
    <xf numFmtId="0" fontId="72" fillId="45" borderId="0" xfId="0" applyFont="1" applyFill="1" applyAlignment="1">
      <alignment wrapText="1"/>
    </xf>
    <xf numFmtId="0" fontId="0" fillId="45" borderId="0" xfId="0" applyFill="1" applyAlignment="1">
      <alignment wrapText="1"/>
    </xf>
    <xf numFmtId="0" fontId="73" fillId="47" borderId="0" xfId="0" applyFont="1" applyFill="1"/>
    <xf numFmtId="0" fontId="0" fillId="47" borderId="0" xfId="0" applyFill="1"/>
    <xf numFmtId="0" fontId="74" fillId="47" borderId="0" xfId="0" applyFont="1" applyFill="1"/>
    <xf numFmtId="0" fontId="0" fillId="47" borderId="20" xfId="0" applyFill="1" applyBorder="1"/>
    <xf numFmtId="9" fontId="74" fillId="47" borderId="0" xfId="0" applyNumberFormat="1" applyFont="1" applyFill="1"/>
    <xf numFmtId="0" fontId="73" fillId="47" borderId="0" xfId="0" applyFont="1" applyFill="1" applyAlignment="1">
      <alignment wrapText="1"/>
    </xf>
    <xf numFmtId="0" fontId="0" fillId="47" borderId="0" xfId="0" applyFill="1" applyAlignment="1">
      <alignment wrapText="1"/>
    </xf>
    <xf numFmtId="167" fontId="74" fillId="47" borderId="0" xfId="0" applyNumberFormat="1" applyFont="1" applyFill="1"/>
    <xf numFmtId="0" fontId="57" fillId="26" borderId="0" xfId="0" applyFont="1" applyFill="1"/>
    <xf numFmtId="0" fontId="54" fillId="0" borderId="0" xfId="0" applyFont="1"/>
    <xf numFmtId="0" fontId="56" fillId="26" borderId="0" xfId="0" applyFont="1" applyFill="1"/>
    <xf numFmtId="0" fontId="0" fillId="0" borderId="0" xfId="0"/>
    <xf numFmtId="0" fontId="51" fillId="26" borderId="0" xfId="0" applyFont="1" applyFill="1" applyAlignment="1">
      <alignment horizontal="center" wrapText="1"/>
    </xf>
    <xf numFmtId="0" fontId="19" fillId="32" borderId="0" xfId="0" applyFont="1" applyFill="1" applyAlignment="1">
      <alignment horizontal="left"/>
    </xf>
    <xf numFmtId="0" fontId="57" fillId="35" borderId="0" xfId="0" applyFont="1" applyFill="1"/>
    <xf numFmtId="0" fontId="2" fillId="37" borderId="0" xfId="0" applyFont="1" applyFill="1"/>
    <xf numFmtId="0" fontId="2" fillId="38" borderId="0" xfId="0" applyFont="1" applyFill="1"/>
    <xf numFmtId="0" fontId="51" fillId="26" borderId="0" xfId="0" applyFont="1" applyFill="1" applyAlignment="1">
      <alignment horizontal="center"/>
    </xf>
    <xf numFmtId="0" fontId="60" fillId="0" borderId="0" xfId="0" applyFont="1"/>
  </cellXfs>
  <cellStyles count="35">
    <cellStyle name="% complete" xfId="27" xr:uid="{59C9283B-4FAA-4F6C-A5C3-D0E2E49A4308}"/>
    <cellStyle name="% complete (beyond plan) legend" xfId="29" xr:uid="{3986A4DF-C022-49C8-836B-4B55621707F8}"/>
    <cellStyle name="Activity" xfId="32" xr:uid="{01A74DCC-AEEB-4CD3-95E0-966164D9A3C5}"/>
    <cellStyle name="Actual (beyond plan) legend" xfId="28" xr:uid="{E74E8DF0-257B-4C37-A954-270FDD269FC2}"/>
    <cellStyle name="Actual legend" xfId="26" xr:uid="{8BE61F81-6680-45BE-9499-C22DBE2FF394}"/>
    <cellStyle name="Comma" xfId="4" builtinId="3"/>
    <cellStyle name="Currency" xfId="2" builtinId="4"/>
    <cellStyle name="Currency 2" xfId="21" xr:uid="{7FDF39BD-0E35-4373-82FD-21A48C3573D0}"/>
    <cellStyle name="Label" xfId="25" xr:uid="{4E03EFFD-2B84-48F2-9F83-B63B2E0C4261}"/>
    <cellStyle name="Normal" xfId="0" builtinId="0"/>
    <cellStyle name="Normal 10" xfId="5" xr:uid="{2687F3DB-E6DC-47C0-BDA0-03C1E94BD320}"/>
    <cellStyle name="Normal 2" xfId="1" xr:uid="{15CE3AEE-C0D7-4284-8791-E61A6EB3C0F4}"/>
    <cellStyle name="Normal 2 2" xfId="20" xr:uid="{50F8E642-63B6-46D0-9520-85F4AFF013F7}"/>
    <cellStyle name="Normal 2 3" xfId="9" xr:uid="{642F6D7B-F5BC-41F2-8427-D51B16993BF4}"/>
    <cellStyle name="Normal 3" xfId="10" xr:uid="{9A0E1A64-2ABB-4C25-B009-44A560BB02C2}"/>
    <cellStyle name="Normal 3 2" xfId="11" xr:uid="{808D980D-5CCF-4E9C-8D14-AD11B07916BD}"/>
    <cellStyle name="Normal 3 2 2" xfId="13" xr:uid="{797B626D-D269-414C-83F6-A82E58F4BBD0}"/>
    <cellStyle name="Normal 3 2 2 2" xfId="16" xr:uid="{DD084F93-92CC-4B09-BBBE-0D09027492B1}"/>
    <cellStyle name="Normal 3 2 3" xfId="15" xr:uid="{16941BC0-015F-46D1-9CCD-4A14BED742F9}"/>
    <cellStyle name="Normal 3 3" xfId="14" xr:uid="{57031654-124E-4201-9258-F0663AB9C397}"/>
    <cellStyle name="Normal 37 2" xfId="17" xr:uid="{A2E65DE9-F67B-4E9E-BF3C-5D5D09788B5C}"/>
    <cellStyle name="Normal 4" xfId="12" xr:uid="{B70BD27B-73AD-42B7-8BE7-0605A7662B19}"/>
    <cellStyle name="Normal 5" xfId="18" xr:uid="{F983B992-5FAD-4DF7-914E-9FBC0DDDC3E0}"/>
    <cellStyle name="Normal 6" xfId="3" xr:uid="{6266E7B6-8CC8-4A16-9947-086A612C1A5D}"/>
    <cellStyle name="Normal 6 2" xfId="19" xr:uid="{F48002E3-D97B-491E-86B6-9EC4643E64B7}"/>
    <cellStyle name="Normal 7" xfId="34" xr:uid="{E4FD169A-B18B-41B3-B5D5-BA6F2F069587}"/>
    <cellStyle name="Normal 8" xfId="7" xr:uid="{A974ABB3-2DA6-4609-BCF4-7451E36565D6}"/>
    <cellStyle name="Percent" xfId="6" builtinId="5"/>
    <cellStyle name="Percent 2" xfId="8" xr:uid="{725A1CD6-86B8-46FD-B032-3E1B68D5B688}"/>
    <cellStyle name="Percent Complete" xfId="33" xr:uid="{31C2ECB8-A42A-4B20-9C68-D6C5EF8B43F8}"/>
    <cellStyle name="Period Headers" xfId="31" xr:uid="{0FCD34A9-8503-43DB-AFF2-2A025EBE710A}"/>
    <cellStyle name="Period Highlight Control" xfId="22" xr:uid="{656BF190-F80C-4F49-ACF3-D89954A2A779}"/>
    <cellStyle name="Period Value" xfId="23" xr:uid="{89D7D905-A453-4D08-9396-0B586423D210}"/>
    <cellStyle name="Plan legend" xfId="24" xr:uid="{9C84DE24-CB1B-43AC-A7B9-3659BBA890FF}"/>
    <cellStyle name="Project Headers" xfId="30" xr:uid="{ED1998A2-519B-4BEC-BF5D-3D2AE01F5171}"/>
  </cellStyles>
  <dxfs count="1395">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175" formatCode="d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174" formatCode="[$-409]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center"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375623"/>
      </font>
      <fill>
        <patternFill patternType="solid">
          <fgColor indexed="64"/>
          <bgColor rgb="FFE2F0D9"/>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FF0000"/>
        </patternFill>
      </fill>
    </dxf>
    <dxf>
      <fill>
        <patternFill>
          <bgColor rgb="FF92D050"/>
        </patternFill>
      </fill>
    </dxf>
    <dxf>
      <fill>
        <patternFill>
          <bgColor rgb="FFFF0000"/>
        </patternFill>
      </fill>
    </dxf>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numFmt numFmtId="167" formatCode="&quot;$&quot;#,##0.00"/>
      <fill>
        <patternFill patternType="solid">
          <fgColor indexed="64"/>
          <bgColor rgb="FFFFFFFF"/>
        </patternFill>
      </fill>
    </dxf>
    <dxf>
      <numFmt numFmtId="167" formatCode="&quot;$&quot;#,##0.00"/>
      <fill>
        <patternFill patternType="solid">
          <fgColor indexed="64"/>
          <bgColor rgb="FFFFFFFF"/>
        </patternFill>
      </fill>
    </dxf>
    <dxf>
      <numFmt numFmtId="0" formatCode="General"/>
      <fill>
        <patternFill patternType="solid">
          <fgColor indexed="64"/>
          <bgColor rgb="FFFFFFFF"/>
        </patternFill>
      </fill>
    </dxf>
    <dxf>
      <numFmt numFmtId="0" formatCode="General"/>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002060"/>
        </patternFill>
      </fill>
      <alignment horizontal="general" vertical="top" textRotation="0" wrapText="1" indent="0" justifyLastLine="0" shrinkToFit="0" readingOrder="0"/>
    </dxf>
    <dxf>
      <fill>
        <patternFill patternType="solid">
          <bgColor theme="2"/>
        </patternFill>
      </fill>
    </dxf>
    <dxf>
      <font>
        <color rgb="FFFF0000"/>
      </font>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0000FF"/>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b/>
      </font>
    </dxf>
    <dxf>
      <font>
        <color rgb="FFFF0000"/>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ont>
        <color rgb="FFFF0000"/>
      </font>
    </dxf>
    <dxf>
      <font>
        <color rgb="FFFF0000"/>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color rgb="FFFF0000"/>
      </font>
    </dxf>
    <dxf>
      <font>
        <b/>
      </font>
    </dxf>
    <dxf>
      <font>
        <color rgb="FFFF0000"/>
      </font>
    </dxf>
    <dxf>
      <font>
        <color rgb="FF0000FF"/>
      </font>
    </dxf>
    <dxf>
      <font>
        <color rgb="FF0000FF"/>
      </font>
    </dxf>
    <dxf>
      <font>
        <b/>
      </font>
    </dxf>
    <dxf>
      <font>
        <b/>
      </font>
    </dxf>
    <dxf>
      <font>
        <b/>
      </font>
    </dxf>
    <dxf>
      <font>
        <b/>
      </font>
    </dxf>
    <dxf>
      <font>
        <color rgb="FF0000FF"/>
      </font>
    </dxf>
    <dxf>
      <font>
        <color rgb="FF0000FF"/>
      </font>
    </dxf>
    <dxf>
      <fill>
        <patternFill>
          <bgColor theme="4" tint="0.59999389629810485"/>
        </patternFill>
      </fill>
    </dxf>
    <dxf>
      <font>
        <color rgb="FFFF0000"/>
      </font>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numFmt numFmtId="166" formatCode="&quot;$&quot;#,##0"/>
    </dxf>
    <dxf>
      <font>
        <b/>
      </font>
    </dxf>
    <dxf>
      <font>
        <b/>
      </font>
    </dxf>
    <dxf>
      <font>
        <b/>
      </font>
    </dxf>
    <dxf>
      <font>
        <color rgb="FF0000CC"/>
      </font>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6" tint="0.59999389629810485"/>
        </patternFill>
      </fill>
    </dxf>
    <dxf>
      <fill>
        <patternFill patternType="solid">
          <bgColor theme="5" tint="0.39997558519241921"/>
        </patternFill>
      </fill>
    </dxf>
    <dxf>
      <fill>
        <patternFill patternType="solid">
          <bgColor theme="5" tint="0.39997558519241921"/>
        </patternFill>
      </fill>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rgb="FFFFFF00"/>
        </patternFill>
      </fill>
    </dxf>
    <dxf>
      <fill>
        <patternFill>
          <bgColor rgb="FFFFFF00"/>
        </patternFill>
      </fill>
    </dxf>
    <dxf>
      <fill>
        <patternFill>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none">
          <bgColor auto="1"/>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none">
          <fgColor indexed="64"/>
          <bgColor rgb="FFFEF9E7"/>
        </patternFill>
      </fill>
      <alignment vertical="center" textRotation="0" indent="0" justifyLastLine="0" shrinkToFit="0" readingOrder="0"/>
    </dxf>
    <dxf>
      <numFmt numFmtId="0" formatCode="General"/>
      <alignment vertical="center" textRotation="0" wrapText="1" indent="0" justifyLastLine="0" shrinkToFit="0" readingOrder="0"/>
    </dxf>
    <dxf>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 formatCode="0"/>
      <alignment vertical="center" textRotation="0" indent="0" justifyLastLine="0" shrinkToFit="0" readingOrder="0"/>
    </dxf>
    <dxf>
      <numFmt numFmtId="1" formatCode="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5F5E3"/>
        </patternFill>
      </fill>
      <alignment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2.xml"/><Relationship Id="rId21" Type="http://schemas.openxmlformats.org/officeDocument/2006/relationships/worksheet" Target="worksheets/sheet21.xml"/><Relationship Id="rId34"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 Target="richData/rdrichvalue.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22/10/relationships/richValueRel" Target="richData/richValueRel.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sharedStrings" Target="sharedStrings.xml"/><Relationship Id="rId35"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NPD Projects by Outcome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Projects</c:v>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D71C-450E-8040-9BDCF55FD4B5}"/>
              </c:ext>
            </c:extLst>
          </c:dPt>
          <c:dPt>
            <c:idx val="1"/>
            <c:invertIfNegative val="0"/>
            <c:bubble3D val="0"/>
            <c:spPr>
              <a:solidFill>
                <a:srgbClr val="FFC000"/>
              </a:solidFill>
              <a:ln>
                <a:noFill/>
              </a:ln>
              <a:effectLst/>
            </c:spPr>
            <c:extLst>
              <c:ext xmlns:c16="http://schemas.microsoft.com/office/drawing/2014/chart" uri="{C3380CC4-5D6E-409C-BE32-E72D297353CC}">
                <c16:uniqueId val="{00000002-D71C-450E-8040-9BDCF55FD4B5}"/>
              </c:ext>
            </c:extLst>
          </c:dPt>
          <c:dPt>
            <c:idx val="2"/>
            <c:invertIfNegative val="0"/>
            <c:bubble3D val="0"/>
            <c:spPr>
              <a:solidFill>
                <a:srgbClr val="C00000"/>
              </a:solidFill>
              <a:ln>
                <a:noFill/>
              </a:ln>
              <a:effectLst/>
            </c:spPr>
            <c:extLst>
              <c:ext xmlns:c16="http://schemas.microsoft.com/office/drawing/2014/chart" uri="{C3380CC4-5D6E-409C-BE32-E72D297353CC}">
                <c16:uniqueId val="{00000003-D71C-450E-8040-9BDCF55FD4B5}"/>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'NPD Analysis'!$A$11:$A$13</c:f>
              <c:strCache>
                <c:ptCount val="3"/>
                <c:pt idx="0">
                  <c:v>Won</c:v>
                </c:pt>
                <c:pt idx="1">
                  <c:v>In Progress</c:v>
                </c:pt>
                <c:pt idx="2">
                  <c:v>Lost</c:v>
                </c:pt>
              </c:strCache>
            </c:strRef>
          </c:cat>
          <c:val>
            <c:numRef>
              <c:f>'NPD Analysis'!$B$11:$B$13</c:f>
              <c:numCache>
                <c:formatCode>General</c:formatCode>
                <c:ptCount val="3"/>
                <c:pt idx="0">
                  <c:v>13</c:v>
                </c:pt>
                <c:pt idx="1">
                  <c:v>14</c:v>
                </c:pt>
                <c:pt idx="2">
                  <c:v>9</c:v>
                </c:pt>
              </c:numCache>
            </c:numRef>
          </c:val>
          <c:extLst>
            <c:ext xmlns:c16="http://schemas.microsoft.com/office/drawing/2014/chart" uri="{C3380CC4-5D6E-409C-BE32-E72D297353CC}">
              <c16:uniqueId val="{00000000-D71C-450E-8040-9BDCF55FD4B5}"/>
            </c:ext>
          </c:extLst>
        </c:ser>
        <c:dLbls>
          <c:showLegendKey val="0"/>
          <c:showVal val="0"/>
          <c:showCatName val="0"/>
          <c:showSerName val="0"/>
          <c:showPercent val="0"/>
          <c:showBubbleSize val="0"/>
        </c:dLbls>
        <c:gapWidth val="219"/>
        <c:overlap val="-27"/>
        <c:axId val="426995184"/>
        <c:axId val="238185647"/>
      </c:barChart>
      <c:catAx>
        <c:axId val="4269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185647"/>
        <c:crosses val="autoZero"/>
        <c:auto val="1"/>
        <c:lblAlgn val="ctr"/>
        <c:lblOffset val="100"/>
        <c:noMultiLvlLbl val="0"/>
      </c:catAx>
      <c:valAx>
        <c:axId val="23818564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5184"/>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8</xdr:row>
      <xdr:rowOff>10584</xdr:rowOff>
    </xdr:from>
    <xdr:to>
      <xdr:col>19</xdr:col>
      <xdr:colOff>0</xdr:colOff>
      <xdr:row>29</xdr:row>
      <xdr:rowOff>10584</xdr:rowOff>
    </xdr:to>
    <xdr:graphicFrame macro="">
      <xdr:nvGraphicFramePr>
        <xdr:cNvPr id="2" name="NPD Outcome Mix">
          <a:extLst>
            <a:ext uri="{FF2B5EF4-FFF2-40B4-BE49-F238E27FC236}">
              <a16:creationId xmlns:a16="http://schemas.microsoft.com/office/drawing/2014/main" id="{76AD3BEC-5D55-01EE-365D-56A0BDF0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5"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25.465159259256" createdVersion="8" refreshedVersion="8" minRefreshableVersion="3" recordCount="207"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9">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6-RH-SNAKE RIVER LODGE BLUEFLAG-ADDITIONAL "/>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KD-KNOX DALLAS- 1198-1509"/>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MV-CLEVELAND CLINIC-PHASE 2"/>
        <s v="2026-RH-MONTAGE PENDRY BARBADOS"/>
        <s v="2026-SPECTRUM-PROJECT 550 POCKET DOORS"/>
        <s v="2026-RH- FOUR SEASONS LAS VEGAS"/>
        <s v="2026-RH-LAKE OCONEE TENTS"/>
        <s v="2026-BISCAYNE-MCO"/>
        <s v="TBC-FAIRFIELD-WASHINGTON-DUKE"/>
        <s v="2026-FAIRFIELD-WASHINGTON-DUKE"/>
        <s v="2026-MONDO-LEXINGTON HOTEL"/>
        <s v="2026-RH-CABOT HILLSIDE HOMES "/>
        <s v="2026-BISCAYNE-PZT"/>
        <m/>
        <s v="Removed-AHMADIAH-MARRIOTT KHOBAR" u="1"/>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24T00:00:00"/>
    </cacheField>
    <cacheField name="PO RECEIVED_x000a_DATE" numFmtId="0">
      <sharedItems containsDate="1" containsBlank="1" containsMixedTypes="1" minDate="2025-09-13T00:00:00" maxDate="2026-10-24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ount="20">
        <m/>
        <n v="0"/>
        <n v="1"/>
        <s v="TBC"/>
        <n v="2"/>
        <n v="29"/>
        <n v="20"/>
        <n v="64"/>
        <n v="7"/>
        <n v="23"/>
        <n v="5"/>
        <n v="17"/>
        <n v="25"/>
        <n v="26"/>
        <n v="16"/>
        <n v="9" u="1"/>
        <n v="21" u="1"/>
        <n v="35" u="1"/>
        <n v="42" u="1"/>
        <n v="27" u="1"/>
      </sharedItems>
    </cacheField>
    <cacheField name="BE QTY" numFmtId="0">
      <sharedItems containsBlank="1" containsMixedTypes="1" containsNumber="1" containsInteger="1" minValue="0" maxValue="137" count="24">
        <m/>
        <n v="0"/>
        <n v="1"/>
        <s v="TBC"/>
        <n v="4"/>
        <n v="48"/>
        <n v="34"/>
        <n v="137"/>
        <n v="17"/>
        <n v="19"/>
        <n v="27"/>
        <n v="13"/>
        <n v="2"/>
        <n v="8"/>
        <n v="9"/>
        <n v="41"/>
        <n v="57"/>
        <n v="39"/>
        <n v="23"/>
        <n v="16"/>
        <n v="26" u="1"/>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42">
        <n v="26"/>
        <n v="31"/>
        <n v="50"/>
        <n v="9"/>
        <n v="2"/>
        <n v="12"/>
        <n v="1"/>
        <n v="11"/>
        <n v="24"/>
        <n v="6"/>
        <n v="38"/>
        <n v="36"/>
        <n v="14"/>
        <n v="18"/>
        <n v="17"/>
        <n v="22"/>
        <n v="16"/>
        <n v="25"/>
        <n v="94"/>
        <n v="7"/>
        <n v="30"/>
        <n v="3"/>
        <n v="35"/>
        <n v="28"/>
        <n v="13"/>
        <n v="117"/>
        <n v="48"/>
        <n v="20"/>
        <n v="4"/>
        <n v="8"/>
        <n v="5"/>
        <n v="21"/>
        <n v="122"/>
        <m/>
        <n v="55"/>
        <n v="15"/>
        <n v="32"/>
        <n v="27"/>
        <n v="29"/>
        <n v="51"/>
        <n v="23" u="1"/>
        <n v="37" u="1"/>
      </sharedItems>
    </cacheField>
    <cacheField name="PROJECT QTY" numFmtId="1">
      <sharedItems containsString="0" containsBlank="1" containsNumber="1" containsInteger="1" minValue="1" maxValue="5736" count="51">
        <m/>
        <n v="5736"/>
        <n v="20"/>
        <n v="191"/>
        <n v="271"/>
        <n v="1"/>
        <n v="756"/>
        <n v="925"/>
        <n v="268"/>
        <n v="4"/>
        <n v="9"/>
        <n v="23"/>
        <n v="1011"/>
        <n v="17"/>
        <n v="74"/>
        <n v="10"/>
        <n v="2"/>
        <n v="25"/>
        <n v="48"/>
        <n v="22"/>
        <n v="3"/>
        <n v="8"/>
        <n v="19"/>
        <n v="494"/>
        <n v="31"/>
        <n v="6"/>
        <n v="7"/>
        <n v="333"/>
        <n v="45"/>
        <n v="162"/>
        <n v="98"/>
        <n v="33"/>
        <n v="15"/>
        <n v="26"/>
        <n v="11"/>
        <n v="720"/>
        <n v="34"/>
        <n v="86"/>
        <n v="68"/>
        <n v="12"/>
        <n v="546"/>
        <n v="32"/>
        <n v="920"/>
        <n v="328"/>
        <n v="16"/>
        <n v="5400"/>
        <n v="170" u="1"/>
        <n v="47" u="1"/>
        <n v="551" u="1"/>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259577"/>
    </cacheField>
    <cacheField name="SHIP MONTH FC" numFmtId="0">
      <sharedItems containsBlank="1" containsMixedTypes="1" containsNumber="1" containsInteger="1" minValue="1466" maxValue="1466"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n v="1466" u="1"/>
      </sharedItems>
    </cacheField>
    <cacheField name="SHIP YEAR" numFmtId="0">
      <sharedItems containsBlank="1" count="8">
        <s v="2026"/>
        <s v="2027"/>
        <s v="TBC"/>
        <m/>
        <s v=""/>
        <s v="2028"/>
        <s v="Removed" u="1"/>
        <s v="1466" u="1"/>
      </sharedItems>
    </cacheField>
    <cacheField name=" REQUESTED FIRST SD" numFmtId="0">
      <sharedItems containsDate="1" containsBlank="1" containsMixedTypes="1" minDate="2025-08-22T00:00:00" maxDate="2027-01-26T00:00:00"/>
    </cacheField>
    <cacheField name=" REQUESTED LAST SD" numFmtId="0">
      <sharedItems containsDate="1" containsBlank="1" containsMixedTypes="1" minDate="2026-03-06T00:00:00" maxDate="2027-01-2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ount="56">
        <s v="2026/W22"/>
        <s v="2027/W16"/>
        <s v="2026/W14"/>
        <s v="2026/W30"/>
        <s v="2027/W27"/>
        <s v="2026/W47"/>
        <s v="2026/W37"/>
        <s v="2026/W44"/>
        <s v="2027/W04"/>
        <s v="TBC"/>
        <s v="2027/W19"/>
        <s v="2026/W45"/>
        <s v="2026/W32"/>
        <s v="2027/W05"/>
        <s v="2027/W02"/>
        <s v="2027/W15"/>
        <s v="2026/W31"/>
        <s v="2026/W39"/>
        <s v="2026/W52"/>
        <s v=""/>
        <s v="2027/W40"/>
        <s v="2026/W29"/>
        <s v="2026/W42"/>
        <s v="2027/W14"/>
        <s v="2026/W35"/>
        <s v="2026/W46"/>
        <s v="2025/W03"/>
        <s v="2027/W37"/>
        <s v="ON HOLD"/>
        <s v="2026/W50"/>
        <s v="2026/W11"/>
        <s v="2026/W41"/>
        <s v="2026/W27"/>
        <s v="2027/W13"/>
        <s v="2027/W10"/>
        <s v="2026/W33"/>
        <s v="2026/W36"/>
        <s v="2026/W43"/>
        <s v="2026/W02"/>
        <s v="2026/W38"/>
        <s v="2027/W29"/>
        <s v="2026/W40"/>
        <s v="2026/W49"/>
        <s v="2027/W01"/>
        <s v="2027/W03"/>
        <s v="2027/W09"/>
        <s v="2026/W48"/>
        <s v="2027/W24"/>
        <s v="2026/W05"/>
        <s v="2026/W03"/>
        <s v="2027/W23" u="1"/>
        <s v="2027/W25" u="1"/>
        <s v="2026/W15" u="1"/>
        <s v="2027/W36" u="1"/>
        <s v="2026/W34" u="1"/>
        <s v="2026/W19" u="1"/>
      </sharedItems>
    </cacheField>
    <cacheField name="CONFIRMED LAST SW" numFmtId="0">
      <sharedItems count="61">
        <s v="2026/W34"/>
        <s v="2027/W26"/>
        <s v="2026/W14"/>
        <s v="2026/W36"/>
        <s v="2027/W28"/>
        <s v="2026/W47"/>
        <s v="2026/W37"/>
        <s v="2026/W44"/>
        <s v="2027/W04"/>
        <s v="TBC"/>
        <s v="2026/W50"/>
        <s v="2026/W35"/>
        <s v="2027/W05"/>
        <s v="2027/W17"/>
        <s v="2026/W32"/>
        <s v="2026/W38"/>
        <s v="2026/W52"/>
        <s v=""/>
        <s v="2026/W41"/>
        <s v="2027/W52"/>
        <s v="2026/W40"/>
        <s v="2027/W15"/>
        <s v="2026/W51"/>
        <s v="2025/W03"/>
        <s v="2027/W39"/>
        <s v="2026/W39"/>
        <s v="ON HOLD"/>
        <s v="2026/W13"/>
        <s v="2026/W48"/>
        <s v="2027/W14"/>
        <s v="2026/W29"/>
        <s v="2026/W27"/>
        <s v="2027/W13"/>
        <s v="2026/W33"/>
        <s v="2026/W45"/>
        <s v="2026/W49"/>
        <s v="2026/W42"/>
        <s v="2026/W43"/>
        <s v="2026/W30"/>
        <s v="2026/W02"/>
        <s v="2026/W31"/>
        <s v="2026/W46"/>
        <s v="2027/W34"/>
        <s v="2027/W16"/>
        <s v="2027/W03"/>
        <s v="2027/W02"/>
        <s v="2027/W10"/>
        <s v="2027/W09"/>
        <s v="2027/W12"/>
        <s v="2027/W22"/>
        <s v="2026/W05"/>
        <s v="2026/W03"/>
        <s v="2027/W38"/>
        <s v="2027/W24" u="1"/>
        <s v="2027/W35" u="1"/>
        <s v="2026/W28" u="1"/>
        <s v="2026/W17" u="1"/>
        <s v="2027/W36" u="1"/>
        <s v="2027/W1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10-15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8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24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10-01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10-15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2-12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7">
  <r>
    <x v="0"/>
    <x v="0"/>
    <x v="0"/>
    <s v="Sue Bilstad"/>
    <x v="0"/>
    <s v="RH"/>
    <s v="GRAND HYATT BAHA MAR "/>
    <x v="0"/>
    <n v="1"/>
    <x v="0"/>
    <s v="NEW"/>
    <s v="8. Shipment"/>
    <d v="2026-01-11T00:00:00"/>
    <d v="2026-03-17T00:00:00"/>
    <m/>
    <s v="BS"/>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s v="BS"/>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s v="BS"/>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s v="BS"/>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s v="BS"/>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3. Prototype Readiness (BOM)"/>
    <d v="2026-10-14T00:00:00"/>
    <m/>
    <m/>
    <s v="BS"/>
    <s v="Bahamas"/>
    <x v="1"/>
    <x v="1"/>
    <m/>
    <m/>
    <x v="1"/>
    <x v="1"/>
    <n v="2935981.5199999996"/>
    <n v="1000000"/>
    <x v="4"/>
    <x v="1"/>
    <m/>
    <m/>
    <d v="2027-04-16T00:00:00"/>
    <d v="2027-06-26T00:00:00"/>
    <x v="1"/>
    <x v="1"/>
    <s v="In Progress"/>
    <m/>
    <m/>
    <s v="In Progress"/>
    <m/>
    <m/>
    <s v="Not Started"/>
    <m/>
    <m/>
    <s v="Not Started"/>
    <m/>
    <m/>
    <s v="N/A"/>
    <m/>
    <m/>
    <s v="Not Started"/>
    <m/>
    <m/>
    <s v="Not Started"/>
    <m/>
    <m/>
    <s v="Active"/>
    <s v="Yes"/>
    <s v="NPI: In progress: Drawing, Veneer/Wood; Not started: Marble, Metal, Electrical, Fabric for SW26"/>
    <m/>
  </r>
  <r>
    <x v="0"/>
    <x v="0"/>
    <x v="1"/>
    <s v="Sue Bilstad"/>
    <x v="0"/>
    <s v="RH"/>
    <s v="GRAND HYATT BAHA MAR-PHASE 2"/>
    <x v="2"/>
    <n v="0"/>
    <x v="1"/>
    <s v="NEW"/>
    <s v="3. Prototype Readiness (BOM)"/>
    <d v="2026-10-14T00:00:00"/>
    <m/>
    <m/>
    <s v="BS"/>
    <s v="Bahamas"/>
    <x v="1"/>
    <x v="1"/>
    <m/>
    <m/>
    <x v="1"/>
    <x v="1"/>
    <n v="2935981.5199999996"/>
    <n v="1000000"/>
    <x v="5"/>
    <x v="1"/>
    <m/>
    <m/>
    <d v="2027-04-16T00:00:00"/>
    <d v="2027-06-26T00:00:00"/>
    <x v="1"/>
    <x v="1"/>
    <s v="In Progress"/>
    <m/>
    <m/>
    <s v="In Progress"/>
    <m/>
    <m/>
    <s v="Not Started"/>
    <m/>
    <m/>
    <s v="Not Started"/>
    <m/>
    <m/>
    <s v="N/A"/>
    <m/>
    <m/>
    <s v="Not Started"/>
    <m/>
    <m/>
    <s v="Not Started"/>
    <m/>
    <m/>
    <s v="Active"/>
    <s v="Yes"/>
    <s v="NPI: In progress: Drawing, Veneer/Wood; Not started: Marble, Metal, Electrical, Fabric for SW26"/>
    <m/>
  </r>
  <r>
    <x v="0"/>
    <x v="0"/>
    <x v="1"/>
    <s v="Sue Bilstad"/>
    <x v="0"/>
    <s v="RH"/>
    <s v="GRAND HYATT BAHA MAR-PHASE 2"/>
    <x v="2"/>
    <n v="0"/>
    <x v="1"/>
    <s v="NEW"/>
    <s v="3. Prototype Readiness (BOM)"/>
    <d v="2026-10-14T00:00:00"/>
    <m/>
    <m/>
    <s v="BS"/>
    <s v="Bahamas"/>
    <x v="1"/>
    <x v="1"/>
    <m/>
    <m/>
    <x v="1"/>
    <x v="1"/>
    <n v="2935981.5199999996"/>
    <n v="935981.51999999955"/>
    <x v="6"/>
    <x v="1"/>
    <m/>
    <m/>
    <d v="2027-04-16T00:00:00"/>
    <d v="2027-06-26T00:00:00"/>
    <x v="1"/>
    <x v="1"/>
    <s v="In Progress"/>
    <m/>
    <m/>
    <s v="In Progress"/>
    <m/>
    <m/>
    <s v="Not Started"/>
    <m/>
    <m/>
    <s v="Not Started"/>
    <m/>
    <m/>
    <s v="N/A"/>
    <m/>
    <m/>
    <s v="Not Started"/>
    <m/>
    <m/>
    <s v="Not Started"/>
    <m/>
    <m/>
    <s v="Active"/>
    <s v="Yes"/>
    <s v="NPI: In progress: Drawing, Veneer/Wood; Not started: Marble, Metal, Electrical, Fabric for SW26"/>
    <m/>
  </r>
  <r>
    <x v="0"/>
    <x v="0"/>
    <x v="2"/>
    <s v="Sue Bilstad"/>
    <x v="0"/>
    <s v="RH"/>
    <s v="FOX HARBOR"/>
    <x v="3"/>
    <n v="1"/>
    <x v="0"/>
    <s v="REO"/>
    <s v="8. Shipment"/>
    <d v="2025-09-17T00:00:00"/>
    <s v="-"/>
    <m/>
    <s v="CA"/>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s v="US"/>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s v="US"/>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s v="US"/>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s v="US"/>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s v="US"/>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s v="US"/>
    <s v="CA"/>
    <x v="1"/>
    <x v="1"/>
    <m/>
    <m/>
    <x v="5"/>
    <x v="0"/>
    <n v="143556.08999999997"/>
    <n v="143556.08999999997"/>
    <x v="10"/>
    <x v="1"/>
    <s v="-"/>
    <m/>
    <d v="2027-07-03T00:00:00"/>
    <d v="2027-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s v="US"/>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s v="US"/>
    <s v="CA"/>
    <x v="1"/>
    <x v="1"/>
    <m/>
    <m/>
    <x v="6"/>
    <x v="2"/>
    <n v="3454"/>
    <n v="3454"/>
    <x v="11"/>
    <x v="0"/>
    <m/>
    <m/>
    <d v="2026-11-20T00:00:00"/>
    <d v="2026-11-20T00:00:00"/>
    <x v="5"/>
    <x v="5"/>
    <s v="Approved"/>
    <m/>
    <d v="2026-02-05T00:00:00"/>
    <s v="Approved"/>
    <m/>
    <d v="2026-02-05T00:00:00"/>
    <s v="Approved"/>
    <m/>
    <m/>
    <s v="Approved"/>
    <m/>
    <d v="2026-02-05T00:00:00"/>
    <s v="N/A"/>
    <m/>
    <m/>
    <s v="N/A"/>
    <m/>
    <m/>
    <s v="N/A"/>
    <m/>
    <m/>
    <s v="Active"/>
    <s v="Yes"/>
    <s v="NPI: All development items approved/closed for SW47"/>
    <s v="No sidemark?"/>
  </r>
  <r>
    <x v="0"/>
    <x v="0"/>
    <x v="5"/>
    <s v="Madison Lay"/>
    <x v="0"/>
    <s v="RH"/>
    <s v="NAMA LISBON"/>
    <x v="10"/>
    <n v="1"/>
    <x v="0"/>
    <s v="NEW"/>
    <s v="7. Mass Production"/>
    <d v="2026-01-15T00:00:00"/>
    <d v="2026-03-02T00:00:00"/>
    <m/>
    <s v="PT"/>
    <s v="Portugal"/>
    <x v="1"/>
    <x v="1"/>
    <m/>
    <m/>
    <x v="7"/>
    <x v="3"/>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s v="PT"/>
    <s v="Portugal"/>
    <x v="1"/>
    <x v="1"/>
    <m/>
    <m/>
    <x v="7"/>
    <x v="4"/>
    <n v="202175"/>
    <n v="127455"/>
    <x v="9"/>
    <x v="0"/>
    <d v="2026-05-21T00:00:00"/>
    <d v="2026-05-28T00:00:00"/>
    <d v="2026-10-30T00:00:00"/>
    <d v="2026-10-30T00:00:00"/>
    <x v="7"/>
    <x v="7"/>
    <s v="Approved"/>
    <m/>
    <d v="2026-03-02T00:00:00"/>
    <s v="Approved"/>
    <m/>
    <d v="2026-03-02T00:00:00"/>
    <s v="Approved"/>
    <m/>
    <d v="2026-03-02T00:00:00"/>
    <s v="Approved"/>
    <m/>
    <d v="2026-03-02T00:00:00"/>
    <s v="N/A"/>
    <m/>
    <m/>
    <s v="N/A"/>
    <m/>
    <m/>
    <s v="N/A"/>
    <m/>
    <m/>
    <s v="Active"/>
    <s v="Yes"/>
    <s v="NPI: All development items approved/closed for SW44"/>
    <m/>
  </r>
  <r>
    <x v="0"/>
    <x v="0"/>
    <x v="5"/>
    <s v="Madison Lay"/>
    <x v="0"/>
    <s v="RH"/>
    <s v="NAMA LISBON-PUBLIC SPACE "/>
    <x v="11"/>
    <n v="1"/>
    <x v="4"/>
    <s v="NEW"/>
    <s v="2. Product &amp; Process Dev"/>
    <d v="2026-10-02T00:00:00"/>
    <s v="Pending PO "/>
    <m/>
    <s v="PT"/>
    <s v="Portugal"/>
    <x v="2"/>
    <x v="2"/>
    <m/>
    <m/>
    <x v="6"/>
    <x v="5"/>
    <n v="2190.15"/>
    <n v="2190.15"/>
    <x v="12"/>
    <x v="1"/>
    <d v="2026-05-21T00:00:00"/>
    <d v="2026-05-28T00:00:00"/>
    <d v="2027-01-22T00:00:00"/>
    <d v="2027-01-22T00:00:00"/>
    <x v="8"/>
    <x v="8"/>
    <s v="In Progress"/>
    <d v="2026-10-16T00:00:00"/>
    <m/>
    <s v="Approved"/>
    <d v="2026-10-16T00:00:00"/>
    <m/>
    <s v="N/A"/>
    <m/>
    <m/>
    <s v="N/A"/>
    <m/>
    <m/>
    <s v="N/A"/>
    <m/>
    <m/>
    <s v="In Progress"/>
    <m/>
    <m/>
    <s v="N/A"/>
    <m/>
    <m/>
    <s v="Active"/>
    <s v="Yes"/>
    <s v="NPI: In progress: Drawing, Electrical; need approval by 16-Oct-26 for SW04"/>
    <s v="Need PO this week WK42"/>
  </r>
  <r>
    <x v="0"/>
    <x v="0"/>
    <x v="0"/>
    <m/>
    <x v="0"/>
    <s v="RH"/>
    <s v="RANCHO VALENCIA"/>
    <x v="12"/>
    <n v="1"/>
    <x v="5"/>
    <s v="NEW"/>
    <s v="2. Product &amp; Process Dev"/>
    <d v="2026-01-07T00:00:00"/>
    <s v="-"/>
    <m/>
    <s v="US"/>
    <s v="CA"/>
    <x v="3"/>
    <x v="3"/>
    <m/>
    <m/>
    <x v="6"/>
    <x v="0"/>
    <n v="14520"/>
    <n v="14520"/>
    <x v="13"/>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s v="US"/>
    <s v="CA"/>
    <x v="0"/>
    <x v="0"/>
    <m/>
    <m/>
    <x v="6"/>
    <x v="0"/>
    <n v="4200"/>
    <n v="4200"/>
    <x v="14"/>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s v="US"/>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s v="US"/>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s v="US"/>
    <s v="NY"/>
    <x v="4"/>
    <x v="4"/>
    <m/>
    <m/>
    <x v="8"/>
    <x v="0"/>
    <n v="1074318.51"/>
    <n v="537160"/>
    <x v="5"/>
    <x v="1"/>
    <s v="-"/>
    <m/>
    <d v="2027-05-08T00:00:00"/>
    <d v="2027-06-26T00:00:00"/>
    <x v="10"/>
    <x v="1"/>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s v="US"/>
    <s v="NY"/>
    <x v="4"/>
    <x v="4"/>
    <m/>
    <m/>
    <x v="8"/>
    <x v="0"/>
    <n v="1074318.51"/>
    <n v="537158.51"/>
    <x v="6"/>
    <x v="1"/>
    <s v="-"/>
    <m/>
    <d v="2027-05-08T00:00:00"/>
    <d v="2027-06-26T00:00:00"/>
    <x v="10"/>
    <x v="1"/>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s v="US"/>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s v="US"/>
    <s v="CA"/>
    <x v="1"/>
    <x v="1"/>
    <m/>
    <m/>
    <x v="10"/>
    <x v="6"/>
    <n v="311473.76000000007"/>
    <n v="239023"/>
    <x v="11"/>
    <x v="0"/>
    <d v="2026-10-26T00:00:00"/>
    <d v="2026-10-30T00:00:00"/>
    <d v="2026-11-06T00:00:00"/>
    <d v="2026-12-11T00:00:00"/>
    <x v="11"/>
    <x v="10"/>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s v="US"/>
    <s v="CA"/>
    <x v="1"/>
    <x v="1"/>
    <m/>
    <m/>
    <x v="10"/>
    <x v="6"/>
    <n v="311473.76000000007"/>
    <n v="72450.760000000068"/>
    <x v="15"/>
    <x v="0"/>
    <d v="2026-11-02T00:00:00"/>
    <d v="2026-11-13T00:00:00"/>
    <d v="2026-11-06T00:00:00"/>
    <d v="2026-12-11T00:00:00"/>
    <x v="11"/>
    <x v="10"/>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s v="US"/>
    <s v="WY"/>
    <x v="0"/>
    <x v="0"/>
    <m/>
    <m/>
    <x v="5"/>
    <x v="0"/>
    <n v="206516"/>
    <n v="136716"/>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s v="US"/>
    <s v="WY"/>
    <x v="1"/>
    <x v="1"/>
    <m/>
    <m/>
    <x v="5"/>
    <x v="0"/>
    <n v="206516"/>
    <n v="66720.490000000005"/>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ADDITIONAL "/>
    <x v="20"/>
    <n v="1"/>
    <x v="3"/>
    <s v="NEW"/>
    <s v="7. Mass Production"/>
    <d v="2026-05-05T00:00:00"/>
    <d v="2026-04-13T00:00:00"/>
    <m/>
    <s v="US"/>
    <s v="WY"/>
    <x v="1"/>
    <x v="1"/>
    <m/>
    <m/>
    <x v="6"/>
    <x v="5"/>
    <n v="206516"/>
    <n v="3080"/>
    <x v="12"/>
    <x v="1"/>
    <d v="2026-08-08T00:00:00"/>
    <d v="2026-08-15T00:00:00"/>
    <d v="2027-01-29T00:00:00"/>
    <d v="2027-01-29T00:00:00"/>
    <x v="13"/>
    <x v="12"/>
    <s v="Approved"/>
    <m/>
    <d v="2026-05-21T00:00:00"/>
    <s v="Approved"/>
    <m/>
    <d v="2025-06-05T00:00:00"/>
    <s v="Approved"/>
    <m/>
    <m/>
    <s v="Approved"/>
    <m/>
    <m/>
    <s v="N/A"/>
    <m/>
    <m/>
    <s v="Approved"/>
    <m/>
    <m/>
    <s v="COM Received"/>
    <m/>
    <m/>
    <s v="Active"/>
    <s v="Yes"/>
    <s v="NPI: Fabric is com received for SW05"/>
    <m/>
  </r>
  <r>
    <x v="0"/>
    <x v="0"/>
    <x v="1"/>
    <s v="Sue Bilstad"/>
    <x v="0"/>
    <s v="RH"/>
    <s v="TRUMP LAS VEGAS PENTHOUSES"/>
    <x v="21"/>
    <n v="1"/>
    <x v="3"/>
    <s v="NEW"/>
    <s v="7. Mass Production"/>
    <d v="2025-10-25T00:00:00"/>
    <d v="2026-08-20T00:00:00"/>
    <m/>
    <s v="US"/>
    <s v="NV"/>
    <x v="1"/>
    <x v="1"/>
    <m/>
    <m/>
    <x v="11"/>
    <x v="7"/>
    <n v="558793"/>
    <n v="558793"/>
    <x v="12"/>
    <x v="1"/>
    <s v="-"/>
    <m/>
    <d v="2027-01-08T00:00:00"/>
    <d v="2027-01-29T00:00:00"/>
    <x v="14"/>
    <x v="12"/>
    <s v="Approved"/>
    <m/>
    <m/>
    <s v="Approved"/>
    <m/>
    <m/>
    <s v="Approved"/>
    <m/>
    <m/>
    <s v="Approved"/>
    <m/>
    <m/>
    <s v="Approved"/>
    <m/>
    <m/>
    <s v="Approved"/>
    <m/>
    <m/>
    <m/>
    <m/>
    <m/>
    <s v="Active"/>
    <s v="Yes"/>
    <s v="NPI: All development items approved/closed for SW05"/>
    <m/>
  </r>
  <r>
    <x v="0"/>
    <x v="0"/>
    <x v="5"/>
    <s v="Madison Lay"/>
    <x v="0"/>
    <s v="RH"/>
    <s v="RITZ DOVE MOUNTAIN"/>
    <x v="22"/>
    <n v="1"/>
    <x v="1"/>
    <s v="NEW"/>
    <s v="4. Prototype Build"/>
    <d v="2026-03-03T00:00:00"/>
    <m/>
    <m/>
    <s v="US"/>
    <s v="AZ"/>
    <x v="1"/>
    <x v="1"/>
    <m/>
    <m/>
    <x v="12"/>
    <x v="0"/>
    <n v="228581"/>
    <n v="228581"/>
    <x v="4"/>
    <x v="1"/>
    <s v="-"/>
    <m/>
    <d v="2027-04-10T00:00:00"/>
    <d v="2027-04-24T00:00:00"/>
    <x v="15"/>
    <x v="13"/>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3"/>
    <n v="1"/>
    <x v="0"/>
    <s v="REO"/>
    <s v="8. Shipment"/>
    <m/>
    <d v="2026-02-26T00:00:00"/>
    <m/>
    <s v="US"/>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4"/>
    <n v="1"/>
    <x v="0"/>
    <s v="NEW"/>
    <s v="8. Shipment"/>
    <d v="2024-10-10T00:00:00"/>
    <d v="2026-03-20T00:00:00"/>
    <m/>
    <s v="MX"/>
    <s v="Mexico"/>
    <x v="0"/>
    <x v="0"/>
    <m/>
    <m/>
    <x v="13"/>
    <x v="0"/>
    <n v="164002.01999999999"/>
    <n v="110307"/>
    <x v="2"/>
    <x v="0"/>
    <d v="2026-07-31T00:00:00"/>
    <d v="2026-07-31T00:00:00"/>
    <d v="2026-07-31T00:00:00"/>
    <d v="2026-08-07T00:00:00"/>
    <x v="16"/>
    <x v="14"/>
    <s v="Approved"/>
    <m/>
    <m/>
    <s v="Approved"/>
    <m/>
    <m/>
    <s v="Approved"/>
    <m/>
    <m/>
    <s v="N/A"/>
    <m/>
    <m/>
    <s v="N/A"/>
    <m/>
    <m/>
    <s v="N/A"/>
    <m/>
    <m/>
    <s v="COM Received"/>
    <m/>
    <m/>
    <s v="Complete"/>
    <s v="Yes"/>
    <s v="READY"/>
    <m/>
  </r>
  <r>
    <x v="0"/>
    <x v="0"/>
    <x v="0"/>
    <s v="Sue Bilstad"/>
    <x v="0"/>
    <s v="RH"/>
    <s v="ST. REGIS KANAI"/>
    <x v="24"/>
    <n v="0"/>
    <x v="0"/>
    <s v="NEW"/>
    <s v="8. Shipment"/>
    <d v="2024-10-10T00:00:00"/>
    <d v="2026-03-20T00:00:00"/>
    <m/>
    <s v="MX"/>
    <s v="Mexico"/>
    <x v="0"/>
    <x v="0"/>
    <m/>
    <m/>
    <x v="13"/>
    <x v="0"/>
    <n v="164002.01999999999"/>
    <n v="53695.14"/>
    <x v="3"/>
    <x v="0"/>
    <d v="2026-07-31T00:00:00"/>
    <d v="2026-07-31T00:00:00"/>
    <d v="2026-07-31T00:00:00"/>
    <d v="2026-08-07T00:00:00"/>
    <x v="16"/>
    <x v="14"/>
    <s v="Approved"/>
    <m/>
    <m/>
    <s v="Approved"/>
    <m/>
    <m/>
    <s v="Approved"/>
    <m/>
    <m/>
    <s v="N/A"/>
    <m/>
    <m/>
    <s v="N/A"/>
    <m/>
    <m/>
    <s v="N/A"/>
    <m/>
    <m/>
    <s v="COM Received"/>
    <m/>
    <m/>
    <s v="Complete"/>
    <s v="Yes"/>
    <s v="READY"/>
    <m/>
  </r>
  <r>
    <x v="0"/>
    <x v="1"/>
    <x v="3"/>
    <s v="Sue Bilstad"/>
    <x v="0"/>
    <s v="RH"/>
    <s v="CIA O&amp;O GUESTROOMS"/>
    <x v="7"/>
    <n v="1"/>
    <x v="0"/>
    <s v="NEW"/>
    <s v="8. Shipment"/>
    <d v="2026-02-19T00:00:00"/>
    <d v="2025-12-01T00:00:00"/>
    <m/>
    <s v="US"/>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5"/>
    <n v="1"/>
    <x v="0"/>
    <s v="NEW"/>
    <s v="8. Shipment"/>
    <m/>
    <s v="-"/>
    <m/>
    <s v="US"/>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6"/>
    <n v="1"/>
    <x v="0"/>
    <s v="NEW"/>
    <s v="8. Shipment"/>
    <d v="2026-01-05T00:00:00"/>
    <d v="2025-12-18T00:00:00"/>
    <m/>
    <s v="US"/>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6"/>
    <n v="0"/>
    <x v="0"/>
    <s v="NEW"/>
    <s v="7. Mass Production"/>
    <d v="2026-01-05T00:00:00"/>
    <d v="2025-12-18T00:00:00"/>
    <m/>
    <s v="US"/>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6"/>
    <n v="0"/>
    <x v="0"/>
    <s v="NEW"/>
    <s v="7. Mass Production"/>
    <d v="2026-01-05T00:00:00"/>
    <d v="2025-12-18T00:00:00"/>
    <m/>
    <s v="US"/>
    <s v="NY"/>
    <x v="1"/>
    <x v="1"/>
    <m/>
    <m/>
    <x v="15"/>
    <x v="0"/>
    <n v="169946"/>
    <n v="51777"/>
    <x v="8"/>
    <x v="0"/>
    <d v="2026-09-04T00:00:00"/>
    <d v="2026-09-11T00:00:00"/>
    <d v="2026-08-08T00:00:00"/>
    <d v="2026-09-18T00:00:00"/>
    <x v="12"/>
    <x v="15"/>
    <s v="Approved"/>
    <m/>
    <m/>
    <s v="Approved"/>
    <m/>
    <m/>
    <s v="Approved"/>
    <m/>
    <m/>
    <s v="Approved"/>
    <m/>
    <m/>
    <s v="Approved"/>
    <m/>
    <m/>
    <s v="N/A"/>
    <m/>
    <m/>
    <s v="COM Pending"/>
    <m/>
    <m/>
    <s v="Complete"/>
    <m/>
    <s v="READY"/>
    <m/>
  </r>
  <r>
    <x v="1"/>
    <x v="0"/>
    <x v="8"/>
    <m/>
    <x v="2"/>
    <s v="L&amp;S"/>
    <s v="FAENA TULLUM (FTMX)"/>
    <x v="27"/>
    <n v="1"/>
    <x v="1"/>
    <s v="NEW"/>
    <s v="1. Preliminary Design"/>
    <m/>
    <s v="-"/>
    <m/>
    <s v="MX"/>
    <s v="Mexico"/>
    <x v="1"/>
    <x v="1"/>
    <m/>
    <m/>
    <x v="16"/>
    <x v="0"/>
    <n v="1160820"/>
    <n v="580410"/>
    <x v="16"/>
    <x v="1"/>
    <s v="-"/>
    <m/>
    <s v="TBC"/>
    <s v="TBC"/>
    <x v="9"/>
    <x v="9"/>
    <s v="Not Started "/>
    <m/>
    <m/>
    <s v="Not Started"/>
    <m/>
    <m/>
    <m/>
    <m/>
    <m/>
    <m/>
    <m/>
    <m/>
    <m/>
    <m/>
    <m/>
    <m/>
    <m/>
    <m/>
    <m/>
    <m/>
    <m/>
    <s v="Active"/>
    <m/>
    <s v="NPI: Not started: Veneer/Wood for SW TBC"/>
    <m/>
  </r>
  <r>
    <x v="1"/>
    <x v="0"/>
    <x v="8"/>
    <m/>
    <x v="2"/>
    <s v="L&amp;S"/>
    <s v="FAENA TULLUM (FTMX)"/>
    <x v="27"/>
    <n v="0"/>
    <x v="1"/>
    <s v="NEW"/>
    <s v="1. Preliminary Design"/>
    <m/>
    <s v="-"/>
    <m/>
    <s v="MX"/>
    <s v="Mexico"/>
    <x v="1"/>
    <x v="1"/>
    <m/>
    <m/>
    <x v="16"/>
    <x v="0"/>
    <n v="1160820"/>
    <n v="580410"/>
    <x v="16"/>
    <x v="1"/>
    <s v="-"/>
    <m/>
    <s v="TBC"/>
    <s v="TBC"/>
    <x v="9"/>
    <x v="9"/>
    <s v="Not Started "/>
    <m/>
    <m/>
    <s v="Not Started"/>
    <m/>
    <m/>
    <m/>
    <m/>
    <m/>
    <m/>
    <m/>
    <m/>
    <m/>
    <m/>
    <m/>
    <m/>
    <m/>
    <m/>
    <m/>
    <m/>
    <m/>
    <s v="Active"/>
    <m/>
    <s v="NPI: Not started: Veneer/Wood for SW TBC"/>
    <m/>
  </r>
  <r>
    <x v="1"/>
    <x v="0"/>
    <x v="4"/>
    <m/>
    <x v="3"/>
    <s v="FLEETWOOD "/>
    <s v="FOUR SEASON JACKSONVILLE"/>
    <x v="28"/>
    <n v="1"/>
    <x v="0"/>
    <s v="NEW"/>
    <s v="8. Shipment"/>
    <d v="2025-11-26T00:00:00"/>
    <d v="2026-01-31T00:00:00"/>
    <m/>
    <s v="US"/>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8"/>
    <n v="0"/>
    <x v="0"/>
    <s v="NEW"/>
    <s v="8. Shipment"/>
    <d v="2025-11-26T00:00:00"/>
    <d v="2026-01-31T00:00:00"/>
    <m/>
    <s v="US"/>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8"/>
    <n v="0"/>
    <x v="0"/>
    <s v="NEW"/>
    <s v="8. Shipment"/>
    <d v="2025-11-26T00:00:00"/>
    <d v="2026-01-31T00:00:00"/>
    <m/>
    <s v="US"/>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8"/>
    <n v="0"/>
    <x v="0"/>
    <s v="NEW"/>
    <s v="8. Shipment"/>
    <d v="2025-11-26T00:00:00"/>
    <d v="2026-01-31T00:00:00"/>
    <m/>
    <s v="US"/>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9"/>
    <n v="1"/>
    <x v="6"/>
    <s v="NEW"/>
    <s v="3. Prototype Readiness"/>
    <d v="2026-04-18T00:00:00"/>
    <s v="-"/>
    <m/>
    <s v="US"/>
    <s v="NV"/>
    <x v="0"/>
    <x v="0"/>
    <m/>
    <m/>
    <x v="18"/>
    <x v="0"/>
    <n v="3218808.59"/>
    <n v="1072936"/>
    <x v="12"/>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9"/>
    <n v="0"/>
    <x v="6"/>
    <s v="NEW"/>
    <s v="3. Prototype Readiness"/>
    <d v="2026-04-18T00:00:00"/>
    <s v="-"/>
    <m/>
    <s v="US"/>
    <s v="NV"/>
    <x v="0"/>
    <x v="0"/>
    <m/>
    <m/>
    <x v="18"/>
    <x v="0"/>
    <n v="3218808.59"/>
    <n v="500000"/>
    <x v="17"/>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9"/>
    <n v="0"/>
    <x v="6"/>
    <s v="NEW"/>
    <s v="3. Prototype Readiness"/>
    <d v="2026-04-18T00:00:00"/>
    <s v="-"/>
    <m/>
    <s v="US"/>
    <s v="NV"/>
    <x v="0"/>
    <x v="0"/>
    <m/>
    <m/>
    <x v="18"/>
    <x v="0"/>
    <n v="3218808.59"/>
    <n v="1072936"/>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9"/>
    <n v="0"/>
    <x v="6"/>
    <s v="NEW"/>
    <s v="3. Prototype Readiness"/>
    <d v="2026-04-18T00:00:00"/>
    <s v="-"/>
    <m/>
    <s v="US"/>
    <s v="NV"/>
    <x v="0"/>
    <x v="0"/>
    <m/>
    <m/>
    <x v="18"/>
    <x v="0"/>
    <n v="3218808.59"/>
    <n v="572936"/>
    <x v="4"/>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30"/>
    <n v="1"/>
    <x v="0"/>
    <s v="REO"/>
    <s v="8. Shipment"/>
    <d v="2025-12-04T00:00:00"/>
    <d v="2026-01-02T00:00:00"/>
    <m/>
    <s v="US"/>
    <s v="HI"/>
    <x v="0"/>
    <x v="0"/>
    <m/>
    <m/>
    <x v="19"/>
    <x v="0"/>
    <n v="7015.5"/>
    <n v="7015.5"/>
    <x v="7"/>
    <x v="0"/>
    <s v="Apr"/>
    <m/>
    <d v="2026-04-04T00:00:00"/>
    <d v="2026-04-04T00:00:00"/>
    <x v="2"/>
    <x v="2"/>
    <s v="Approved"/>
    <m/>
    <m/>
    <s v="Approved"/>
    <m/>
    <m/>
    <m/>
    <m/>
    <m/>
    <m/>
    <m/>
    <m/>
    <m/>
    <m/>
    <m/>
    <m/>
    <m/>
    <m/>
    <m/>
    <m/>
    <m/>
    <s v="Complete"/>
    <m/>
    <s v="READY"/>
    <m/>
  </r>
  <r>
    <x v="1"/>
    <x v="0"/>
    <x v="10"/>
    <m/>
    <x v="4"/>
    <s v="THE PARKER"/>
    <s v="JAMES NY NOMAD"/>
    <x v="31"/>
    <n v="1"/>
    <x v="7"/>
    <s v="REO"/>
    <s v="8. Shipment"/>
    <d v="2026-01-09T00:00:00"/>
    <d v="2026-01-09T00:00:00"/>
    <m/>
    <s v="US"/>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2"/>
    <n v="1"/>
    <x v="0"/>
    <s v="NEW"/>
    <s v="8. Shipment"/>
    <d v="2025-04-01T00:00:00"/>
    <d v="2026-04-01T00:00:00"/>
    <m/>
    <s v="US"/>
    <s v="TX"/>
    <x v="0"/>
    <x v="0"/>
    <m/>
    <m/>
    <x v="20"/>
    <x v="0"/>
    <n v="103174.91"/>
    <n v="22782.880000000001"/>
    <x v="14"/>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2"/>
    <n v="0"/>
    <x v="0"/>
    <s v="NEW"/>
    <s v="8. Shipment"/>
    <d v="2025-04-01T00:00:00"/>
    <d v="2026-04-01T00:00:00"/>
    <m/>
    <s v="US"/>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2"/>
    <n v="0"/>
    <x v="0"/>
    <s v="NEW"/>
    <s v="8. Shipment"/>
    <d v="2025-04-01T00:00:00"/>
    <d v="2026-04-01T00:00:00"/>
    <m/>
    <s v="US"/>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2"/>
    <n v="0"/>
    <x v="0"/>
    <s v="NEW"/>
    <s v="8. Shipment"/>
    <d v="2025-04-01T00:00:00"/>
    <d v="2026-04-01T00:00:00"/>
    <m/>
    <s v="US"/>
    <s v="TX"/>
    <x v="1"/>
    <x v="1"/>
    <m/>
    <m/>
    <x v="20"/>
    <x v="0"/>
    <n v="103174.91"/>
    <n v="96242"/>
    <x v="8"/>
    <x v="0"/>
    <d v="2025-08-22T00:00:00"/>
    <d v="2026-08-21T00:00:00"/>
    <d v="2026-09-25T00:00:00"/>
    <d v="2026-12-27T00:00:00"/>
    <x v="17"/>
    <x v="16"/>
    <s v="Approved"/>
    <m/>
    <d v="2025-06-05T00:00:00"/>
    <s v="Approved"/>
    <m/>
    <m/>
    <s v="Approved"/>
    <m/>
    <m/>
    <s v="Approved"/>
    <m/>
    <m/>
    <s v="Approved"/>
    <m/>
    <m/>
    <s v="Approved"/>
    <m/>
    <m/>
    <s v="COM"/>
    <m/>
    <s v="COM Pending"/>
    <s v="Complete"/>
    <m/>
    <s v="READY"/>
    <m/>
  </r>
  <r>
    <x v="1"/>
    <x v="0"/>
    <x v="11"/>
    <m/>
    <x v="5"/>
    <s v="KD"/>
    <s v="KNOX DALLAS SUITE"/>
    <x v="33"/>
    <n v="1"/>
    <x v="0"/>
    <s v="REO"/>
    <s v="7. Mass Production"/>
    <d v="2026-03-19T00:00:00"/>
    <d v="2026-01-31T00:00:00"/>
    <m/>
    <s v="US"/>
    <s v="TX"/>
    <x v="5"/>
    <x v="5"/>
    <m/>
    <m/>
    <x v="2"/>
    <x v="0"/>
    <n v="388861"/>
    <n v="98457.81"/>
    <x v="9"/>
    <x v="0"/>
    <d v="2026-05-15T00:00:00"/>
    <d v="2026-11-13T00:00:00"/>
    <d v="2026-09-25T00:00:00"/>
    <d v="2026-12-27T00:00:00"/>
    <x v="17"/>
    <x v="16"/>
    <s v="Approved"/>
    <m/>
    <d v="2025-10-03T00:00:00"/>
    <s v="Approved"/>
    <m/>
    <m/>
    <s v="Approved"/>
    <m/>
    <m/>
    <s v="Approved"/>
    <m/>
    <m/>
    <s v="Approved"/>
    <m/>
    <m/>
    <s v="N/A"/>
    <m/>
    <m/>
    <s v="COM"/>
    <m/>
    <s v="COM Pending"/>
    <s v="Complete"/>
    <m/>
    <s v="READY"/>
    <m/>
  </r>
  <r>
    <x v="1"/>
    <x v="0"/>
    <x v="11"/>
    <m/>
    <x v="5"/>
    <s v="KD"/>
    <s v="KNOX DALLAS SUITE"/>
    <x v="34"/>
    <n v="1"/>
    <x v="3"/>
    <s v="REO"/>
    <s v="7. Mass Production"/>
    <d v="2025-12-10T00:00:00"/>
    <d v="2026-01-31T00:00:00"/>
    <m/>
    <s v="US"/>
    <s v="TX"/>
    <x v="5"/>
    <x v="5"/>
    <m/>
    <m/>
    <x v="2"/>
    <x v="0"/>
    <n v="388861"/>
    <n v="92796.049999999988"/>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4"/>
    <n v="0"/>
    <x v="3"/>
    <s v="REO"/>
    <s v="7. Mass Production"/>
    <d v="2025-12-10T00:00:00"/>
    <d v="2026-01-31T00:00:00"/>
    <m/>
    <s v="US"/>
    <s v="TX"/>
    <x v="5"/>
    <x v="5"/>
    <m/>
    <m/>
    <x v="2"/>
    <x v="0"/>
    <n v="388861"/>
    <n v="56180.32"/>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4"/>
    <n v="0"/>
    <x v="3"/>
    <s v="REO"/>
    <s v="7. Mass Production"/>
    <d v="2025-12-10T00:00:00"/>
    <d v="2026-01-31T00:00:00"/>
    <m/>
    <s v="US"/>
    <s v="TX"/>
    <x v="5"/>
    <x v="5"/>
    <m/>
    <m/>
    <x v="2"/>
    <x v="0"/>
    <n v="388861"/>
    <n v="59908.57"/>
    <x v="15"/>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INSPECTION COVERS"/>
    <x v="35"/>
    <n v="1"/>
    <x v="3"/>
    <s v="NEW"/>
    <s v="7. Mass Production"/>
    <d v="2026-10-07T00:00:00"/>
    <d v="2026-10-08T00:00:00"/>
    <m/>
    <s v="US"/>
    <s v="TX"/>
    <x v="0"/>
    <x v="0"/>
    <m/>
    <m/>
    <x v="21"/>
    <x v="8"/>
    <n v="2680"/>
    <n v="2680"/>
    <x v="15"/>
    <x v="0"/>
    <m/>
    <m/>
    <d v="2026-12-25T00:00:00"/>
    <d v="2026-12-25T00:00:00"/>
    <x v="18"/>
    <x v="16"/>
    <s v="Approved"/>
    <m/>
    <m/>
    <s v="Approved"/>
    <m/>
    <m/>
    <s v="N/A"/>
    <m/>
    <m/>
    <s v="N/A"/>
    <m/>
    <m/>
    <s v="N/A"/>
    <m/>
    <m/>
    <s v="N/A"/>
    <m/>
    <m/>
    <s v="N/A"/>
    <m/>
    <m/>
    <s v="Active"/>
    <m/>
    <s v="NPI: All development items approved/closed for SW52"/>
    <m/>
  </r>
  <r>
    <x v="1"/>
    <x v="0"/>
    <x v="6"/>
    <m/>
    <x v="6"/>
    <s v="AHMADIAH"/>
    <s v="MARRIOTT KHOBAR"/>
    <x v="36"/>
    <n v="1"/>
    <x v="2"/>
    <s v="NEW"/>
    <s v="1. Preliminary Design"/>
    <m/>
    <s v="-"/>
    <m/>
    <s v="SA"/>
    <s v="Saudi Arabia"/>
    <x v="0"/>
    <x v="0"/>
    <m/>
    <m/>
    <x v="22"/>
    <x v="0"/>
    <m/>
    <m/>
    <x v="19"/>
    <x v="3"/>
    <s v="-"/>
    <m/>
    <m/>
    <m/>
    <x v="19"/>
    <x v="17"/>
    <m/>
    <m/>
    <m/>
    <m/>
    <m/>
    <m/>
    <m/>
    <m/>
    <m/>
    <m/>
    <m/>
    <m/>
    <m/>
    <m/>
    <m/>
    <m/>
    <m/>
    <m/>
    <m/>
    <m/>
    <m/>
    <s v="Complete"/>
    <m/>
    <s v="NPI: All development items approved/closed"/>
    <m/>
  </r>
  <r>
    <x v="2"/>
    <x v="0"/>
    <x v="9"/>
    <m/>
    <x v="7"/>
    <s v="MH"/>
    <s v="MH HOTEL PROJECT"/>
    <x v="37"/>
    <n v="1"/>
    <x v="0"/>
    <s v="NEW"/>
    <s v="8. Shipment"/>
    <d v="2026-02-26T00:00:00"/>
    <d v="2026-02-13T00:00:00"/>
    <m/>
    <s v="US"/>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8"/>
    <n v="1"/>
    <x v="0"/>
    <s v="NEW"/>
    <s v="8. Shipment"/>
    <d v="2025-09-05T00:00:00"/>
    <d v="2025-09-13T00:00:00"/>
    <d v="2025-12-09T00:00:00"/>
    <s v="US"/>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8"/>
    <n v="0"/>
    <x v="0"/>
    <s v="NEW"/>
    <s v="8. Shipment"/>
    <d v="2025-09-05T00:00:00"/>
    <d v="2025-09-13T00:00:00"/>
    <d v="2025-12-09T00:00:00"/>
    <s v="US"/>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9"/>
    <n v="1"/>
    <x v="0"/>
    <s v="NEW"/>
    <s v="7. Mass Production"/>
    <d v="2026-05-02T00:00:00"/>
    <d v="2026-05-02T00:00:00"/>
    <m/>
    <s v="US"/>
    <s v="CA"/>
    <x v="1"/>
    <x v="1"/>
    <m/>
    <m/>
    <x v="24"/>
    <x v="0"/>
    <n v="100242"/>
    <n v="49464"/>
    <x v="9"/>
    <x v="0"/>
    <s v="-"/>
    <m/>
    <d v="2026-09-25T00:00:00"/>
    <d v="2026-10-09T00:00:00"/>
    <x v="17"/>
    <x v="18"/>
    <s v="Approved"/>
    <m/>
    <d v="2026-06-18T00:00:00"/>
    <s v="Approved"/>
    <m/>
    <m/>
    <s v="Approved"/>
    <m/>
    <m/>
    <s v="Approved"/>
    <m/>
    <m/>
    <s v="N/A"/>
    <m/>
    <m/>
    <s v="N/A"/>
    <m/>
    <m/>
    <s v="Approved"/>
    <m/>
    <m/>
    <s v="Complete"/>
    <m/>
    <s v="READY"/>
    <s v="Shipped"/>
  </r>
  <r>
    <x v="1"/>
    <x v="0"/>
    <x v="5"/>
    <s v="Aaron Newell"/>
    <x v="8"/>
    <s v="MOHI"/>
    <s v="MOHI APPELLATION"/>
    <x v="39"/>
    <n v="0"/>
    <x v="0"/>
    <s v="NEW"/>
    <s v="7. Mass Production"/>
    <d v="2026-05-02T00:00:00"/>
    <d v="2026-05-02T00:00:00"/>
    <m/>
    <s v="US"/>
    <s v="CA"/>
    <x v="1"/>
    <x v="1"/>
    <m/>
    <m/>
    <x v="24"/>
    <x v="0"/>
    <n v="100242"/>
    <n v="50779"/>
    <x v="9"/>
    <x v="0"/>
    <s v="-"/>
    <m/>
    <d v="2026-09-25T00:00:00"/>
    <d v="2026-10-09T00:00:00"/>
    <x v="17"/>
    <x v="18"/>
    <s v="Approved"/>
    <m/>
    <d v="2026-06-18T00:00:00"/>
    <s v="Approved"/>
    <m/>
    <m/>
    <s v="Approved"/>
    <m/>
    <m/>
    <s v="Approved"/>
    <m/>
    <m/>
    <s v="N/A"/>
    <m/>
    <m/>
    <s v="N/A"/>
    <m/>
    <m/>
    <s v="Approved"/>
    <m/>
    <m/>
    <s v="Complete"/>
    <m/>
    <s v="READY"/>
    <s v="Shipped"/>
  </r>
  <r>
    <x v="1"/>
    <x v="0"/>
    <x v="8"/>
    <m/>
    <x v="2"/>
    <s v="L&amp;S"/>
    <s v="RITZ CARLTON COTTON BAY"/>
    <x v="40"/>
    <n v="1"/>
    <x v="5"/>
    <s v="NEW"/>
    <s v="3. Prototype Readiness"/>
    <d v="2025-04-11T00:00:00"/>
    <s v="-"/>
    <m/>
    <s v="BS"/>
    <s v="Bahamas"/>
    <x v="1"/>
    <x v="1"/>
    <m/>
    <m/>
    <x v="25"/>
    <x v="0"/>
    <n v="3134000"/>
    <n v="1044666.66666667"/>
    <x v="16"/>
    <x v="1"/>
    <s v="-"/>
    <m/>
    <d v="2027-10-01T00:00:00"/>
    <d v="2027-12-24T00:00:00"/>
    <x v="20"/>
    <x v="19"/>
    <s v="Approved"/>
    <m/>
    <m/>
    <s v="Approved"/>
    <m/>
    <m/>
    <m/>
    <m/>
    <m/>
    <m/>
    <m/>
    <m/>
    <m/>
    <m/>
    <m/>
    <m/>
    <m/>
    <m/>
    <m/>
    <m/>
    <m/>
    <s v="Active"/>
    <m/>
    <s v="NPI: All development items approved/closed for SW52"/>
    <m/>
  </r>
  <r>
    <x v="1"/>
    <x v="0"/>
    <x v="8"/>
    <m/>
    <x v="2"/>
    <s v="L&amp;S"/>
    <s v="RITZ CARLTON COTTON BAY"/>
    <x v="40"/>
    <n v="0"/>
    <x v="5"/>
    <s v="NEW"/>
    <s v="3. Prototype Readiness"/>
    <d v="2025-04-11T00:00:00"/>
    <s v="-"/>
    <m/>
    <s v="BS"/>
    <s v="Bahamas"/>
    <x v="1"/>
    <x v="1"/>
    <m/>
    <m/>
    <x v="25"/>
    <x v="0"/>
    <n v="3134000"/>
    <n v="1044666.66666667"/>
    <x v="20"/>
    <x v="1"/>
    <s v="-"/>
    <m/>
    <d v="2027-10-01T00:00:00"/>
    <d v="2027-12-24T00:00:00"/>
    <x v="20"/>
    <x v="19"/>
    <s v="Approved"/>
    <m/>
    <m/>
    <s v="Approved"/>
    <m/>
    <m/>
    <m/>
    <m/>
    <m/>
    <m/>
    <m/>
    <m/>
    <m/>
    <m/>
    <m/>
    <m/>
    <m/>
    <m/>
    <m/>
    <m/>
    <m/>
    <s v="Active"/>
    <m/>
    <s v="NPI: All development items approved/closed for SW52"/>
    <m/>
  </r>
  <r>
    <x v="1"/>
    <x v="0"/>
    <x v="8"/>
    <m/>
    <x v="2"/>
    <s v="L&amp;S"/>
    <s v="RITZ CARLTON COTTON BAY"/>
    <x v="40"/>
    <n v="0"/>
    <x v="5"/>
    <s v="NEW"/>
    <s v="3. Prototype Readiness"/>
    <d v="2025-04-11T00:00:00"/>
    <s v="-"/>
    <m/>
    <s v="BS"/>
    <s v="Bahamas"/>
    <x v="1"/>
    <x v="1"/>
    <m/>
    <m/>
    <x v="25"/>
    <x v="0"/>
    <n v="3134000"/>
    <n v="1044666.66666667"/>
    <x v="21"/>
    <x v="1"/>
    <s v="-"/>
    <m/>
    <d v="2027-10-01T00:00:00"/>
    <d v="2027-12-24T00:00:00"/>
    <x v="20"/>
    <x v="19"/>
    <s v="Approved"/>
    <m/>
    <m/>
    <s v="Approved"/>
    <m/>
    <m/>
    <m/>
    <m/>
    <m/>
    <m/>
    <m/>
    <m/>
    <m/>
    <m/>
    <m/>
    <m/>
    <m/>
    <m/>
    <m/>
    <m/>
    <m/>
    <s v="Active"/>
    <m/>
    <s v="NPI: All development items approved/closed for SW52"/>
    <m/>
  </r>
  <r>
    <x v="1"/>
    <x v="0"/>
    <x v="9"/>
    <m/>
    <x v="9"/>
    <s v="PLUS CORPORATION"/>
    <s v="SOHO HOUSE TOKYO"/>
    <x v="41"/>
    <n v="1"/>
    <x v="0"/>
    <s v="NEW"/>
    <s v="8. Shipment"/>
    <d v="2025-10-18T00:00:00"/>
    <d v="2026-03-06T00:00:00"/>
    <m/>
    <s v="JP"/>
    <s v="Japan"/>
    <x v="0"/>
    <x v="0"/>
    <m/>
    <m/>
    <x v="26"/>
    <x v="0"/>
    <n v="24012"/>
    <n v="21344"/>
    <x v="14"/>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1"/>
    <n v="0"/>
    <x v="0"/>
    <s v="REO"/>
    <s v="8. Shipment"/>
    <d v="2025-03-03T00:00:00"/>
    <d v="2026-03-06T00:00:00"/>
    <m/>
    <s v="JP"/>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2"/>
    <n v="1"/>
    <x v="0"/>
    <s v="NEW"/>
    <s v="8. Shipment"/>
    <d v="2026-03-11T00:00:00"/>
    <d v="2026-03-13T00:00:00"/>
    <d v="2026-04-02T00:00:00"/>
    <s v="US"/>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2"/>
    <n v="0"/>
    <x v="0"/>
    <s v="NEW"/>
    <s v="8. Shipment"/>
    <d v="2026-03-11T00:00:00"/>
    <d v="2026-03-13T00:00:00"/>
    <d v="2026-04-02T00:00:00"/>
    <s v="US"/>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3"/>
    <n v="1"/>
    <x v="0"/>
    <s v="NEW"/>
    <s v="8. Shipment"/>
    <m/>
    <s v="-"/>
    <m/>
    <s v="VN"/>
    <s v="Vietnam"/>
    <x v="0"/>
    <x v="0"/>
    <m/>
    <m/>
    <x v="19"/>
    <x v="0"/>
    <n v="10003.5"/>
    <n v="10003.5"/>
    <x v="14"/>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4"/>
    <n v="1"/>
    <x v="0"/>
    <s v="NEW"/>
    <s v="8. Shipment"/>
    <d v="2026-03-03T00:00:00"/>
    <d v="2026-03-09T00:00:00"/>
    <m/>
    <s v="JM"/>
    <s v="Jamaica"/>
    <x v="0"/>
    <x v="0"/>
    <m/>
    <m/>
    <x v="28"/>
    <x v="0"/>
    <n v="1022211"/>
    <n v="525145.19999999995"/>
    <x v="2"/>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4"/>
    <n v="0"/>
    <x v="0"/>
    <s v="NEW"/>
    <s v="8. Shipment"/>
    <d v="2026-03-03T00:00:00"/>
    <d v="2026-03-09T00:00:00"/>
    <m/>
    <s v="JM"/>
    <s v="Jamaica"/>
    <x v="0"/>
    <x v="0"/>
    <m/>
    <m/>
    <x v="28"/>
    <x v="0"/>
    <n v="1022211"/>
    <n v="471952.96"/>
    <x v="3"/>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4"/>
    <n v="0"/>
    <x v="0"/>
    <s v="NEW"/>
    <s v="6. Pilot Run"/>
    <d v="2026-03-03T00:00:00"/>
    <d v="2026-03-09T00:00:00"/>
    <m/>
    <s v="JM"/>
    <s v="Jamaica"/>
    <x v="1"/>
    <x v="1"/>
    <m/>
    <m/>
    <x v="28"/>
    <x v="0"/>
    <n v="1022211"/>
    <n v="38212.51"/>
    <x v="8"/>
    <x v="0"/>
    <d v="2026-07-31T00:00:00"/>
    <d v="2026-08-31T00:00:00"/>
    <d v="2026-07-13T00:00:00"/>
    <d v="2026-09-11T00:00:00"/>
    <x v="21"/>
    <x v="6"/>
    <s v="Approved"/>
    <m/>
    <d v="2026-05-22T00:00:00"/>
    <s v="Approved"/>
    <m/>
    <m/>
    <s v="N/A"/>
    <m/>
    <m/>
    <s v="Approved"/>
    <m/>
    <m/>
    <s v="N/A"/>
    <m/>
    <m/>
    <s v="N/A"/>
    <m/>
    <m/>
    <s v="COM Pending"/>
    <m/>
    <d v="2026-06-05T00:00:00"/>
    <s v="Complete"/>
    <m/>
    <s v="READY"/>
    <m/>
  </r>
  <r>
    <x v="1"/>
    <x v="1"/>
    <x v="9"/>
    <m/>
    <x v="2"/>
    <s v="L&amp;S"/>
    <s v="ELYSEE HOTEL"/>
    <x v="26"/>
    <n v="1"/>
    <x v="0"/>
    <s v="NEW"/>
    <s v="8. Shipment"/>
    <d v="2026-01-05T00:00:00"/>
    <d v="2025-12-18T00:00:00"/>
    <m/>
    <s v="US"/>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5"/>
    <n v="1"/>
    <x v="0"/>
    <s v="NEW"/>
    <s v="8. Shipment"/>
    <d v="2026-01-15T00:00:00"/>
    <d v="2026-02-02T00:00:00"/>
    <m/>
    <s v="CA"/>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5"/>
    <n v="1"/>
    <x v="6"/>
    <s v="NEW"/>
    <s v="4. Prototype Build"/>
    <m/>
    <m/>
    <m/>
    <s v="CA"/>
    <s v="Canada"/>
    <x v="3"/>
    <x v="3"/>
    <m/>
    <m/>
    <x v="3"/>
    <x v="0"/>
    <n v="802234"/>
    <n v="401117"/>
    <x v="5"/>
    <x v="1"/>
    <s v="-"/>
    <m/>
    <s v="TBC"/>
    <s v="TBC"/>
    <x v="9"/>
    <x v="9"/>
    <s v="Not Started "/>
    <m/>
    <m/>
    <s v="Not Started"/>
    <m/>
    <m/>
    <s v="Not Started "/>
    <m/>
    <m/>
    <s v="Not Started "/>
    <m/>
    <m/>
    <s v="Not Started "/>
    <m/>
    <m/>
    <s v="Not Started "/>
    <m/>
    <m/>
    <s v="Not Started "/>
    <m/>
    <m/>
    <s v="Complete"/>
    <m/>
    <s v="NPI: Not started: Veneer/Wood for SW TBC"/>
    <m/>
  </r>
  <r>
    <x v="1"/>
    <x v="0"/>
    <x v="3"/>
    <m/>
    <x v="13"/>
    <s v="BROOKFIELD"/>
    <s v="PARK HYATT VANCOUVER"/>
    <x v="45"/>
    <n v="0"/>
    <x v="6"/>
    <s v="NEW"/>
    <s v="4. Prototype Build"/>
    <m/>
    <m/>
    <m/>
    <s v="CA"/>
    <s v="Canada"/>
    <x v="3"/>
    <x v="3"/>
    <m/>
    <m/>
    <x v="3"/>
    <x v="0"/>
    <n v="802234"/>
    <n v="401117"/>
    <x v="6"/>
    <x v="1"/>
    <s v="-"/>
    <m/>
    <s v="TBC"/>
    <s v="TBC"/>
    <x v="9"/>
    <x v="9"/>
    <s v="Not Started "/>
    <m/>
    <m/>
    <s v="Not Started"/>
    <m/>
    <m/>
    <s v="Not Started "/>
    <m/>
    <m/>
    <s v="Not Started "/>
    <m/>
    <m/>
    <s v="Not Started "/>
    <m/>
    <m/>
    <s v="Not Started "/>
    <m/>
    <m/>
    <s v="Not Started "/>
    <m/>
    <m/>
    <s v="Complete"/>
    <m/>
    <s v="NPI: Not started: Veneer/Wood for SW TBC"/>
    <m/>
  </r>
  <r>
    <x v="1"/>
    <x v="1"/>
    <x v="12"/>
    <m/>
    <x v="3"/>
    <s v="FLEETWOOD "/>
    <s v="W-HOTEL-LAS-VEGAS"/>
    <x v="46"/>
    <n v="1"/>
    <x v="0"/>
    <s v="NEW"/>
    <s v="8. Shipment"/>
    <d v="2025-10-09T00:00:00"/>
    <d v="2025-11-12T00:00:00"/>
    <m/>
    <s v="US"/>
    <s v="NV"/>
    <x v="0"/>
    <x v="0"/>
    <m/>
    <m/>
    <x v="5"/>
    <x v="0"/>
    <n v="15271.3"/>
    <n v="15271.3"/>
    <x v="14"/>
    <x v="0"/>
    <s v="-"/>
    <m/>
    <d v="2026-04-04T00:00:00"/>
    <d v="2026-04-04T00:00:00"/>
    <x v="2"/>
    <x v="2"/>
    <s v="Approved"/>
    <m/>
    <m/>
    <s v="Approved"/>
    <m/>
    <m/>
    <s v="Approved"/>
    <m/>
    <m/>
    <s v="Approved"/>
    <m/>
    <m/>
    <s v="Approved"/>
    <m/>
    <m/>
    <s v="In Progress"/>
    <m/>
    <m/>
    <s v="COM"/>
    <m/>
    <m/>
    <s v="Complete"/>
    <m/>
    <s v="READY"/>
    <m/>
  </r>
  <r>
    <x v="1"/>
    <x v="0"/>
    <x v="1"/>
    <s v="Elaine"/>
    <x v="3"/>
    <s v="FLEETWOOD "/>
    <s v="W-HOTEL-LAS-VEGAS"/>
    <x v="46"/>
    <n v="1"/>
    <x v="1"/>
    <s v="NEW"/>
    <s v="4. Prototype Build"/>
    <d v="2025-10-09T00:00:00"/>
    <s v="PENDING"/>
    <s v="PENDING"/>
    <s v="US"/>
    <s v="NV"/>
    <x v="1"/>
    <x v="1"/>
    <m/>
    <m/>
    <x v="5"/>
    <x v="0"/>
    <n v="3466407"/>
    <n v="1155469"/>
    <x v="5"/>
    <x v="1"/>
    <s v="-"/>
    <m/>
    <s v="TBC"/>
    <s v="TBC"/>
    <x v="9"/>
    <x v="9"/>
    <s v="Not Started "/>
    <m/>
    <m/>
    <s v="Not Started"/>
    <m/>
    <m/>
    <m/>
    <m/>
    <m/>
    <m/>
    <m/>
    <m/>
    <m/>
    <m/>
    <m/>
    <m/>
    <m/>
    <m/>
    <m/>
    <m/>
    <m/>
    <s v="Active"/>
    <m/>
    <s v="NPI: Not started: Veneer/Wood for SW TBC"/>
    <m/>
  </r>
  <r>
    <x v="1"/>
    <x v="0"/>
    <x v="1"/>
    <s v="Elaine"/>
    <x v="3"/>
    <s v="FLEETWOOD "/>
    <s v="W-HOTEL-LAS-VEGAS"/>
    <x v="46"/>
    <n v="0"/>
    <x v="1"/>
    <s v="NEW"/>
    <s v="4. Prototype Build"/>
    <d v="2025-10-09T00:00:00"/>
    <s v="PENDING"/>
    <s v="PENDING"/>
    <s v="US"/>
    <s v="NV"/>
    <x v="1"/>
    <x v="1"/>
    <m/>
    <m/>
    <x v="5"/>
    <x v="0"/>
    <n v="3466407"/>
    <n v="1155469"/>
    <x v="6"/>
    <x v="1"/>
    <s v="-"/>
    <m/>
    <s v="TBC"/>
    <s v="TBC"/>
    <x v="9"/>
    <x v="9"/>
    <s v="Not Started "/>
    <m/>
    <m/>
    <s v="Not Started"/>
    <m/>
    <m/>
    <m/>
    <m/>
    <m/>
    <m/>
    <m/>
    <m/>
    <m/>
    <m/>
    <m/>
    <m/>
    <m/>
    <m/>
    <m/>
    <m/>
    <m/>
    <s v="Active"/>
    <m/>
    <s v="NPI: Not started: Veneer/Wood for SW TBC"/>
    <m/>
  </r>
  <r>
    <x v="1"/>
    <x v="0"/>
    <x v="1"/>
    <s v="Elaine"/>
    <x v="3"/>
    <s v="FLEETWOOD "/>
    <s v="W-HOTEL-LAS-VEGAS"/>
    <x v="46"/>
    <n v="0"/>
    <x v="1"/>
    <s v="NEW"/>
    <s v="4. Prototype Build"/>
    <d v="2025-10-09T00:00:00"/>
    <s v="PENDING"/>
    <s v="PENDING"/>
    <s v="US"/>
    <s v="NV"/>
    <x v="1"/>
    <x v="1"/>
    <m/>
    <m/>
    <x v="5"/>
    <x v="0"/>
    <n v="3466407"/>
    <n v="1155469"/>
    <x v="10"/>
    <x v="1"/>
    <s v="-"/>
    <m/>
    <s v="TBC"/>
    <s v="TBC"/>
    <x v="9"/>
    <x v="9"/>
    <s v="Not Started "/>
    <m/>
    <m/>
    <s v="Not Started"/>
    <m/>
    <m/>
    <m/>
    <m/>
    <m/>
    <m/>
    <m/>
    <m/>
    <m/>
    <m/>
    <m/>
    <m/>
    <m/>
    <m/>
    <m/>
    <m/>
    <m/>
    <s v="Active"/>
    <m/>
    <s v="NPI: Not started: Veneer/Wood for SW TBC"/>
    <m/>
  </r>
  <r>
    <x v="1"/>
    <x v="1"/>
    <x v="9"/>
    <m/>
    <x v="2"/>
    <s v="L&amp;S"/>
    <s v="HARD ROCK SAN JUAN"/>
    <x v="47"/>
    <n v="1"/>
    <x v="8"/>
    <s v="NEW"/>
    <s v="5. Production Readiness"/>
    <d v="2026-04-29T00:00:00"/>
    <d v="2026-06-02T00:00:00"/>
    <d v="2026-03-19T00:00:00"/>
    <s v="US"/>
    <s v="PR"/>
    <x v="1"/>
    <x v="1"/>
    <m/>
    <m/>
    <x v="16"/>
    <x v="2"/>
    <n v="6614.04"/>
    <n v="6614.04"/>
    <x v="8"/>
    <x v="0"/>
    <d v="2026-07-31T00:00:00"/>
    <m/>
    <d v="2026-10-16T00:00:00"/>
    <d v="2026-10-30T00:00:00"/>
    <x v="22"/>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7"/>
    <n v="1"/>
    <x v="8"/>
    <s v="NEW"/>
    <s v="2. Product &amp; Process Dev"/>
    <m/>
    <m/>
    <m/>
    <s v="US"/>
    <s v="PR"/>
    <x v="6"/>
    <x v="6"/>
    <m/>
    <m/>
    <x v="30"/>
    <x v="0"/>
    <n v="1500000"/>
    <n v="750000"/>
    <x v="22"/>
    <x v="1"/>
    <m/>
    <m/>
    <s v="TBC"/>
    <s v="TBC"/>
    <x v="9"/>
    <x v="9"/>
    <s v="In Progress"/>
    <m/>
    <m/>
    <s v="In Progress"/>
    <m/>
    <m/>
    <m/>
    <m/>
    <m/>
    <m/>
    <m/>
    <m/>
    <m/>
    <m/>
    <m/>
    <m/>
    <m/>
    <m/>
    <m/>
    <m/>
    <m/>
    <s v="Complete"/>
    <m/>
    <s v="NPI: In progress: Drawing, Veneer/Wood for SW TBC"/>
    <m/>
  </r>
  <r>
    <x v="1"/>
    <x v="0"/>
    <x v="9"/>
    <m/>
    <x v="2"/>
    <s v="L&amp;S"/>
    <s v="HARD ROCK SAN JUAN"/>
    <x v="47"/>
    <n v="0"/>
    <x v="8"/>
    <s v="NEW"/>
    <s v="2. Product &amp; Process Dev"/>
    <m/>
    <m/>
    <m/>
    <s v="US"/>
    <s v="PR"/>
    <x v="6"/>
    <x v="6"/>
    <m/>
    <m/>
    <x v="30"/>
    <x v="0"/>
    <n v="1500000"/>
    <n v="750000"/>
    <x v="16"/>
    <x v="1"/>
    <m/>
    <m/>
    <s v="TBC"/>
    <s v="TBC"/>
    <x v="9"/>
    <x v="9"/>
    <s v="In Progress"/>
    <m/>
    <m/>
    <s v="In Progress"/>
    <m/>
    <m/>
    <m/>
    <m/>
    <m/>
    <m/>
    <m/>
    <m/>
    <m/>
    <m/>
    <m/>
    <m/>
    <m/>
    <m/>
    <m/>
    <m/>
    <m/>
    <s v="Complete"/>
    <m/>
    <s v="NPI: In progress: Drawing, Veneer/Wood for SW TBC"/>
    <m/>
  </r>
  <r>
    <x v="1"/>
    <x v="1"/>
    <x v="3"/>
    <m/>
    <x v="10"/>
    <s v="SPECTRUM"/>
    <s v="OTMB VANITY"/>
    <x v="48"/>
    <n v="1"/>
    <x v="0"/>
    <s v="NEW"/>
    <s v="7. Mass Production"/>
    <d v="2026-03-10T00:00:00"/>
    <d v="2026-03-18T00:00:00"/>
    <m/>
    <s v="US"/>
    <s v="NY"/>
    <x v="1"/>
    <x v="1"/>
    <m/>
    <m/>
    <x v="28"/>
    <x v="9"/>
    <n v="4027.44"/>
    <n v="3273"/>
    <x v="3"/>
    <x v="0"/>
    <s v="-"/>
    <m/>
    <d v="2026-09-11T00:00:00"/>
    <d v="2026-10-02T00:00:00"/>
    <x v="6"/>
    <x v="20"/>
    <s v="Approved"/>
    <m/>
    <m/>
    <s v="Approved"/>
    <m/>
    <m/>
    <s v="N/A"/>
    <m/>
    <m/>
    <s v="Approved"/>
    <m/>
    <m/>
    <s v="Approved"/>
    <m/>
    <m/>
    <s v="N/A"/>
    <m/>
    <m/>
    <s v="N/A"/>
    <m/>
    <m/>
    <s v="Complete"/>
    <m/>
    <s v="READY"/>
    <m/>
  </r>
  <r>
    <x v="1"/>
    <x v="0"/>
    <x v="3"/>
    <m/>
    <x v="10"/>
    <s v="SPECTRUM"/>
    <s v="OTMB VANITY"/>
    <x v="48"/>
    <n v="1"/>
    <x v="1"/>
    <s v="NEW"/>
    <s v="4. Prototype Build"/>
    <m/>
    <s v="-"/>
    <m/>
    <s v="US"/>
    <s v="NY"/>
    <x v="1"/>
    <x v="1"/>
    <m/>
    <m/>
    <x v="28"/>
    <x v="0"/>
    <n v="179782"/>
    <n v="179782"/>
    <x v="4"/>
    <x v="1"/>
    <s v="-"/>
    <m/>
    <d v="2027-04-02T00:00:00"/>
    <d v="2027-04-09T00:00:00"/>
    <x v="23"/>
    <x v="21"/>
    <s v="Not Started "/>
    <m/>
    <m/>
    <s v="Not Started"/>
    <m/>
    <m/>
    <s v="N/A"/>
    <m/>
    <m/>
    <s v="Not Started "/>
    <m/>
    <m/>
    <s v="Not Started "/>
    <m/>
    <m/>
    <s v="Not Started "/>
    <m/>
    <m/>
    <s v="Not Started "/>
    <m/>
    <m/>
    <s v="Active"/>
    <m/>
    <s v="NPI: Not started: Veneer/Wood for SW15"/>
    <m/>
  </r>
  <r>
    <x v="1"/>
    <x v="1"/>
    <x v="1"/>
    <m/>
    <x v="14"/>
    <s v="AYALA"/>
    <s v="KHOBAR HILTON CANOPY HOTEL"/>
    <x v="49"/>
    <n v="1"/>
    <x v="0"/>
    <s v="NEW"/>
    <s v="8. Shipment"/>
    <d v="2026-05-14T00:00:00"/>
    <d v="2026-06-04T00:00:00"/>
    <d v="2026-06-24T00:00:00"/>
    <s v="SA"/>
    <s v="Saudi Arabia"/>
    <x v="1"/>
    <x v="1"/>
    <m/>
    <m/>
    <x v="3"/>
    <x v="10"/>
    <n v="7901.24"/>
    <n v="7901.24"/>
    <x v="3"/>
    <x v="0"/>
    <d v="2026-08-03T00:00:00"/>
    <d v="2026-08-07T00:00:00"/>
    <d v="2026-08-28T00:00:00"/>
    <d v="2026-08-28T00:00:00"/>
    <x v="24"/>
    <x v="11"/>
    <s v="In Progress"/>
    <m/>
    <m/>
    <s v="In Progress"/>
    <m/>
    <m/>
    <s v="Approved"/>
    <m/>
    <d v="2026-06-23T00:00:00"/>
    <s v="Pending Approval"/>
    <m/>
    <m/>
    <s v="N/A"/>
    <m/>
    <m/>
    <s v="N/A"/>
    <m/>
    <m/>
    <s v="COM"/>
    <m/>
    <d v="2026-07-07T00:00:00"/>
    <s v="Complete"/>
    <m/>
    <s v="READY"/>
    <m/>
  </r>
  <r>
    <x v="1"/>
    <x v="1"/>
    <x v="1"/>
    <m/>
    <x v="15"/>
    <s v="BENJAMIN"/>
    <s v="HACIENDA HOTEL LISBON PORTUGAL "/>
    <x v="50"/>
    <n v="1"/>
    <x v="3"/>
    <s v="NEW"/>
    <s v="3. Prototype Readiness (BOM)"/>
    <d v="2026-06-29T00:00:00"/>
    <d v="2026-07-30T00:00:00"/>
    <m/>
    <s v="PT"/>
    <s v="Portugal"/>
    <x v="1"/>
    <x v="1"/>
    <m/>
    <m/>
    <x v="31"/>
    <x v="11"/>
    <n v="32000"/>
    <n v="32000"/>
    <x v="15"/>
    <x v="0"/>
    <m/>
    <m/>
    <d v="2026-11-13T00:00:00"/>
    <d v="2026-12-14T00:00:00"/>
    <x v="25"/>
    <x v="22"/>
    <s v="Pending Approval"/>
    <d v="2026-09-26T00:00:00"/>
    <m/>
    <s v="Pending Approval"/>
    <d v="2026-09-26T00:00:00"/>
    <m/>
    <s v="In Progress"/>
    <d v="2026-09-26T00:00:00"/>
    <m/>
    <s v="In Progress"/>
    <d v="2026-09-26T00:00:00"/>
    <m/>
    <s v="N/A"/>
    <m/>
    <m/>
    <s v="N/A"/>
    <m/>
    <m/>
    <s v="COM Pending"/>
    <m/>
    <m/>
    <s v="Active"/>
    <m/>
    <s v="NPD: In progress: Marble, Metal; Pending approval: Drawing, Veneer/Wood; Fabric is com pending; need approval by 26-Sep-26 for SW51"/>
    <m/>
  </r>
  <r>
    <x v="1"/>
    <x v="0"/>
    <x v="1"/>
    <m/>
    <x v="15"/>
    <s v="BENJAMIN"/>
    <s v="HACIENDA HOTEL LISBON PORTUGAL "/>
    <x v="50"/>
    <n v="1"/>
    <x v="1"/>
    <s v="NEW"/>
    <s v="2. Product &amp; Process Dev"/>
    <m/>
    <m/>
    <m/>
    <s v="PT"/>
    <s v="Portugal"/>
    <x v="7"/>
    <x v="7"/>
    <m/>
    <m/>
    <x v="32"/>
    <x v="12"/>
    <n v="596794"/>
    <n v="596794"/>
    <x v="6"/>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s v="CA"/>
    <s v="CA"/>
    <x v="0"/>
    <x v="0"/>
    <m/>
    <m/>
    <x v="0"/>
    <x v="0"/>
    <n v="71837"/>
    <n v="71837"/>
    <x v="23"/>
    <x v="0"/>
    <m/>
    <m/>
    <d v="2025-01-17T00:00:00"/>
    <d v="2025-01-17T00:00:00"/>
    <x v="26"/>
    <x v="23"/>
    <s v="Approved"/>
    <m/>
    <m/>
    <s v="Approved"/>
    <m/>
    <m/>
    <s v="N/A"/>
    <m/>
    <m/>
    <s v="Approved"/>
    <m/>
    <m/>
    <s v="N/A"/>
    <m/>
    <m/>
    <s v="N/A"/>
    <m/>
    <m/>
    <s v="COM"/>
    <m/>
    <m/>
    <s v="Complete"/>
    <s v="Yes"/>
    <s v="READY"/>
    <m/>
  </r>
  <r>
    <x v="1"/>
    <x v="0"/>
    <x v="5"/>
    <m/>
    <x v="16"/>
    <s v="WOODHAUS"/>
    <s v="KNOX HENDERSON"/>
    <x v="51"/>
    <n v="1"/>
    <x v="0"/>
    <s v="NEW"/>
    <s v="8. Shipment"/>
    <d v="2026-04-16T00:00:00"/>
    <d v="2026-05-16T00:00:00"/>
    <m/>
    <s v="US"/>
    <s v="TX"/>
    <x v="0"/>
    <x v="0"/>
    <m/>
    <m/>
    <x v="5"/>
    <x v="0"/>
    <n v="22198"/>
    <n v="22198"/>
    <x v="3"/>
    <x v="0"/>
    <d v="2026-07-15T00:00:00"/>
    <d v="2026-07-31T00:00:00"/>
    <d v="2026-08-04T00:00:00"/>
    <d v="2026-08-04T00:00:00"/>
    <x v="12"/>
    <x v="14"/>
    <s v="Approved"/>
    <m/>
    <d v="2026-05-14T00:00:00"/>
    <s v="Approved"/>
    <m/>
    <m/>
    <s v="N/A"/>
    <m/>
    <m/>
    <s v="N/A"/>
    <m/>
    <m/>
    <s v="N/A"/>
    <m/>
    <m/>
    <s v="N/A"/>
    <m/>
    <m/>
    <s v="N/A"/>
    <m/>
    <m/>
    <s v="Complete"/>
    <m/>
    <s v="READY"/>
    <m/>
  </r>
  <r>
    <x v="1"/>
    <x v="0"/>
    <x v="9"/>
    <m/>
    <x v="12"/>
    <s v="TRIMA"/>
    <s v="JOIA TIERRA DEL SOL"/>
    <x v="52"/>
    <n v="1"/>
    <x v="5"/>
    <s v="NEW"/>
    <s v="1. Preliminary Design"/>
    <m/>
    <m/>
    <m/>
    <s v="AR"/>
    <s v="Aruba"/>
    <x v="1"/>
    <x v="1"/>
    <m/>
    <m/>
    <x v="33"/>
    <x v="0"/>
    <n v="1131814"/>
    <n v="1131814"/>
    <x v="10"/>
    <x v="1"/>
    <m/>
    <m/>
    <s v="TBC"/>
    <s v="TBC"/>
    <x v="9"/>
    <x v="9"/>
    <s v="Not Started "/>
    <m/>
    <m/>
    <m/>
    <m/>
    <m/>
    <m/>
    <m/>
    <m/>
    <m/>
    <m/>
    <m/>
    <m/>
    <m/>
    <m/>
    <m/>
    <m/>
    <m/>
    <m/>
    <m/>
    <m/>
    <s v="Active"/>
    <m/>
    <s v="NPI: All development items approved/closed for SW TBC"/>
    <m/>
  </r>
  <r>
    <x v="1"/>
    <x v="0"/>
    <x v="9"/>
    <m/>
    <x v="12"/>
    <s v="TRIMA"/>
    <s v="JOIA TIERRA DEL SOL"/>
    <x v="52"/>
    <n v="0"/>
    <x v="5"/>
    <s v="NEW"/>
    <s v="1. Preliminary Design"/>
    <m/>
    <m/>
    <m/>
    <s v="AR"/>
    <s v="Aruba"/>
    <x v="1"/>
    <x v="1"/>
    <m/>
    <m/>
    <x v="33"/>
    <x v="0"/>
    <n v="1131814"/>
    <n v="1131814"/>
    <x v="24"/>
    <x v="1"/>
    <m/>
    <m/>
    <s v="TBC"/>
    <s v="TBC"/>
    <x v="9"/>
    <x v="9"/>
    <s v="Not Started "/>
    <m/>
    <m/>
    <m/>
    <m/>
    <m/>
    <m/>
    <m/>
    <m/>
    <m/>
    <m/>
    <m/>
    <m/>
    <m/>
    <m/>
    <m/>
    <m/>
    <m/>
    <m/>
    <m/>
    <m/>
    <s v="Active"/>
    <m/>
    <s v="NPI: All development items approved/closed for SW TBC"/>
    <m/>
  </r>
  <r>
    <x v="0"/>
    <x v="0"/>
    <x v="8"/>
    <s v="Madison Lay"/>
    <x v="0"/>
    <s v="RH"/>
    <s v="RED SEA"/>
    <x v="53"/>
    <n v="1"/>
    <x v="1"/>
    <s v="NEW"/>
    <s v="1. Preliminary Design"/>
    <m/>
    <m/>
    <m/>
    <s v="SA"/>
    <s v="SA"/>
    <x v="1"/>
    <x v="1"/>
    <m/>
    <m/>
    <x v="33"/>
    <x v="0"/>
    <n v="1000000"/>
    <n v="1000000"/>
    <x v="22"/>
    <x v="1"/>
    <m/>
    <m/>
    <d v="2027-09-11T00:00:00"/>
    <d v="2027-09-25T00:00:00"/>
    <x v="27"/>
    <x v="24"/>
    <s v="Not Started "/>
    <m/>
    <m/>
    <m/>
    <m/>
    <m/>
    <m/>
    <m/>
    <m/>
    <m/>
    <m/>
    <m/>
    <m/>
    <m/>
    <m/>
    <m/>
    <m/>
    <m/>
    <m/>
    <m/>
    <m/>
    <s v="Active"/>
    <s v="Yes"/>
    <s v="NPI: All development items approved/closed for SW39"/>
    <m/>
  </r>
  <r>
    <x v="0"/>
    <x v="0"/>
    <x v="1"/>
    <s v="Madison Lay"/>
    <x v="0"/>
    <s v="RH"/>
    <s v="VICEROY SUGAR BEACH - ASH WOOD VERSION"/>
    <x v="54"/>
    <n v="1"/>
    <x v="0"/>
    <s v="NEW"/>
    <s v="7. Mass Production"/>
    <d v="2026-03-23T00:00:00"/>
    <d v="2026-04-06T00:00:00"/>
    <m/>
    <s v="LC"/>
    <s v="Saint Lucia"/>
    <x v="1"/>
    <x v="1"/>
    <m/>
    <m/>
    <x v="13"/>
    <x v="0"/>
    <n v="149029"/>
    <n v="74514.5"/>
    <x v="8"/>
    <x v="0"/>
    <d v="2026-08-07T00:00:00"/>
    <d v="2026-08-07T00:00:00"/>
    <d v="2026-09-26T00:00:00"/>
    <d v="2026-09-26T00:00:00"/>
    <x v="17"/>
    <x v="25"/>
    <s v="Approved"/>
    <m/>
    <m/>
    <s v="Approved"/>
    <m/>
    <m/>
    <s v="Approved"/>
    <m/>
    <m/>
    <s v="Approved"/>
    <m/>
    <m/>
    <s v="Approved"/>
    <m/>
    <m/>
    <s v="Approved"/>
    <m/>
    <m/>
    <s v="COM Received"/>
    <m/>
    <m/>
    <s v="Complete"/>
    <s v="Yes"/>
    <s v="READY"/>
    <m/>
  </r>
  <r>
    <x v="0"/>
    <x v="0"/>
    <x v="1"/>
    <s v="Madison Lay"/>
    <x v="0"/>
    <s v="RH"/>
    <s v="VICEROY SUGAR BEACH - ASH WOOD VERSION"/>
    <x v="54"/>
    <n v="0"/>
    <x v="0"/>
    <s v="NEW"/>
    <s v="7. Mass Production"/>
    <d v="2026-03-23T00:00:00"/>
    <d v="2026-04-06T00:00:00"/>
    <m/>
    <s v="LC"/>
    <s v="Saint Lucia"/>
    <x v="1"/>
    <x v="1"/>
    <m/>
    <m/>
    <x v="13"/>
    <x v="0"/>
    <n v="149029"/>
    <n v="74514.5"/>
    <x v="8"/>
    <x v="0"/>
    <d v="2026-08-07T00:00:00"/>
    <d v="2026-08-07T00:00:00"/>
    <d v="2026-09-26T00:00:00"/>
    <d v="2026-09-26T00:00:00"/>
    <x v="17"/>
    <x v="25"/>
    <s v="Approved"/>
    <m/>
    <m/>
    <s v="Approved"/>
    <m/>
    <m/>
    <s v="Approved"/>
    <m/>
    <m/>
    <s v="Approved"/>
    <m/>
    <m/>
    <s v="Approved"/>
    <m/>
    <m/>
    <s v="Approved"/>
    <m/>
    <m/>
    <s v="COM Received"/>
    <m/>
    <m/>
    <s v="Complete"/>
    <s v="Yes"/>
    <s v="READY"/>
    <m/>
  </r>
  <r>
    <x v="1"/>
    <x v="0"/>
    <x v="9"/>
    <m/>
    <x v="2"/>
    <s v="L&amp;S"/>
    <s v="SILVERSANDS GRAND ANSE"/>
    <x v="55"/>
    <n v="1"/>
    <x v="9"/>
    <s v="NEW"/>
    <s v="1. Preliminary Design"/>
    <m/>
    <m/>
    <m/>
    <s v="Grenada (Caribbean)"/>
    <s v="St. George's:"/>
    <x v="0"/>
    <x v="0"/>
    <m/>
    <m/>
    <x v="34"/>
    <x v="0"/>
    <n v="371262"/>
    <n v="371262"/>
    <x v="13"/>
    <x v="2"/>
    <m/>
    <m/>
    <m/>
    <m/>
    <x v="19"/>
    <x v="17"/>
    <m/>
    <m/>
    <m/>
    <m/>
    <m/>
    <m/>
    <m/>
    <m/>
    <m/>
    <m/>
    <m/>
    <m/>
    <m/>
    <m/>
    <m/>
    <m/>
    <m/>
    <m/>
    <m/>
    <m/>
    <m/>
    <s v="Complete"/>
    <m/>
    <s v="NPI: All development items approved/closed"/>
    <m/>
  </r>
  <r>
    <x v="1"/>
    <x v="1"/>
    <x v="3"/>
    <m/>
    <x v="10"/>
    <s v="SPECTRUM"/>
    <s v="PROJECT 550"/>
    <x v="56"/>
    <n v="1"/>
    <x v="0"/>
    <s v="NEW"/>
    <s v="7. Mass Production"/>
    <d v="2026-03-26T00:00:00"/>
    <m/>
    <m/>
    <s v="US"/>
    <s v="TBD"/>
    <x v="1"/>
    <x v="1"/>
    <m/>
    <m/>
    <x v="28"/>
    <x v="9"/>
    <n v="6938.58"/>
    <n v="6938.58"/>
    <x v="3"/>
    <x v="0"/>
    <m/>
    <m/>
    <d v="2026-09-11T00:00:00"/>
    <d v="2026-10-02T00:00:00"/>
    <x v="6"/>
    <x v="20"/>
    <s v="Approved"/>
    <m/>
    <m/>
    <s v="Approved"/>
    <m/>
    <m/>
    <s v="In Progress"/>
    <m/>
    <m/>
    <s v="In Progress"/>
    <m/>
    <m/>
    <s v="In Progress"/>
    <m/>
    <m/>
    <s v="In Progress"/>
    <m/>
    <m/>
    <m/>
    <m/>
    <m/>
    <s v="Complete"/>
    <m/>
    <s v="READY"/>
    <m/>
  </r>
  <r>
    <x v="1"/>
    <x v="0"/>
    <x v="3"/>
    <m/>
    <x v="10"/>
    <s v="SPECTRUM"/>
    <s v="PROJECT 550"/>
    <x v="56"/>
    <n v="1"/>
    <x v="1"/>
    <s v="NEW"/>
    <s v="2. Product &amp; Process Dev"/>
    <d v="2026-03-26T00:00:00"/>
    <m/>
    <m/>
    <s v="US"/>
    <s v="TBD"/>
    <x v="1"/>
    <x v="1"/>
    <m/>
    <m/>
    <x v="20"/>
    <x v="0"/>
    <n v="343070"/>
    <n v="343070"/>
    <x v="4"/>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7"/>
    <n v="1"/>
    <x v="7"/>
    <s v="NEW"/>
    <s v="7. Mass Production"/>
    <d v="2026-03-31T00:00:00"/>
    <d v="2026-05-08T00:00:00"/>
    <d v="2026-05-29T00:00:00"/>
    <s v="US"/>
    <s v="TX"/>
    <x v="1"/>
    <x v="1"/>
    <m/>
    <m/>
    <x v="28"/>
    <x v="9"/>
    <n v="12609.46"/>
    <n v="15040.19"/>
    <x v="8"/>
    <x v="0"/>
    <s v="ON HOLD"/>
    <s v="ON HOLD"/>
    <s v="ON HOLD"/>
    <s v="ON HOLD"/>
    <x v="28"/>
    <x v="26"/>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7"/>
    <n v="1"/>
    <x v="7"/>
    <s v="NEW"/>
    <s v="1. Preliminary Design"/>
    <d v="2026-05-16T00:00:00"/>
    <m/>
    <m/>
    <s v="US"/>
    <s v="TX"/>
    <x v="3"/>
    <x v="3"/>
    <m/>
    <m/>
    <x v="35"/>
    <x v="0"/>
    <n v="707023.48"/>
    <n v="707023.48"/>
    <x v="13"/>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8"/>
    <n v="1"/>
    <x v="8"/>
    <s v="NEW"/>
    <s v="2. Product &amp; Process Dev"/>
    <d v="2026-04-08T00:00:00"/>
    <m/>
    <m/>
    <s v="US"/>
    <s v="Vermont"/>
    <x v="1"/>
    <x v="1"/>
    <m/>
    <m/>
    <x v="14"/>
    <x v="13"/>
    <n v="31219.1"/>
    <n v="31219.1"/>
    <x v="15"/>
    <x v="0"/>
    <m/>
    <m/>
    <d v="2026-12-11T00:00:00"/>
    <d v="2026-12-25T00:00:00"/>
    <x v="29"/>
    <x v="16"/>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8"/>
    <n v="1"/>
    <x v="8"/>
    <s v="NEW"/>
    <s v="1. Preliminary Design"/>
    <d v="2026-04-08T00:00:00"/>
    <m/>
    <m/>
    <s v="US"/>
    <s v="Vermont"/>
    <x v="1"/>
    <x v="1"/>
    <m/>
    <m/>
    <x v="14"/>
    <x v="0"/>
    <n v="532175"/>
    <n v="532175"/>
    <x v="5"/>
    <x v="1"/>
    <m/>
    <m/>
    <d v="2026-03-13T00:00:00"/>
    <d v="2026-03-27T00:00:00"/>
    <x v="30"/>
    <x v="27"/>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9"/>
    <n v="1"/>
    <x v="3"/>
    <s v="NEW"/>
    <s v="7. Mass Production"/>
    <d v="2026-04-24T00:00:00"/>
    <d v="2026-04-29T00:00:00"/>
    <d v="2026-05-17T00:00:00"/>
    <s v="US"/>
    <s v="CA"/>
    <x v="8"/>
    <x v="8"/>
    <n v="74"/>
    <m/>
    <x v="35"/>
    <x v="14"/>
    <n v="64112.41"/>
    <n v="64112.41"/>
    <x v="11"/>
    <x v="0"/>
    <d v="2026-11-02T00:00:00"/>
    <d v="2026-11-23T00:00:00"/>
    <d v="2026-11-06T00:00:00"/>
    <d v="2026-11-27T00:00:00"/>
    <x v="11"/>
    <x v="28"/>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5"/>
    <n v="0"/>
    <x v="0"/>
    <s v="NEW"/>
    <s v="8. Shipment"/>
    <m/>
    <m/>
    <m/>
    <s v="US"/>
    <s v="NY"/>
    <x v="0"/>
    <x v="0"/>
    <m/>
    <m/>
    <x v="14"/>
    <x v="0"/>
    <n v="51127"/>
    <n v="51127"/>
    <x v="25"/>
    <x v="0"/>
    <m/>
    <m/>
    <m/>
    <m/>
    <x v="19"/>
    <x v="17"/>
    <s v="Approved"/>
    <m/>
    <m/>
    <s v="Approved"/>
    <m/>
    <m/>
    <s v="Approved"/>
    <m/>
    <m/>
    <s v="Approved"/>
    <m/>
    <m/>
    <s v="Approved"/>
    <m/>
    <m/>
    <s v="Approved"/>
    <m/>
    <m/>
    <s v="COM"/>
    <m/>
    <m/>
    <s v="Complete"/>
    <m/>
    <s v="READY"/>
    <m/>
  </r>
  <r>
    <x v="1"/>
    <x v="0"/>
    <x v="13"/>
    <m/>
    <x v="3"/>
    <s v="FLEETWOOD "/>
    <s v="HWVP PHASE 2"/>
    <x v="60"/>
    <n v="1"/>
    <x v="0"/>
    <s v="NEW"/>
    <s v="8. Shipment"/>
    <m/>
    <m/>
    <m/>
    <s v="US"/>
    <m/>
    <x v="0"/>
    <x v="0"/>
    <m/>
    <m/>
    <x v="19"/>
    <x v="0"/>
    <n v="1601"/>
    <n v="1601"/>
    <x v="23"/>
    <x v="0"/>
    <m/>
    <m/>
    <m/>
    <m/>
    <x v="19"/>
    <x v="17"/>
    <s v="Approved"/>
    <m/>
    <m/>
    <m/>
    <m/>
    <m/>
    <m/>
    <m/>
    <m/>
    <m/>
    <m/>
    <m/>
    <m/>
    <m/>
    <m/>
    <m/>
    <m/>
    <m/>
    <m/>
    <m/>
    <m/>
    <s v="Complete"/>
    <m/>
    <s v="READY"/>
    <m/>
  </r>
  <r>
    <x v="1"/>
    <x v="0"/>
    <x v="13"/>
    <m/>
    <x v="5"/>
    <s v="KD"/>
    <s v="KNOX DALLAS"/>
    <x v="61"/>
    <n v="1"/>
    <x v="0"/>
    <s v="NEW"/>
    <s v="8. Shipment"/>
    <m/>
    <m/>
    <m/>
    <s v="US"/>
    <m/>
    <x v="0"/>
    <x v="0"/>
    <m/>
    <m/>
    <x v="20"/>
    <x v="0"/>
    <n v="362480.94"/>
    <n v="362480.94"/>
    <x v="23"/>
    <x v="0"/>
    <m/>
    <m/>
    <m/>
    <m/>
    <x v="19"/>
    <x v="17"/>
    <s v="Approved"/>
    <m/>
    <m/>
    <s v="Approved"/>
    <m/>
    <m/>
    <s v="Approved"/>
    <m/>
    <m/>
    <s v="Approved"/>
    <m/>
    <m/>
    <s v="Approved"/>
    <m/>
    <m/>
    <s v="Approved"/>
    <m/>
    <m/>
    <s v="COM"/>
    <m/>
    <m/>
    <s v="Complete"/>
    <m/>
    <s v="READY"/>
    <m/>
  </r>
  <r>
    <x v="1"/>
    <x v="0"/>
    <x v="13"/>
    <m/>
    <x v="5"/>
    <s v="KD"/>
    <s v="KNOX DALLAS"/>
    <x v="61"/>
    <n v="0"/>
    <x v="0"/>
    <s v="NEW"/>
    <s v="8. Shipment"/>
    <m/>
    <m/>
    <m/>
    <s v="US"/>
    <m/>
    <x v="0"/>
    <x v="0"/>
    <m/>
    <m/>
    <x v="20"/>
    <x v="0"/>
    <n v="33400"/>
    <n v="33400"/>
    <x v="25"/>
    <x v="0"/>
    <m/>
    <m/>
    <m/>
    <m/>
    <x v="19"/>
    <x v="17"/>
    <s v="Approved"/>
    <m/>
    <m/>
    <s v="Approved"/>
    <m/>
    <m/>
    <s v="Approved"/>
    <m/>
    <m/>
    <s v="Approved"/>
    <m/>
    <m/>
    <s v="Approved"/>
    <m/>
    <m/>
    <s v="Approved"/>
    <m/>
    <m/>
    <s v="COM"/>
    <m/>
    <m/>
    <s v="Complete"/>
    <m/>
    <s v="READY"/>
    <m/>
  </r>
  <r>
    <x v="1"/>
    <x v="0"/>
    <x v="11"/>
    <m/>
    <x v="5"/>
    <s v="KD"/>
    <s v="KNOX DALLAS- 1198-1509"/>
    <x v="62"/>
    <n v="1"/>
    <x v="4"/>
    <s v="NEW"/>
    <s v="2. Product &amp; Process Dev"/>
    <d v="2026-10-23T00:00:00"/>
    <d v="2026-10-23T00:00:00"/>
    <m/>
    <s v="US"/>
    <s v="US"/>
    <x v="0"/>
    <x v="0"/>
    <n v="1"/>
    <m/>
    <x v="6"/>
    <x v="15"/>
    <n v="7894"/>
    <n v="7894"/>
    <x v="4"/>
    <x v="1"/>
    <d v="2027-01-25T00:00:00"/>
    <d v="2027-01-25T00:00:00"/>
    <d v="2027-04-02T00:00:00"/>
    <d v="2027-04-02T00:00:00"/>
    <x v="23"/>
    <x v="29"/>
    <s v="In Progress"/>
    <m/>
    <m/>
    <s v="In Progress"/>
    <m/>
    <m/>
    <m/>
    <m/>
    <m/>
    <m/>
    <m/>
    <m/>
    <s v="In Progress"/>
    <m/>
    <m/>
    <m/>
    <m/>
    <m/>
    <m/>
    <m/>
    <m/>
    <s v="Active"/>
    <m/>
    <s v="NPI: In progress: Drawing, Veneer/Wood, Mirror for SW14"/>
    <m/>
  </r>
  <r>
    <x v="1"/>
    <x v="0"/>
    <x v="13"/>
    <m/>
    <x v="9"/>
    <s v="PLUS CORPORATION"/>
    <s v="SOHO HOUSE TOKYO"/>
    <x v="63"/>
    <n v="1"/>
    <x v="0"/>
    <s v="NEW"/>
    <s v="8. Shipment"/>
    <m/>
    <m/>
    <m/>
    <s v="Japan"/>
    <s v="Japan"/>
    <x v="0"/>
    <x v="0"/>
    <m/>
    <m/>
    <x v="26"/>
    <x v="0"/>
    <n v="24407"/>
    <n v="24407"/>
    <x v="23"/>
    <x v="0"/>
    <m/>
    <m/>
    <m/>
    <m/>
    <x v="19"/>
    <x v="17"/>
    <s v="Approved"/>
    <m/>
    <m/>
    <m/>
    <m/>
    <m/>
    <m/>
    <m/>
    <m/>
    <m/>
    <m/>
    <m/>
    <m/>
    <m/>
    <m/>
    <m/>
    <m/>
    <m/>
    <m/>
    <m/>
    <m/>
    <s v="Complete"/>
    <m/>
    <s v="READY"/>
    <m/>
  </r>
  <r>
    <x v="1"/>
    <x v="0"/>
    <x v="13"/>
    <m/>
    <x v="9"/>
    <s v="PLUS CORPORATION"/>
    <s v="SOHO HOUSE TOKYO"/>
    <x v="63"/>
    <n v="0"/>
    <x v="0"/>
    <s v="NEW"/>
    <s v="8. Shipment"/>
    <m/>
    <m/>
    <m/>
    <s v="Japan"/>
    <s v="Japan"/>
    <x v="0"/>
    <x v="0"/>
    <m/>
    <m/>
    <x v="26"/>
    <x v="0"/>
    <n v="80520"/>
    <n v="80520"/>
    <x v="25"/>
    <x v="0"/>
    <m/>
    <m/>
    <m/>
    <m/>
    <x v="19"/>
    <x v="17"/>
    <s v="Approved"/>
    <m/>
    <m/>
    <m/>
    <m/>
    <m/>
    <m/>
    <m/>
    <m/>
    <m/>
    <m/>
    <m/>
    <m/>
    <m/>
    <m/>
    <m/>
    <m/>
    <m/>
    <m/>
    <m/>
    <m/>
    <s v="Complete"/>
    <m/>
    <s v="READY"/>
    <m/>
  </r>
  <r>
    <x v="0"/>
    <x v="0"/>
    <x v="13"/>
    <s v="Sue Bilstad"/>
    <x v="0"/>
    <s v="RH"/>
    <s v="RH BRANDYWINE"/>
    <x v="64"/>
    <n v="1"/>
    <x v="0"/>
    <s v="NEW"/>
    <s v="8. Shipment"/>
    <m/>
    <m/>
    <m/>
    <s v="US"/>
    <m/>
    <x v="0"/>
    <x v="0"/>
    <m/>
    <m/>
    <x v="4"/>
    <x v="0"/>
    <n v="5432.2"/>
    <n v="5432.2"/>
    <x v="23"/>
    <x v="0"/>
    <m/>
    <m/>
    <m/>
    <m/>
    <x v="19"/>
    <x v="17"/>
    <s v="Approved"/>
    <m/>
    <m/>
    <s v="Approved"/>
    <m/>
    <m/>
    <s v="N/A"/>
    <m/>
    <m/>
    <s v="N/A"/>
    <m/>
    <m/>
    <s v="N/A"/>
    <m/>
    <m/>
    <s v="N/A"/>
    <m/>
    <m/>
    <s v="N/A"/>
    <m/>
    <m/>
    <s v="Complete"/>
    <s v="Yes"/>
    <s v="READY"/>
    <m/>
  </r>
  <r>
    <x v="1"/>
    <x v="1"/>
    <x v="3"/>
    <m/>
    <x v="13"/>
    <s v="BROOKFIELD"/>
    <s v="RITZ CARLTON PHILADELPHIA"/>
    <x v="65"/>
    <n v="1"/>
    <x v="0"/>
    <s v="NEW"/>
    <s v="8. Shipment"/>
    <d v="2026-05-02T00:00:00"/>
    <d v="2026-05-07T00:00:00"/>
    <m/>
    <s v="US"/>
    <s v="PA"/>
    <x v="0"/>
    <x v="0"/>
    <m/>
    <m/>
    <x v="9"/>
    <x v="0"/>
    <n v="11414.99"/>
    <n v="13583.73"/>
    <x v="2"/>
    <x v="0"/>
    <d v="2026-07-17T00:00:00"/>
    <m/>
    <d v="2026-07-17T00:00:00"/>
    <d v="2026-07-17T00:00:00"/>
    <x v="21"/>
    <x v="30"/>
    <s v="Approved"/>
    <m/>
    <m/>
    <s v="Approved"/>
    <m/>
    <m/>
    <s v="Approved"/>
    <m/>
    <m/>
    <s v="Approved"/>
    <m/>
    <m/>
    <s v="N/A"/>
    <m/>
    <m/>
    <s v="Approved"/>
    <m/>
    <m/>
    <s v="COM Received"/>
    <m/>
    <m/>
    <s v="Complete"/>
    <m/>
    <s v="READY"/>
    <m/>
  </r>
  <r>
    <x v="0"/>
    <x v="1"/>
    <x v="1"/>
    <s v="Caroline Dillard"/>
    <x v="0"/>
    <s v="RH"/>
    <s v="CUSTOM MIYU TABLES"/>
    <x v="66"/>
    <n v="1"/>
    <x v="0"/>
    <s v="NEW"/>
    <s v="8. Shipment"/>
    <d v="2026-04-16T00:00:00"/>
    <d v="2026-05-26T00:00:00"/>
    <m/>
    <s v="US"/>
    <s v="US"/>
    <x v="0"/>
    <x v="0"/>
    <m/>
    <m/>
    <x v="30"/>
    <x v="0"/>
    <n v="5617.6"/>
    <n v="5617.6"/>
    <x v="2"/>
    <x v="0"/>
    <d v="2026-09-12T00:00:00"/>
    <d v="2026-09-19T00:00:00"/>
    <d v="2026-07-15T00:00:00"/>
    <d v="2026-07-15T00:00:00"/>
    <x v="21"/>
    <x v="30"/>
    <s v="Approved"/>
    <m/>
    <d v="2026-05-25T00:00:00"/>
    <s v="Approved"/>
    <m/>
    <d v="2026-06-04T00:00:00"/>
    <s v="N/A"/>
    <m/>
    <m/>
    <s v="N/A"/>
    <m/>
    <m/>
    <s v="Approved"/>
    <m/>
    <m/>
    <s v="N/A"/>
    <m/>
    <m/>
    <s v="N/A"/>
    <m/>
    <m/>
    <s v="Complete"/>
    <s v="Yes"/>
    <s v="READY"/>
    <m/>
  </r>
  <r>
    <x v="0"/>
    <x v="1"/>
    <x v="5"/>
    <s v="Sue Bilstad"/>
    <x v="0"/>
    <s v="RH"/>
    <s v="GRAND HYATT DENVER"/>
    <x v="67"/>
    <n v="1"/>
    <x v="3"/>
    <s v="NEW"/>
    <s v="4. Prototype Build"/>
    <d v="2026-04-24T00:00:00"/>
    <d v="2026-07-03T00:00:00"/>
    <m/>
    <s v="US"/>
    <s v="CO"/>
    <x v="1"/>
    <x v="1"/>
    <m/>
    <m/>
    <x v="4"/>
    <x v="16"/>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s v="Combine with RH core container to DC97"/>
  </r>
  <r>
    <x v="0"/>
    <x v="0"/>
    <x v="8"/>
    <s v="Caroline Dillard"/>
    <x v="0"/>
    <s v="RH"/>
    <s v="COMPETITIVE EDGE "/>
    <x v="68"/>
    <n v="1"/>
    <x v="5"/>
    <s v="NEW"/>
    <s v="2. Product &amp; Process Dev"/>
    <d v="2026-04-29T00:00:00"/>
    <m/>
    <m/>
    <s v="US"/>
    <m/>
    <x v="1"/>
    <x v="1"/>
    <m/>
    <m/>
    <x v="21"/>
    <x v="0"/>
    <n v="847691"/>
    <n v="847691"/>
    <x v="13"/>
    <x v="2"/>
    <m/>
    <m/>
    <s v="TBC"/>
    <s v="TBC"/>
    <x v="9"/>
    <x v="9"/>
    <s v="Not Started"/>
    <m/>
    <m/>
    <s v="Not Started"/>
    <m/>
    <m/>
    <m/>
    <m/>
    <m/>
    <m/>
    <m/>
    <m/>
    <m/>
    <m/>
    <m/>
    <m/>
    <m/>
    <m/>
    <m/>
    <m/>
    <m/>
    <s v="Active"/>
    <s v="Yes"/>
    <s v="NPI: Not started: Drawing, Veneer/Wood for SW TBC"/>
    <m/>
  </r>
  <r>
    <x v="1"/>
    <x v="0"/>
    <x v="9"/>
    <m/>
    <x v="3"/>
    <s v="FLEETWOOD "/>
    <s v="WALDORF ASTORIA DEER VALLEY"/>
    <x v="69"/>
    <n v="1"/>
    <x v="5"/>
    <s v="NEW"/>
    <s v="1. Preliminary Design"/>
    <d v="2026-05-02T00:00:00"/>
    <m/>
    <m/>
    <s v="US"/>
    <m/>
    <x v="1"/>
    <x v="1"/>
    <m/>
    <m/>
    <x v="24"/>
    <x v="0"/>
    <n v="5665882.9800000004"/>
    <n v="1133176.5960000001"/>
    <x v="6"/>
    <x v="1"/>
    <m/>
    <m/>
    <m/>
    <m/>
    <x v="19"/>
    <x v="17"/>
    <m/>
    <m/>
    <m/>
    <m/>
    <m/>
    <m/>
    <m/>
    <m/>
    <m/>
    <m/>
    <m/>
    <m/>
    <m/>
    <m/>
    <m/>
    <m/>
    <m/>
    <m/>
    <m/>
    <m/>
    <m/>
    <s v="Active"/>
    <m/>
    <s v="NPI: All development items approved/closed"/>
    <m/>
  </r>
  <r>
    <x v="1"/>
    <x v="0"/>
    <x v="9"/>
    <m/>
    <x v="3"/>
    <s v="FLEETWOOD "/>
    <s v="WALDORF ASTORIA DEER VALLEY"/>
    <x v="69"/>
    <n v="0"/>
    <x v="5"/>
    <s v="NEW"/>
    <s v="1. Preliminary Design"/>
    <d v="2026-05-02T00:00:00"/>
    <m/>
    <m/>
    <s v="US"/>
    <m/>
    <x v="1"/>
    <x v="1"/>
    <m/>
    <m/>
    <x v="24"/>
    <x v="0"/>
    <n v="5665882.9800000004"/>
    <n v="1133176.5960000001"/>
    <x v="10"/>
    <x v="1"/>
    <m/>
    <m/>
    <m/>
    <m/>
    <x v="19"/>
    <x v="17"/>
    <m/>
    <m/>
    <m/>
    <m/>
    <m/>
    <m/>
    <m/>
    <m/>
    <m/>
    <m/>
    <m/>
    <m/>
    <m/>
    <m/>
    <m/>
    <m/>
    <m/>
    <m/>
    <m/>
    <m/>
    <m/>
    <s v="Active"/>
    <m/>
    <s v="NPI: All development items approved/closed"/>
    <m/>
  </r>
  <r>
    <x v="1"/>
    <x v="0"/>
    <x v="9"/>
    <m/>
    <x v="3"/>
    <s v="FLEETWOOD "/>
    <s v="WALDORF ASTORIA DEER VALLEY"/>
    <x v="69"/>
    <n v="0"/>
    <x v="5"/>
    <s v="NEW"/>
    <s v="1. Preliminary Design"/>
    <d v="2026-05-02T00:00:00"/>
    <m/>
    <m/>
    <s v="US"/>
    <m/>
    <x v="1"/>
    <x v="1"/>
    <m/>
    <m/>
    <x v="24"/>
    <x v="0"/>
    <n v="5665882.9800000004"/>
    <n v="1133176.5960000001"/>
    <x v="24"/>
    <x v="1"/>
    <m/>
    <m/>
    <m/>
    <m/>
    <x v="19"/>
    <x v="17"/>
    <m/>
    <m/>
    <m/>
    <m/>
    <m/>
    <m/>
    <m/>
    <m/>
    <m/>
    <m/>
    <m/>
    <m/>
    <m/>
    <m/>
    <m/>
    <m/>
    <m/>
    <m/>
    <m/>
    <m/>
    <m/>
    <s v="Active"/>
    <m/>
    <s v="NPI: All development items approved/closed"/>
    <m/>
  </r>
  <r>
    <x v="1"/>
    <x v="0"/>
    <x v="9"/>
    <m/>
    <x v="3"/>
    <s v="FLEETWOOD "/>
    <s v="WALDORF ASTORIA DEER VALLEY"/>
    <x v="69"/>
    <n v="0"/>
    <x v="5"/>
    <s v="NEW"/>
    <s v="1. Preliminary Design"/>
    <d v="2026-05-02T00:00:00"/>
    <m/>
    <m/>
    <s v="US"/>
    <m/>
    <x v="1"/>
    <x v="1"/>
    <m/>
    <m/>
    <x v="24"/>
    <x v="0"/>
    <n v="5665882.9800000004"/>
    <n v="1133176.5960000001"/>
    <x v="22"/>
    <x v="1"/>
    <m/>
    <m/>
    <m/>
    <m/>
    <x v="19"/>
    <x v="17"/>
    <m/>
    <m/>
    <m/>
    <m/>
    <m/>
    <m/>
    <m/>
    <m/>
    <m/>
    <m/>
    <m/>
    <m/>
    <m/>
    <m/>
    <m/>
    <m/>
    <m/>
    <m/>
    <m/>
    <m/>
    <m/>
    <s v="Active"/>
    <m/>
    <s v="NPI: All development items approved/closed"/>
    <m/>
  </r>
  <r>
    <x v="1"/>
    <x v="0"/>
    <x v="9"/>
    <m/>
    <x v="3"/>
    <s v="FLEETWOOD "/>
    <s v="WALDORF ASTORIA DEER VALLEY"/>
    <x v="69"/>
    <n v="0"/>
    <x v="5"/>
    <s v="NEW"/>
    <s v="1. Preliminary Design"/>
    <d v="2026-05-02T00:00:00"/>
    <m/>
    <m/>
    <s v="US"/>
    <m/>
    <x v="1"/>
    <x v="1"/>
    <m/>
    <m/>
    <x v="24"/>
    <x v="0"/>
    <n v="5665882.9800000004"/>
    <n v="1133176.5960000001"/>
    <x v="16"/>
    <x v="1"/>
    <m/>
    <m/>
    <m/>
    <m/>
    <x v="19"/>
    <x v="17"/>
    <m/>
    <m/>
    <m/>
    <m/>
    <m/>
    <m/>
    <m/>
    <m/>
    <m/>
    <m/>
    <m/>
    <m/>
    <m/>
    <m/>
    <m/>
    <m/>
    <m/>
    <m/>
    <m/>
    <m/>
    <m/>
    <s v="Active"/>
    <m/>
    <s v="NPI: All development items approved/closed"/>
    <m/>
  </r>
  <r>
    <x v="1"/>
    <x v="0"/>
    <x v="9"/>
    <s v="Erika"/>
    <x v="3"/>
    <s v="FLEETWOOD "/>
    <s v="PEBBLE BEACH CASA PALMERO"/>
    <x v="70"/>
    <n v="1"/>
    <x v="0"/>
    <s v="NEW"/>
    <s v="7. Mass Production"/>
    <d v="2026-05-02T00:00:00"/>
    <d v="2026-05-13T00:00:00"/>
    <d v="2026-06-05T00:00:00"/>
    <s v="US"/>
    <s v="CA"/>
    <x v="1"/>
    <x v="1"/>
    <n v="25"/>
    <m/>
    <x v="4"/>
    <x v="17"/>
    <n v="13541.25"/>
    <n v="13541.25"/>
    <x v="9"/>
    <x v="0"/>
    <d v="2026-09-05T00:00:00"/>
    <d v="2026-09-05T00:00:00"/>
    <d v="2026-10-09T00:00:00"/>
    <d v="2026-10-09T00:00:00"/>
    <x v="31"/>
    <x v="18"/>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71"/>
    <n v="1"/>
    <x v="0"/>
    <s v="NEW"/>
    <s v="8. Shipment"/>
    <d v="2026-05-02T00:00:00"/>
    <d v="2026-05-12T00:00:00"/>
    <m/>
    <s v="US"/>
    <s v="US"/>
    <x v="0"/>
    <x v="0"/>
    <m/>
    <m/>
    <x v="6"/>
    <x v="0"/>
    <n v="1017.32"/>
    <n v="1017.32"/>
    <x v="1"/>
    <x v="0"/>
    <d v="2026-06-22T00:00:00"/>
    <d v="2026-06-26T00:00:00"/>
    <d v="2026-06-29T00:00:00"/>
    <d v="2026-06-29T00:00:00"/>
    <x v="32"/>
    <x v="31"/>
    <s v="Approved"/>
    <m/>
    <d v="2026-05-16T00:00:00"/>
    <s v="Approved"/>
    <m/>
    <d v="2026-05-16T00:00:00"/>
    <s v="N/A"/>
    <m/>
    <m/>
    <s v="Approved"/>
    <m/>
    <d v="2026-05-16T00:00:00"/>
    <s v="N/A"/>
    <m/>
    <m/>
    <s v="N/A"/>
    <m/>
    <m/>
    <s v="N/A"/>
    <m/>
    <m/>
    <s v="Complete"/>
    <s v="Yes"/>
    <s v="READY"/>
    <m/>
  </r>
  <r>
    <x v="0"/>
    <x v="0"/>
    <x v="11"/>
    <s v="Monica Cuevas"/>
    <x v="0"/>
    <s v="RH"/>
    <s v="SUNRIVER RESORT "/>
    <x v="71"/>
    <n v="1"/>
    <x v="3"/>
    <s v="NEW"/>
    <s v="3. Prototype Readiness (BOM)"/>
    <d v="2026-09-18T00:00:00"/>
    <d v="2026-10-02T00:00:00"/>
    <m/>
    <s v="US"/>
    <s v="OR"/>
    <x v="8"/>
    <x v="9"/>
    <n v="8"/>
    <m/>
    <x v="29"/>
    <x v="18"/>
    <n v="37552"/>
    <n v="37552"/>
    <x v="4"/>
    <x v="1"/>
    <d v="2026-03-06T00:00:00"/>
    <d v="2026-03-06T00:00:00"/>
    <d v="2027-03-26T00:00:00"/>
    <d v="2027-04-02T00:00:00"/>
    <x v="33"/>
    <x v="29"/>
    <s v="Pending Approval"/>
    <d v="2026-10-30T00:00:00"/>
    <s v="6/8: Approved as Note, 2/8: RSC revision"/>
    <s v="Pending Approval"/>
    <d v="2026-10-30T00:00:00"/>
    <s v="Shpped Gael panel on 19-oct"/>
    <s v="Approved"/>
    <d v="2026-10-30T00:00:00"/>
    <d v="2026-09-23T00:00:00"/>
    <s v="Approved"/>
    <d v="2026-10-30T00:00:00"/>
    <d v="2026-09-23T00:00:00"/>
    <s v="N/A"/>
    <m/>
    <m/>
    <s v="N/A"/>
    <m/>
    <m/>
    <s v="N/A"/>
    <m/>
    <m/>
    <s v="Active"/>
    <s v="Yes"/>
    <s v="NPI: Pending approval: Drawing, Veneer/Wood; need approval by 30-Oct-26 for SW14"/>
    <m/>
  </r>
  <r>
    <x v="1"/>
    <x v="0"/>
    <x v="3"/>
    <m/>
    <x v="13"/>
    <s v="BROOKFIELD"/>
    <s v="RITZ CARLTON PHILADELPHIA"/>
    <x v="65"/>
    <n v="1"/>
    <x v="6"/>
    <s v="NEW"/>
    <s v="1. Preliminary Design"/>
    <m/>
    <m/>
    <m/>
    <s v="US"/>
    <s v="PA"/>
    <x v="1"/>
    <x v="1"/>
    <m/>
    <m/>
    <x v="7"/>
    <x v="0"/>
    <n v="1985002.77"/>
    <n v="400000"/>
    <x v="12"/>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5"/>
    <n v="0"/>
    <x v="6"/>
    <s v="NEW"/>
    <s v="1. Preliminary Design"/>
    <m/>
    <m/>
    <m/>
    <s v="US"/>
    <s v="PA"/>
    <x v="1"/>
    <x v="1"/>
    <m/>
    <m/>
    <x v="7"/>
    <x v="0"/>
    <n v="1985002.77"/>
    <n v="792500"/>
    <x v="18"/>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5"/>
    <n v="0"/>
    <x v="6"/>
    <s v="NEW"/>
    <s v="1. Preliminary Design"/>
    <m/>
    <m/>
    <m/>
    <s v="US"/>
    <s v="PA"/>
    <x v="1"/>
    <x v="1"/>
    <m/>
    <m/>
    <x v="7"/>
    <x v="0"/>
    <n v="1985002.77"/>
    <n v="792500"/>
    <x v="4"/>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9"/>
    <n v="1"/>
    <x v="1"/>
    <s v="NEW"/>
    <s v="1. Preliminary Design"/>
    <m/>
    <m/>
    <m/>
    <s v="SA"/>
    <s v="Saudi Arabia"/>
    <x v="1"/>
    <x v="1"/>
    <m/>
    <m/>
    <x v="3"/>
    <x v="0"/>
    <n v="897832"/>
    <n v="897832"/>
    <x v="4"/>
    <x v="1"/>
    <m/>
    <m/>
    <d v="2027-03-01T00:00:00"/>
    <d v="2027-03-22T00:00:00"/>
    <x v="34"/>
    <x v="32"/>
    <s v="Not Started "/>
    <m/>
    <m/>
    <s v="Not Started "/>
    <m/>
    <m/>
    <s v="Not Started "/>
    <m/>
    <m/>
    <s v="Not Started "/>
    <m/>
    <m/>
    <s v="Not Started "/>
    <m/>
    <m/>
    <s v="Not Started "/>
    <m/>
    <m/>
    <s v="Not Started "/>
    <m/>
    <m/>
    <s v="Active"/>
    <m/>
    <s v="NPI: All development items approved/closed for SW13"/>
    <m/>
  </r>
  <r>
    <x v="1"/>
    <x v="0"/>
    <x v="0"/>
    <m/>
    <x v="12"/>
    <s v="TRIMA"/>
    <s v="ASIATICO RESTAURANT "/>
    <x v="72"/>
    <n v="1"/>
    <x v="0"/>
    <s v="NEW"/>
    <s v="8. Shipment"/>
    <d v="2026-05-10T00:00:00"/>
    <m/>
    <m/>
    <s v="JM"/>
    <s v="Jamaica"/>
    <x v="9"/>
    <x v="10"/>
    <m/>
    <m/>
    <x v="36"/>
    <x v="0"/>
    <n v="169383.67"/>
    <n v="46234.26"/>
    <x v="3"/>
    <x v="0"/>
    <m/>
    <m/>
    <d v="2026-08-26T00:00:00"/>
    <d v="2026-10-02T00:00:00"/>
    <x v="24"/>
    <x v="20"/>
    <s v="Approved"/>
    <m/>
    <m/>
    <s v="Approved"/>
    <m/>
    <m/>
    <s v="Approved"/>
    <m/>
    <m/>
    <s v="Approved"/>
    <m/>
    <m/>
    <s v="Approved"/>
    <m/>
    <m/>
    <s v="Approved"/>
    <m/>
    <m/>
    <s v="COM Received"/>
    <m/>
    <m/>
    <s v="Complete"/>
    <m/>
    <s v="READY"/>
    <m/>
  </r>
  <r>
    <x v="1"/>
    <x v="0"/>
    <x v="0"/>
    <m/>
    <x v="12"/>
    <s v="TRIMA"/>
    <s v="ASIATICO RESTAURANT "/>
    <x v="72"/>
    <n v="0"/>
    <x v="0"/>
    <s v="NEW"/>
    <s v="7. Mass Production"/>
    <d v="2026-05-10T00:00:00"/>
    <m/>
    <m/>
    <s v="JM"/>
    <s v="Jamaica"/>
    <x v="9"/>
    <x v="10"/>
    <m/>
    <m/>
    <x v="36"/>
    <x v="0"/>
    <n v="169383.67"/>
    <n v="122196"/>
    <x v="8"/>
    <x v="0"/>
    <m/>
    <m/>
    <d v="2026-08-26T00:00:00"/>
    <d v="2026-10-02T00:00:00"/>
    <x v="24"/>
    <x v="20"/>
    <s v="Approved"/>
    <m/>
    <m/>
    <s v="Approved"/>
    <m/>
    <m/>
    <s v="Approved"/>
    <m/>
    <m/>
    <s v="Approved"/>
    <m/>
    <m/>
    <s v="Approved"/>
    <m/>
    <m/>
    <s v="Approved"/>
    <m/>
    <m/>
    <s v="COM Received"/>
    <m/>
    <m/>
    <s v="Complete"/>
    <m/>
    <s v="READY"/>
    <m/>
  </r>
  <r>
    <x v="0"/>
    <x v="1"/>
    <x v="1"/>
    <m/>
    <x v="0"/>
    <s v="RH"/>
    <s v="MONTAUK YACHT CLUB"/>
    <x v="73"/>
    <n v="1"/>
    <x v="7"/>
    <s v="NEW"/>
    <s v="1. Preliminary Design"/>
    <d v="2026-05-21T00:00:00"/>
    <m/>
    <m/>
    <s v="US"/>
    <s v="NY"/>
    <x v="0"/>
    <x v="0"/>
    <m/>
    <m/>
    <x v="30"/>
    <x v="0"/>
    <n v="12433.68"/>
    <n v="12433.68"/>
    <x v="3"/>
    <x v="0"/>
    <d v="2026-08-14T00:00:00"/>
    <d v="2026-08-14T00:00:00"/>
    <d v="2026-08-14T00:00:00"/>
    <d v="2026-08-14T00:00:00"/>
    <x v="35"/>
    <x v="33"/>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3"/>
    <n v="1"/>
    <x v="7"/>
    <s v="NEW"/>
    <s v="1. Preliminary Design"/>
    <d v="2026-05-21T00:00:00"/>
    <m/>
    <m/>
    <s v="US"/>
    <s v="NY"/>
    <x v="0"/>
    <x v="0"/>
    <m/>
    <m/>
    <x v="30"/>
    <x v="0"/>
    <n v="1100000"/>
    <n v="1100000"/>
    <x v="6"/>
    <x v="1"/>
    <m/>
    <m/>
    <m/>
    <m/>
    <x v="19"/>
    <x v="17"/>
    <s v="Not Started"/>
    <m/>
    <m/>
    <s v="Not Started"/>
    <m/>
    <m/>
    <s v="Not Started"/>
    <m/>
    <m/>
    <s v="Not Started"/>
    <m/>
    <m/>
    <s v="N/A"/>
    <m/>
    <m/>
    <s v="Not Started"/>
    <m/>
    <m/>
    <s v="Not Started"/>
    <m/>
    <m/>
    <s v="Complete"/>
    <s v="Yes"/>
    <s v="NPI: Not started: Drawing, Veneer/Wood, Marble, Metal, Electrical, Fabric"/>
    <m/>
  </r>
  <r>
    <x v="1"/>
    <x v="0"/>
    <x v="3"/>
    <m/>
    <x v="17"/>
    <s v="HBA"/>
    <s v="HILTON PASADENA"/>
    <x v="74"/>
    <n v="1"/>
    <x v="3"/>
    <s v="NEW"/>
    <s v="5. Production Readiness"/>
    <d v="2026-05-19T00:00:00"/>
    <m/>
    <m/>
    <s v="US"/>
    <s v="CA"/>
    <x v="1"/>
    <x v="1"/>
    <m/>
    <m/>
    <x v="30"/>
    <x v="0"/>
    <n v="22890.480000000003"/>
    <n v="22890.480000000003"/>
    <x v="11"/>
    <x v="0"/>
    <d v="2026-08-01T00:00:00"/>
    <d v="2026-08-01T00:00:00"/>
    <d v="2026-11-06T00:00:00"/>
    <d v="2026-11-06T00:00:00"/>
    <x v="11"/>
    <x v="34"/>
    <s v="Approved"/>
    <m/>
    <m/>
    <s v="Approved"/>
    <m/>
    <m/>
    <s v="Approved"/>
    <m/>
    <m/>
    <s v="Approved"/>
    <m/>
    <m/>
    <s v="N/A"/>
    <m/>
    <m/>
    <s v="N/A"/>
    <m/>
    <m/>
    <s v="In Progress"/>
    <m/>
    <m/>
    <s v="Active"/>
    <m/>
    <s v="NPI: In progress: Fabric for SW45"/>
    <m/>
  </r>
  <r>
    <x v="1"/>
    <x v="0"/>
    <x v="9"/>
    <m/>
    <x v="3"/>
    <s v="FLEETWOOD "/>
    <s v="FAIRMONT HOTEL WINNIPEG"/>
    <x v="75"/>
    <n v="1"/>
    <x v="2"/>
    <s v="NEW"/>
    <s v="1. Preliminary Design"/>
    <d v="2026-06-05T00:00:00"/>
    <m/>
    <m/>
    <s v="CA"/>
    <m/>
    <x v="3"/>
    <x v="3"/>
    <m/>
    <m/>
    <x v="36"/>
    <x v="0"/>
    <n v="79655.520000000033"/>
    <n v="79655.520000000033"/>
    <x v="13"/>
    <x v="2"/>
    <m/>
    <m/>
    <s v="TBC"/>
    <s v="TBC"/>
    <x v="9"/>
    <x v="9"/>
    <m/>
    <m/>
    <m/>
    <m/>
    <m/>
    <m/>
    <m/>
    <m/>
    <m/>
    <m/>
    <m/>
    <m/>
    <m/>
    <m/>
    <m/>
    <m/>
    <m/>
    <m/>
    <m/>
    <m/>
    <m/>
    <s v="Complete"/>
    <m/>
    <s v="NPI: All development items approved/closed for SW TBC"/>
    <m/>
  </r>
  <r>
    <x v="1"/>
    <x v="0"/>
    <x v="3"/>
    <m/>
    <x v="2"/>
    <s v="L&amp;S"/>
    <s v="THE STANDARD MIAMI HOTEL"/>
    <x v="76"/>
    <n v="1"/>
    <x v="3"/>
    <s v="NEW"/>
    <s v="7. Mass Production"/>
    <d v="2026-06-05T00:00:00"/>
    <d v="2026-06-16T00:00:00"/>
    <m/>
    <s v="US"/>
    <s v="Miami"/>
    <x v="8"/>
    <x v="11"/>
    <m/>
    <m/>
    <x v="8"/>
    <x v="0"/>
    <n v="48791.869999999995"/>
    <n v="48791.869999999995"/>
    <x v="11"/>
    <x v="0"/>
    <d v="2026-10-16T00:00:00"/>
    <d v="2026-10-16T00:00:00"/>
    <d v="2026-11-13T00:00:00"/>
    <d v="2026-12-04T00:00:00"/>
    <x v="25"/>
    <x v="35"/>
    <s v="Approved"/>
    <m/>
    <m/>
    <s v="Approved"/>
    <m/>
    <m/>
    <s v="Approved"/>
    <m/>
    <m/>
    <s v="Approved"/>
    <m/>
    <m/>
    <s v="Approved"/>
    <m/>
    <m/>
    <s v="N/A"/>
    <m/>
    <m/>
    <s v="COM Pending"/>
    <m/>
    <m/>
    <s v="Active"/>
    <m/>
    <s v="NPI: Fabric is com pending for SW49"/>
    <m/>
  </r>
  <r>
    <x v="0"/>
    <x v="0"/>
    <x v="5"/>
    <s v="Monica Cuevas"/>
    <x v="0"/>
    <s v="RH"/>
    <s v="KINDERED KEYSTONE RESORT"/>
    <x v="77"/>
    <n v="1"/>
    <x v="0"/>
    <s v="REO"/>
    <s v="8. Shipment"/>
    <d v="2026-06-03T00:00:00"/>
    <d v="2026-06-03T00:00:00"/>
    <m/>
    <s v="US"/>
    <m/>
    <x v="1"/>
    <x v="1"/>
    <m/>
    <m/>
    <x v="6"/>
    <x v="5"/>
    <n v="1142.75"/>
    <n v="1142.75"/>
    <x v="3"/>
    <x v="0"/>
    <d v="2026-09-04T00:00:00"/>
    <d v="2026-09-04T00:00:00"/>
    <d v="2026-09-04T00:00:00"/>
    <d v="2026-09-04T00:00:00"/>
    <x v="36"/>
    <x v="3"/>
    <s v="Approved"/>
    <m/>
    <d v="2026-06-03T00:00:00"/>
    <s v="Approved"/>
    <m/>
    <d v="2026-06-03T00:00:00"/>
    <s v="N/A"/>
    <m/>
    <m/>
    <s v="N/A"/>
    <m/>
    <m/>
    <s v="N/A"/>
    <m/>
    <m/>
    <s v="N/A"/>
    <m/>
    <m/>
    <s v="COM Received"/>
    <m/>
    <d v="2026-06-03T00:00:00"/>
    <s v="Complete"/>
    <s v="Yes"/>
    <s v="READY"/>
    <m/>
  </r>
  <r>
    <x v="1"/>
    <x v="0"/>
    <x v="5"/>
    <m/>
    <x v="17"/>
    <s v="HBA"/>
    <s v="MARRIOTT GUYANA PUBLIC AREAS "/>
    <x v="78"/>
    <n v="1"/>
    <x v="8"/>
    <s v="NEW"/>
    <s v="1. Preliminary Design"/>
    <d v="2026-06-12T00:00:00"/>
    <m/>
    <m/>
    <s v="GY"/>
    <s v="Guyana"/>
    <x v="0"/>
    <x v="0"/>
    <m/>
    <m/>
    <x v="21"/>
    <x v="0"/>
    <n v="25129.08"/>
    <n v="25129.08"/>
    <x v="9"/>
    <x v="0"/>
    <m/>
    <m/>
    <d v="2026-10-16T00:00:00"/>
    <d v="2026-10-16T00:00:00"/>
    <x v="22"/>
    <x v="36"/>
    <s v="Pending Approval"/>
    <m/>
    <m/>
    <s v="Pending Approval"/>
    <m/>
    <m/>
    <s v="N/A"/>
    <m/>
    <m/>
    <s v="N/A"/>
    <m/>
    <m/>
    <s v="N/A"/>
    <m/>
    <m/>
    <s v="N/A"/>
    <m/>
    <m/>
    <s v="N/A"/>
    <m/>
    <m/>
    <s v="Complete"/>
    <m/>
    <s v="NPI: Pending approval: Drawing, Veneer/Wood for SW42"/>
    <m/>
  </r>
  <r>
    <x v="0"/>
    <x v="0"/>
    <x v="14"/>
    <s v="Natasha Funk"/>
    <x v="0"/>
    <s v="RH"/>
    <s v="BELGROVE VILLAS"/>
    <x v="79"/>
    <n v="1"/>
    <x v="0"/>
    <s v="NEW"/>
    <s v="8. Shipment"/>
    <d v="2026-06-12T00:00:00"/>
    <d v="2026-06-17T00:00:00"/>
    <m/>
    <s v="US"/>
    <s v="FL"/>
    <x v="1"/>
    <x v="1"/>
    <m/>
    <m/>
    <x v="6"/>
    <x v="19"/>
    <n v="13398"/>
    <n v="13398"/>
    <x v="8"/>
    <x v="0"/>
    <d v="2026-09-19T00:00:00"/>
    <d v="2026-09-19T00:00:00"/>
    <d v="2026-09-25T00:00:00"/>
    <d v="2026-09-25T00:00:00"/>
    <x v="17"/>
    <x v="25"/>
    <s v="Approved"/>
    <m/>
    <d v="2026-06-17T00:00:00"/>
    <s v="Approved"/>
    <m/>
    <d v="2026-06-17T00:00:00"/>
    <s v="N/A"/>
    <m/>
    <m/>
    <s v="N/A"/>
    <m/>
    <m/>
    <s v="N/A"/>
    <m/>
    <m/>
    <s v="N/A"/>
    <m/>
    <m/>
    <s v="N/A"/>
    <m/>
    <m/>
    <s v="Complete"/>
    <s v="Yes"/>
    <s v="READY"/>
    <m/>
  </r>
  <r>
    <x v="1"/>
    <x v="1"/>
    <x v="1"/>
    <m/>
    <x v="18"/>
    <s v="BISCAYNE"/>
    <s v="PARK_AVENUE_HOTEL"/>
    <x v="80"/>
    <n v="1"/>
    <x v="3"/>
    <s v="NEW"/>
    <s v="4. Prototype Build"/>
    <d v="2026-05-30T00:00:00"/>
    <d v="2026-06-04T00:00:00"/>
    <d v="2026-06-26T00:00:00"/>
    <s v="US"/>
    <s v="CA"/>
    <x v="1"/>
    <x v="1"/>
    <m/>
    <m/>
    <x v="21"/>
    <x v="20"/>
    <n v="2843.6000000000004"/>
    <n v="2843.6000000000004"/>
    <x v="9"/>
    <x v="0"/>
    <d v="2026-08-17T00:00:00"/>
    <d v="2026-08-21T00:00:00"/>
    <d v="2026-10-23T00:00:00"/>
    <d v="2026-10-23T00:00:00"/>
    <x v="37"/>
    <x v="37"/>
    <s v="Approved"/>
    <m/>
    <m/>
    <s v="Approved"/>
    <m/>
    <m/>
    <s v="Approved"/>
    <m/>
    <m/>
    <s v="Approved"/>
    <m/>
    <m/>
    <s v="N/A"/>
    <m/>
    <m/>
    <s v="N/A"/>
    <m/>
    <m/>
    <s v="N/A"/>
    <m/>
    <m/>
    <s v="Active"/>
    <s v="Yes"/>
    <s v="NPD: All development items approved/closed for SW43"/>
    <m/>
  </r>
  <r>
    <x v="1"/>
    <x v="0"/>
    <x v="1"/>
    <m/>
    <x v="18"/>
    <s v="BISCAYNE"/>
    <s v="PARK_AVENUE_HOTEL"/>
    <x v="81"/>
    <n v="1"/>
    <x v="5"/>
    <s v="NEW"/>
    <s v="2. Product &amp; Process Dev"/>
    <m/>
    <d v="2026-06-04T00:00:00"/>
    <m/>
    <s v="US"/>
    <s v="CA"/>
    <x v="2"/>
    <x v="2"/>
    <m/>
    <m/>
    <x v="14"/>
    <x v="0"/>
    <n v="780835.84000000008"/>
    <n v="780835.84000000008"/>
    <x v="13"/>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2"/>
    <n v="1"/>
    <x v="0"/>
    <s v="NEW"/>
    <s v="8. Shipment"/>
    <m/>
    <d v="2026-06-17T00:00:00"/>
    <m/>
    <s v="UK"/>
    <m/>
    <x v="0"/>
    <x v="0"/>
    <m/>
    <m/>
    <x v="6"/>
    <x v="0"/>
    <n v="499.5"/>
    <n v="499.5"/>
    <x v="2"/>
    <x v="0"/>
    <d v="2026-07-14T00:00:00"/>
    <d v="2026-07-14T00:00:00"/>
    <d v="2026-07-25T00:00:00"/>
    <d v="2026-07-25T00:00:00"/>
    <x v="3"/>
    <x v="38"/>
    <s v="Approved"/>
    <m/>
    <d v="2026-06-17T00:00:00"/>
    <s v="Approved"/>
    <m/>
    <d v="2026-06-17T00:00:00"/>
    <s v="Approved"/>
    <m/>
    <m/>
    <s v="N/A"/>
    <m/>
    <m/>
    <s v="N/A"/>
    <m/>
    <m/>
    <s v="N/A"/>
    <m/>
    <m/>
    <s v="COM"/>
    <m/>
    <d v="2026-06-22T00:00:00"/>
    <s v="Complete"/>
    <s v="Yes"/>
    <s v="READY"/>
    <m/>
  </r>
  <r>
    <x v="0"/>
    <x v="0"/>
    <x v="5"/>
    <s v="Sue Bilstad"/>
    <x v="0"/>
    <s v="RH"/>
    <s v="FOUR SEASONS  DENVER"/>
    <x v="83"/>
    <n v="1"/>
    <x v="1"/>
    <s v="NEW"/>
    <s v="1. Preliminary Design"/>
    <d v="2026-06-23T00:00:00"/>
    <s v="Pending PO "/>
    <m/>
    <s v="US"/>
    <s v="CO"/>
    <x v="4"/>
    <x v="12"/>
    <n v="2"/>
    <m/>
    <x v="4"/>
    <x v="16"/>
    <n v="4003.5"/>
    <n v="4003.5"/>
    <x v="12"/>
    <x v="1"/>
    <m/>
    <m/>
    <d v="2027-01-29T00:00:00"/>
    <d v="2027-01-29T00:00:00"/>
    <x v="13"/>
    <x v="12"/>
    <s v="Pending Approval"/>
    <m/>
    <m/>
    <s v="Pending Approval"/>
    <m/>
    <m/>
    <s v="Pending Approval"/>
    <m/>
    <m/>
    <s v="N/A"/>
    <m/>
    <m/>
    <s v="N/A"/>
    <m/>
    <m/>
    <s v="N/A"/>
    <m/>
    <m/>
    <s v="N/A"/>
    <m/>
    <m/>
    <s v="Active"/>
    <s v="Yes"/>
    <s v="NPI: Pending approval: Drawing, Veneer/Wood, Marble for SW05"/>
    <s v="Need PO this week WK42"/>
  </r>
  <r>
    <x v="0"/>
    <x v="1"/>
    <x v="5"/>
    <m/>
    <x v="0"/>
    <s v="RH"/>
    <s v="MUNISH"/>
    <x v="84"/>
    <n v="1"/>
    <x v="8"/>
    <s v="NEW"/>
    <s v="1. Preliminary Design"/>
    <d v="2026-06-26T00:00:00"/>
    <m/>
    <m/>
    <m/>
    <m/>
    <x v="0"/>
    <x v="0"/>
    <m/>
    <m/>
    <x v="6"/>
    <x v="0"/>
    <m/>
    <m/>
    <x v="19"/>
    <x v="4"/>
    <m/>
    <m/>
    <m/>
    <m/>
    <x v="19"/>
    <x v="17"/>
    <s v="In Progress"/>
    <m/>
    <m/>
    <s v="In Progress"/>
    <m/>
    <m/>
    <s v="N/A"/>
    <m/>
    <m/>
    <s v="N/A"/>
    <m/>
    <m/>
    <s v="N/A"/>
    <m/>
    <m/>
    <s v="N/A"/>
    <m/>
    <m/>
    <s v="N/A"/>
    <m/>
    <m/>
    <s v="Complete"/>
    <s v="Yes"/>
    <s v="NPD: In progress: Drawing, Veneer/Wood"/>
    <m/>
  </r>
  <r>
    <x v="0"/>
    <x v="0"/>
    <x v="5"/>
    <s v="Monica Cuevas"/>
    <x v="0"/>
    <s v="RH"/>
    <s v="MAUNA LANI"/>
    <x v="85"/>
    <n v="1"/>
    <x v="3"/>
    <s v="REO"/>
    <s v="7. Mass Production"/>
    <d v="2026-06-09T00:00:00"/>
    <d v="2026-08-11T00:00:00"/>
    <m/>
    <s v="US"/>
    <s v="HI"/>
    <x v="1"/>
    <x v="1"/>
    <m/>
    <m/>
    <x v="4"/>
    <x v="15"/>
    <n v="3240"/>
    <n v="3240"/>
    <x v="12"/>
    <x v="1"/>
    <m/>
    <m/>
    <d v="2026-01-08T00:00:00"/>
    <d v="2026-01-08T00:00:00"/>
    <x v="38"/>
    <x v="39"/>
    <s v="Approved"/>
    <m/>
    <d v="2026-08-21T00:00:00"/>
    <s v="Approved"/>
    <m/>
    <d v="2026-08-21T00:00:00"/>
    <s v="N/A"/>
    <m/>
    <m/>
    <s v="Approved"/>
    <m/>
    <d v="2026-08-21T00:00:00"/>
    <s v="N/A"/>
    <m/>
    <m/>
    <s v="N/A"/>
    <m/>
    <m/>
    <s v="N/A"/>
    <m/>
    <m/>
    <s v="Active"/>
    <s v="Yes"/>
    <s v="NPI: All development items approved/closed for SW02"/>
    <m/>
  </r>
  <r>
    <x v="0"/>
    <x v="0"/>
    <x v="1"/>
    <s v="Madison Lay"/>
    <x v="0"/>
    <s v="RH"/>
    <s v="GOLDEN PEAK"/>
    <x v="86"/>
    <n v="1"/>
    <x v="0"/>
    <s v="NEW"/>
    <s v="8. Shipment"/>
    <m/>
    <d v="2026-06-23T00:00:00"/>
    <m/>
    <m/>
    <m/>
    <x v="0"/>
    <x v="0"/>
    <m/>
    <m/>
    <x v="6"/>
    <x v="0"/>
    <n v="1466"/>
    <n v="1466"/>
    <x v="2"/>
    <x v="0"/>
    <d v="2026-07-20T00:00:00"/>
    <d v="2026-07-25T00:00:00"/>
    <d v="2026-07-27T00:00:00"/>
    <d v="2026-08-01T00:00:00"/>
    <x v="16"/>
    <x v="40"/>
    <s v="Approved"/>
    <m/>
    <d v="2026-06-25T00:00:00"/>
    <s v="Approved"/>
    <m/>
    <d v="2026-06-25T00:00:00"/>
    <s v="Approved"/>
    <m/>
    <m/>
    <s v="N/A"/>
    <m/>
    <m/>
    <s v="N/A"/>
    <m/>
    <m/>
    <s v="N/A"/>
    <m/>
    <m/>
    <s v="N/A"/>
    <m/>
    <s v="NA"/>
    <s v="Complete"/>
    <s v="Yes"/>
    <s v="READY"/>
    <m/>
  </r>
  <r>
    <x v="0"/>
    <x v="0"/>
    <x v="5"/>
    <s v="Caroline Dillard"/>
    <x v="0"/>
    <s v="RH"/>
    <s v="CUSTOM BEDS FOR EU"/>
    <x v="87"/>
    <n v="1"/>
    <x v="1"/>
    <s v="NEW"/>
    <s v="2. Product &amp; Process Dev"/>
    <d v="2026-07-09T00:00:00"/>
    <s v="Pending PO "/>
    <m/>
    <s v="EU"/>
    <m/>
    <x v="4"/>
    <x v="13"/>
    <m/>
    <m/>
    <x v="4"/>
    <x v="21"/>
    <n v="8455.52"/>
    <n v="8455.52"/>
    <x v="12"/>
    <x v="1"/>
    <m/>
    <m/>
    <d v="2027-01-29T00:00:00"/>
    <d v="2027-01-29T00:00:00"/>
    <x v="13"/>
    <x v="12"/>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x v="7"/>
    <m/>
    <x v="19"/>
    <s v="BWG "/>
    <s v="MUSE POINT APARTMENT"/>
    <x v="88"/>
    <n v="1"/>
    <x v="0"/>
    <s v="NEW"/>
    <s v="3. Prototype Readiness (BOM)"/>
    <d v="2026-07-13T00:00:00"/>
    <m/>
    <m/>
    <s v="AU"/>
    <s v="AU"/>
    <x v="1"/>
    <x v="1"/>
    <m/>
    <m/>
    <x v="3"/>
    <x v="22"/>
    <n v="0"/>
    <n v="0"/>
    <x v="8"/>
    <x v="0"/>
    <m/>
    <m/>
    <d v="2026-09-18T00:00:00"/>
    <d v="2026-09-18T00:00:00"/>
    <x v="39"/>
    <x v="15"/>
    <s v="Approved"/>
    <m/>
    <m/>
    <s v="Approved"/>
    <m/>
    <m/>
    <s v="N/A"/>
    <m/>
    <m/>
    <s v="Approved"/>
    <m/>
    <m/>
    <s v="N/A"/>
    <m/>
    <m/>
    <s v="N/A"/>
    <m/>
    <m/>
    <s v="N/A"/>
    <m/>
    <m/>
    <s v="Complete"/>
    <m/>
    <s v="READY"/>
    <m/>
  </r>
  <r>
    <x v="0"/>
    <x v="1"/>
    <x v="5"/>
    <s v="Monica Cuevas"/>
    <x v="0"/>
    <s v="RH"/>
    <s v="DANCING BEAR "/>
    <x v="89"/>
    <n v="1"/>
    <x v="3"/>
    <s v="NEW"/>
    <s v="4. Prototype Build"/>
    <d v="2026-07-18T00:00:00"/>
    <d v="2026-08-25T00:00:00"/>
    <m/>
    <s v="US"/>
    <s v="US"/>
    <x v="1"/>
    <x v="1"/>
    <m/>
    <m/>
    <x v="14"/>
    <x v="17"/>
    <n v="33810.54"/>
    <n v="33810.54"/>
    <x v="11"/>
    <x v="0"/>
    <d v="2026-09-11T00:00:00"/>
    <d v="2026-09-11T00:00:00"/>
    <d v="2026-10-23T00:00:00"/>
    <d v="2026-10-23T00:00:00"/>
    <x v="37"/>
    <x v="37"/>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Reviewed bybJohn Lee &amp; video call with RH 21-Oct. Shipment combine with RH core SPO container."/>
  </r>
  <r>
    <x v="0"/>
    <x v="0"/>
    <x v="5"/>
    <s v="Monica Cuevas"/>
    <x v="0"/>
    <s v="RH"/>
    <s v="DANCING BEAR "/>
    <x v="89"/>
    <n v="1"/>
    <x v="1"/>
    <s v="NEW"/>
    <s v="4. Prototype Build"/>
    <d v="2026-07-18T00:00:00"/>
    <m/>
    <m/>
    <s v="US"/>
    <s v="US"/>
    <x v="1"/>
    <x v="1"/>
    <m/>
    <m/>
    <x v="13"/>
    <x v="23"/>
    <n v="299970.28999999998"/>
    <n v="299970.28999999998"/>
    <x v="5"/>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90"/>
    <n v="1"/>
    <x v="3"/>
    <s v="NEW"/>
    <s v="7. Mass Production"/>
    <d v="2026-07-23T00:00:00"/>
    <d v="2026-08-30T00:00:00"/>
    <m/>
    <s v="US"/>
    <s v="CO"/>
    <x v="1"/>
    <x v="1"/>
    <m/>
    <m/>
    <x v="35"/>
    <x v="24"/>
    <n v="32385.58"/>
    <n v="32385.58"/>
    <x v="11"/>
    <x v="0"/>
    <m/>
    <m/>
    <d v="2026-11-13T00:00:00"/>
    <d v="2026-11-13T00:00:00"/>
    <x v="25"/>
    <x v="41"/>
    <s v="Approved"/>
    <d v="2026-10-02T00:00:00"/>
    <d v="2026-10-14T00:00:00"/>
    <s v="Approved"/>
    <m/>
    <d v="2026-09-17T00:00:00"/>
    <s v="Approved"/>
    <m/>
    <d v="2026-09-17T00:00:00"/>
    <s v="Approved"/>
    <m/>
    <d v="2026-09-30T00:00:00"/>
    <s v="Approved"/>
    <m/>
    <d v="2026-10-14T00:00:00"/>
    <s v="N/A"/>
    <m/>
    <m/>
    <s v="COM Pending"/>
    <d v="2026-10-26T00:00:00"/>
    <m/>
    <s v="Active"/>
    <s v="Yes"/>
    <s v="NPD: Fabric is com pending; need approval by 26-Oct-26 for SW46"/>
    <m/>
  </r>
  <r>
    <x v="0"/>
    <x v="0"/>
    <x v="3"/>
    <s v="Madison Lay"/>
    <x v="0"/>
    <s v="RH"/>
    <s v="FOOTES REST"/>
    <x v="90"/>
    <n v="1"/>
    <x v="1"/>
    <s v="NEW"/>
    <s v="2. Product &amp; Process Dev"/>
    <m/>
    <m/>
    <m/>
    <s v="US"/>
    <s v="CO"/>
    <x v="1"/>
    <x v="1"/>
    <m/>
    <m/>
    <x v="5"/>
    <x v="0"/>
    <n v="543005"/>
    <n v="271502.5"/>
    <x v="10"/>
    <x v="1"/>
    <m/>
    <m/>
    <d v="2027-07-17T00:00:00"/>
    <d v="2027-08-21T00:00:00"/>
    <x v="40"/>
    <x v="42"/>
    <s v="Not Started"/>
    <m/>
    <m/>
    <s v="Not Started"/>
    <m/>
    <m/>
    <s v="Not Started"/>
    <m/>
    <m/>
    <s v="Not Started"/>
    <m/>
    <m/>
    <s v="Not Started"/>
    <m/>
    <m/>
    <s v="N/A"/>
    <m/>
    <m/>
    <s v="COM"/>
    <m/>
    <m/>
    <s v="Active"/>
    <s v="Yes"/>
    <s v="NPI: Not started: Drawing, Veneer/Wood, Marble, Metal, Mirror; Fabric is com for SW34"/>
    <m/>
  </r>
  <r>
    <x v="0"/>
    <x v="0"/>
    <x v="3"/>
    <s v="Madison Lay"/>
    <x v="0"/>
    <s v="RH"/>
    <s v="FOOTES REST"/>
    <x v="90"/>
    <n v="0"/>
    <x v="1"/>
    <s v="NEW"/>
    <s v="2. Product &amp; Process Dev"/>
    <m/>
    <m/>
    <m/>
    <s v="US"/>
    <s v="CO"/>
    <x v="1"/>
    <x v="1"/>
    <m/>
    <m/>
    <x v="5"/>
    <x v="0"/>
    <n v="543005"/>
    <n v="271502.5"/>
    <x v="24"/>
    <x v="1"/>
    <m/>
    <m/>
    <d v="2027-07-17T00:00:00"/>
    <d v="2027-08-21T00:00:00"/>
    <x v="40"/>
    <x v="42"/>
    <s v="Not Started"/>
    <m/>
    <m/>
    <s v="Not Started"/>
    <m/>
    <m/>
    <s v="Not Started"/>
    <m/>
    <m/>
    <s v="Not Started"/>
    <m/>
    <m/>
    <s v="Not Started"/>
    <m/>
    <m/>
    <s v="N/A"/>
    <m/>
    <m/>
    <s v="COM"/>
    <m/>
    <m/>
    <s v="Active"/>
    <s v="Yes"/>
    <s v="NPI: Not started: Drawing, Veneer/Wood, Marble, Metal, Mirror; Fabric is com for SW34"/>
    <m/>
  </r>
  <r>
    <x v="1"/>
    <x v="1"/>
    <x v="1"/>
    <s v="Elaine"/>
    <x v="3"/>
    <s v="FLEETWOOD "/>
    <s v="W-HOTEL-LAS-VEGAS"/>
    <x v="46"/>
    <n v="0"/>
    <x v="0"/>
    <s v="NEW"/>
    <s v="8. Shipment"/>
    <d v="2025-10-09T00:00:00"/>
    <m/>
    <m/>
    <s v="US"/>
    <s v="NV"/>
    <x v="1"/>
    <x v="1"/>
    <m/>
    <m/>
    <x v="21"/>
    <x v="20"/>
    <s v="FOC"/>
    <n v="0"/>
    <x v="8"/>
    <x v="0"/>
    <d v="2026-09-21T00:00:00"/>
    <d v="2026-09-21T00:00:00"/>
    <d v="2026-09-25T00:00:00"/>
    <d v="2026-09-25T00:00:00"/>
    <x v="17"/>
    <x v="25"/>
    <s v="Approved"/>
    <m/>
    <m/>
    <s v="Approved"/>
    <m/>
    <m/>
    <s v="Approved"/>
    <m/>
    <m/>
    <s v="Approved"/>
    <m/>
    <m/>
    <s v="N/A"/>
    <m/>
    <m/>
    <s v="N/A"/>
    <m/>
    <m/>
    <s v="COM Received"/>
    <m/>
    <m/>
    <s v="Complete"/>
    <m/>
    <s v="READY"/>
    <m/>
  </r>
  <r>
    <x v="0"/>
    <x v="0"/>
    <x v="14"/>
    <s v="Madison Lay"/>
    <x v="0"/>
    <s v="RH"/>
    <s v="RITZ CABO VILLA"/>
    <x v="91"/>
    <n v="1"/>
    <x v="5"/>
    <s v="NEW"/>
    <s v="1. Preliminary Design"/>
    <d v="2026-07-24T00:00:00"/>
    <m/>
    <m/>
    <s v="Mexico"/>
    <s v="Mexico"/>
    <x v="3"/>
    <x v="3"/>
    <m/>
    <m/>
    <x v="28"/>
    <x v="25"/>
    <n v="9809"/>
    <n v="9809"/>
    <x v="13"/>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2"/>
    <n v="1"/>
    <x v="0"/>
    <s v="NEW"/>
    <s v="3. Prototype Readiness (BOM)"/>
    <d v="2026-07-21T00:00:00"/>
    <d v="2026-07-21T00:00:00"/>
    <s v="FOC"/>
    <s v="US"/>
    <s v="NY"/>
    <x v="1"/>
    <x v="1"/>
    <n v="2"/>
    <m/>
    <x v="21"/>
    <x v="20"/>
    <s v="FOC"/>
    <n v="0"/>
    <x v="8"/>
    <x v="0"/>
    <d v="2026-09-19T00:00:00"/>
    <d v="2026-09-19T00:00:00"/>
    <d v="2026-10-01T00:00:00"/>
    <d v="2026-10-01T00:00:00"/>
    <x v="41"/>
    <x v="20"/>
    <s v="Approved"/>
    <m/>
    <d v="2026-07-30T00:00:00"/>
    <s v="Approved"/>
    <m/>
    <d v="2026-09-11T00:00:00"/>
    <s v="Approved"/>
    <m/>
    <d v="2026-09-11T00:00:00"/>
    <s v="Approved"/>
    <m/>
    <d v="2026-09-18T00:00:00"/>
    <s v="N/A"/>
    <m/>
    <m/>
    <s v="N/A"/>
    <m/>
    <m/>
    <s v="N/A"/>
    <m/>
    <m/>
    <s v="Complete"/>
    <m/>
    <s v="READY"/>
    <m/>
  </r>
  <r>
    <x v="0"/>
    <x v="0"/>
    <x v="1"/>
    <s v="Madison Lay"/>
    <x v="0"/>
    <s v="RH"/>
    <s v="AHS ONE CANAL CRESENT"/>
    <x v="93"/>
    <n v="1"/>
    <x v="2"/>
    <s v="NEW"/>
    <s v="5. Production Readiness"/>
    <m/>
    <m/>
    <m/>
    <s v="US"/>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4"/>
    <n v="1"/>
    <x v="3"/>
    <s v="NEW"/>
    <s v="7. Mass Production"/>
    <d v="2026-08-05T00:00:00"/>
    <d v="2026-08-07T00:00:00"/>
    <m/>
    <s v="US"/>
    <s v="CA"/>
    <x v="1"/>
    <x v="1"/>
    <m/>
    <m/>
    <x v="6"/>
    <x v="26"/>
    <n v="6068.79"/>
    <n v="6068.79"/>
    <x v="15"/>
    <x v="0"/>
    <m/>
    <m/>
    <d v="2026-12-04T00:00:00"/>
    <d v="2026-12-04T00:00:00"/>
    <x v="42"/>
    <x v="35"/>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5"/>
    <n v="1"/>
    <x v="3"/>
    <s v="NEW"/>
    <s v="7. Mass Production"/>
    <m/>
    <d v="2026-09-10T00:00:00"/>
    <m/>
    <s v="UK"/>
    <m/>
    <x v="1"/>
    <x v="1"/>
    <m/>
    <m/>
    <x v="6"/>
    <x v="5"/>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5"/>
    <n v="1"/>
    <x v="1"/>
    <s v="NEW"/>
    <s v="2. Product &amp; Process Dev"/>
    <m/>
    <m/>
    <m/>
    <s v="UK"/>
    <m/>
    <x v="2"/>
    <x v="2"/>
    <m/>
    <m/>
    <x v="28"/>
    <x v="27"/>
    <n v="210727.22"/>
    <n v="210727.22"/>
    <x v="4"/>
    <x v="1"/>
    <m/>
    <m/>
    <d v="2027-04-09T00:00:00"/>
    <d v="2027-04-16T00:00:00"/>
    <x v="15"/>
    <x v="43"/>
    <s v="In Progress"/>
    <m/>
    <m/>
    <s v="In Progress"/>
    <m/>
    <m/>
    <m/>
    <m/>
    <m/>
    <m/>
    <m/>
    <m/>
    <m/>
    <m/>
    <m/>
    <m/>
    <m/>
    <m/>
    <m/>
    <m/>
    <m/>
    <s v="Active"/>
    <m/>
    <s v="NPI: In progress: Drawing, Veneer/Wood for SW16"/>
    <m/>
  </r>
  <r>
    <x v="1"/>
    <x v="0"/>
    <x v="14"/>
    <m/>
    <x v="21"/>
    <s v="AG"/>
    <s v="8 EATON LANE"/>
    <x v="96"/>
    <n v="1"/>
    <x v="3"/>
    <s v="NEW"/>
    <s v="7. Mass Production"/>
    <m/>
    <d v="2026-08-05T00:00:00"/>
    <m/>
    <s v="UK"/>
    <s v="UK"/>
    <x v="8"/>
    <x v="14"/>
    <m/>
    <m/>
    <x v="19"/>
    <x v="10"/>
    <n v="15139"/>
    <n v="15139"/>
    <x v="15"/>
    <x v="0"/>
    <d v="2026-11-26T00:00:00"/>
    <d v="2026-11-26T00:00:00"/>
    <d v="2026-12-04T00:00:00"/>
    <d v="2026-12-04T00:00:00"/>
    <x v="42"/>
    <x v="35"/>
    <s v="Approved"/>
    <m/>
    <m/>
    <s v="Approved"/>
    <m/>
    <m/>
    <s v="Approved"/>
    <m/>
    <m/>
    <m/>
    <m/>
    <m/>
    <m/>
    <m/>
    <m/>
    <m/>
    <m/>
    <m/>
    <m/>
    <m/>
    <m/>
    <s v="Active"/>
    <m/>
    <s v="NPI: All development items approved/closed for SW49"/>
    <m/>
  </r>
  <r>
    <x v="1"/>
    <x v="0"/>
    <x v="14"/>
    <m/>
    <x v="21"/>
    <s v="AG"/>
    <s v="BOARDROOM FURNITURE"/>
    <x v="97"/>
    <n v="1"/>
    <x v="3"/>
    <s v="NEW"/>
    <s v="7. Mass Production"/>
    <m/>
    <d v="2026-08-11T00:00:00"/>
    <m/>
    <s v="UK"/>
    <s v="UK"/>
    <x v="4"/>
    <x v="12"/>
    <m/>
    <m/>
    <x v="4"/>
    <x v="16"/>
    <n v="10410"/>
    <n v="10410"/>
    <x v="11"/>
    <x v="0"/>
    <d v="2026-11-26T00:00:00"/>
    <d v="2026-11-26T00:00:00"/>
    <d v="2026-11-20T00:00:00"/>
    <d v="2026-11-20T00:00:00"/>
    <x v="5"/>
    <x v="5"/>
    <s v="Approved"/>
    <m/>
    <m/>
    <s v="Approved"/>
    <m/>
    <m/>
    <s v="Approved"/>
    <m/>
    <m/>
    <m/>
    <m/>
    <m/>
    <m/>
    <m/>
    <m/>
    <m/>
    <m/>
    <m/>
    <m/>
    <m/>
    <m/>
    <s v="Active"/>
    <m/>
    <s v="NPI: All development items approved/closed for SW47"/>
    <m/>
  </r>
  <r>
    <x v="1"/>
    <x v="0"/>
    <x v="14"/>
    <m/>
    <x v="21"/>
    <s v="AG"/>
    <s v="CHARTER STREET TABLES"/>
    <x v="98"/>
    <n v="1"/>
    <x v="3"/>
    <s v="NEW"/>
    <s v="7. Mass Production"/>
    <m/>
    <d v="2026-08-11T00:00:00"/>
    <m/>
    <s v="UK"/>
    <s v="UK"/>
    <x v="10"/>
    <x v="14"/>
    <m/>
    <m/>
    <x v="30"/>
    <x v="10"/>
    <n v="16944.240000000002"/>
    <n v="17615.419999999998"/>
    <x v="11"/>
    <x v="0"/>
    <d v="2026-11-26T00:00:00"/>
    <d v="2026-11-26T00:00:00"/>
    <d v="2026-11-20T00:00:00"/>
    <d v="2026-11-20T00:00:00"/>
    <x v="5"/>
    <x v="5"/>
    <s v="Approved"/>
    <m/>
    <m/>
    <s v="Approved"/>
    <m/>
    <m/>
    <s v="Approved"/>
    <m/>
    <m/>
    <m/>
    <m/>
    <m/>
    <m/>
    <m/>
    <m/>
    <m/>
    <m/>
    <m/>
    <m/>
    <m/>
    <m/>
    <s v="Active"/>
    <m/>
    <s v="NPI: All development items approved/closed for SW47"/>
    <m/>
  </r>
  <r>
    <x v="0"/>
    <x v="0"/>
    <x v="5"/>
    <s v="Natasha Funk"/>
    <x v="0"/>
    <s v="RH"/>
    <s v="DEER VALLEY  "/>
    <x v="99"/>
    <n v="1"/>
    <x v="5"/>
    <s v="NEW"/>
    <s v="1. Preliminary Design"/>
    <d v="2026-09-11T00:00:00"/>
    <s v="Pending PO "/>
    <m/>
    <s v="US"/>
    <s v="AZ"/>
    <x v="1"/>
    <x v="1"/>
    <m/>
    <m/>
    <x v="28"/>
    <x v="28"/>
    <n v="47893.859999999993"/>
    <n v="47893.859999999993"/>
    <x v="26"/>
    <x v="5"/>
    <m/>
    <m/>
    <s v="TBC"/>
    <s v="TBC"/>
    <x v="9"/>
    <x v="9"/>
    <s v="Pending Approval"/>
    <m/>
    <m/>
    <s v="Pending Approval"/>
    <m/>
    <m/>
    <s v="N/A"/>
    <m/>
    <m/>
    <s v="Pending Approval"/>
    <m/>
    <m/>
    <s v="N/A"/>
    <m/>
    <m/>
    <s v="N/A"/>
    <m/>
    <m/>
    <s v="N/A"/>
    <m/>
    <m/>
    <s v="Active"/>
    <m/>
    <s v="NPI: Pending approval: Drawing, Veneer/Wood, Metal for SW TBC"/>
    <m/>
  </r>
  <r>
    <x v="0"/>
    <x v="0"/>
    <x v="5"/>
    <m/>
    <x v="0"/>
    <s v="RH"/>
    <s v="ALTERRA_DEER VALLEY "/>
    <x v="100"/>
    <n v="1"/>
    <x v="1"/>
    <s v="NEW"/>
    <s v="1. Preliminary Design"/>
    <m/>
    <m/>
    <m/>
    <s v="US"/>
    <s v="AZ"/>
    <x v="1"/>
    <x v="1"/>
    <m/>
    <m/>
    <x v="33"/>
    <x v="0"/>
    <n v="228194"/>
    <n v="228194"/>
    <x v="6"/>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101"/>
    <n v="1"/>
    <x v="10"/>
    <s v="NEW"/>
    <s v="2. Product &amp; Process Dev"/>
    <m/>
    <m/>
    <m/>
    <s v="US"/>
    <s v="Texas"/>
    <x v="11"/>
    <x v="15"/>
    <m/>
    <m/>
    <x v="23"/>
    <x v="29"/>
    <n v="156985.75999999995"/>
    <n v="156985.75999999995"/>
    <x v="12"/>
    <x v="1"/>
    <d v="2026-12-11T00:00:00"/>
    <d v="2026-12-11T00:00:00"/>
    <d v="2027-01-01T00:00:00"/>
    <d v="2027-01-29T00:00:00"/>
    <x v="43"/>
    <x v="12"/>
    <s v="In Progress"/>
    <m/>
    <m/>
    <s v="In Progress"/>
    <m/>
    <m/>
    <m/>
    <m/>
    <m/>
    <m/>
    <m/>
    <m/>
    <m/>
    <m/>
    <m/>
    <m/>
    <m/>
    <m/>
    <m/>
    <m/>
    <m/>
    <s v="Complete"/>
    <s v="Yes"/>
    <s v="NPI: In progress: Drawing, Veneer/Wood for SW05"/>
    <m/>
  </r>
  <r>
    <x v="1"/>
    <x v="0"/>
    <x v="3"/>
    <m/>
    <x v="18"/>
    <s v="BISCAYNE"/>
    <s v="SLPSC"/>
    <x v="102"/>
    <n v="1"/>
    <x v="3"/>
    <s v="NEW"/>
    <s v="3. Prototype Readiness (BOM)"/>
    <d v="2026-08-18T00:00:00"/>
    <d v="2026-08-17T00:00:00"/>
    <s v="NOT YET"/>
    <s v="US"/>
    <s v="US"/>
    <x v="12"/>
    <x v="16"/>
    <m/>
    <m/>
    <x v="22"/>
    <x v="30"/>
    <n v="83963.209999999992"/>
    <n v="83963.209999999992"/>
    <x v="12"/>
    <x v="1"/>
    <d v="2026-12-11T00:00:00"/>
    <d v="2026-12-11T00:00:00"/>
    <d v="2027-01-01T00:00:00"/>
    <d v="2027-01-22T00:00:00"/>
    <x v="43"/>
    <x v="8"/>
    <s v="Pending Approval"/>
    <d v="2026-10-02T00:00:00"/>
    <m/>
    <s v="Pending Approval"/>
    <d v="2026-10-02T00:00:00"/>
    <m/>
    <s v="In Progress"/>
    <d v="2026-10-02T00:00:00"/>
    <m/>
    <s v="In Progress"/>
    <d v="2026-10-02T00:00:00"/>
    <m/>
    <s v="In Progress"/>
    <d v="2026-10-02T00:00:00"/>
    <m/>
    <s v="In Progress"/>
    <d v="2026-10-02T00:00:00"/>
    <m/>
    <s v="COM Pending"/>
    <m/>
    <m/>
    <s v="Active"/>
    <s v="Yes"/>
    <s v="NPI: In progress: Marble, Metal, Mirror, Electrical; Pending approval: Drawing, Veneer/Wood; Fabric is com pending; need approval by 2-Oct-26 for SW04"/>
    <m/>
  </r>
  <r>
    <x v="1"/>
    <x v="0"/>
    <x v="14"/>
    <s v="Erika"/>
    <x v="3"/>
    <s v="FLEETWOOD "/>
    <s v="MGM BELLAGIO"/>
    <x v="103"/>
    <n v="1"/>
    <x v="3"/>
    <s v="NEW"/>
    <s v="7. Mass Production"/>
    <d v="2026-08-25T00:00:00"/>
    <d v="2026-08-25T00:00:00"/>
    <s v="Re-allocate from Auberge"/>
    <s v="US"/>
    <s v="LV"/>
    <x v="2"/>
    <x v="2"/>
    <n v="1"/>
    <m/>
    <x v="6"/>
    <x v="5"/>
    <n v="3202"/>
    <n v="3202"/>
    <x v="15"/>
    <x v="0"/>
    <d v="2026-12-16T00:00:00"/>
    <d v="2026-12-16T00:00:00"/>
    <d v="2026-12-04T00:00:00"/>
    <d v="2026-12-04T00:00:00"/>
    <x v="42"/>
    <x v="35"/>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4"/>
    <n v="1"/>
    <x v="8"/>
    <s v="NEW"/>
    <s v="1. Preliminary Design"/>
    <m/>
    <m/>
    <m/>
    <s v="EU"/>
    <m/>
    <x v="0"/>
    <x v="0"/>
    <m/>
    <m/>
    <x v="36"/>
    <x v="31"/>
    <n v="13804.520000000004"/>
    <n v="13804.520000000004"/>
    <x v="15"/>
    <x v="0"/>
    <m/>
    <m/>
    <d v="2026-12-11T00:00:00"/>
    <d v="2026-12-25T00:00:00"/>
    <x v="29"/>
    <x v="16"/>
    <s v="In Progress"/>
    <m/>
    <m/>
    <m/>
    <m/>
    <m/>
    <m/>
    <m/>
    <m/>
    <m/>
    <m/>
    <m/>
    <m/>
    <m/>
    <m/>
    <m/>
    <m/>
    <m/>
    <m/>
    <m/>
    <m/>
    <s v="Complete"/>
    <m/>
    <s v="NPD: In progress: Drawing for SW52"/>
    <m/>
  </r>
  <r>
    <x v="0"/>
    <x v="0"/>
    <x v="7"/>
    <s v="Madison Lay"/>
    <x v="0"/>
    <s v="RH"/>
    <s v="FOUR SEASON DUBROVNIK"/>
    <x v="104"/>
    <n v="1"/>
    <x v="8"/>
    <s v="NEW"/>
    <s v="1. Preliminary Design"/>
    <m/>
    <m/>
    <m/>
    <s v="EU"/>
    <m/>
    <x v="1"/>
    <x v="1"/>
    <m/>
    <m/>
    <x v="36"/>
    <x v="0"/>
    <n v="1474339"/>
    <n v="737169.5"/>
    <x v="20"/>
    <x v="1"/>
    <m/>
    <m/>
    <m/>
    <m/>
    <x v="19"/>
    <x v="17"/>
    <s v="In Progress"/>
    <m/>
    <m/>
    <m/>
    <m/>
    <m/>
    <m/>
    <m/>
    <m/>
    <m/>
    <m/>
    <m/>
    <m/>
    <m/>
    <m/>
    <m/>
    <m/>
    <m/>
    <m/>
    <m/>
    <m/>
    <s v="Complete"/>
    <m/>
    <s v="NPI: In progress: Drawing"/>
    <m/>
  </r>
  <r>
    <x v="0"/>
    <x v="0"/>
    <x v="7"/>
    <s v="Madison Lay"/>
    <x v="0"/>
    <s v="RH"/>
    <s v="FOUR SEASON DUBROVNIK"/>
    <x v="104"/>
    <n v="0"/>
    <x v="8"/>
    <s v="NEW"/>
    <s v="1. Preliminary Design"/>
    <m/>
    <m/>
    <m/>
    <s v="EU"/>
    <m/>
    <x v="1"/>
    <x v="1"/>
    <m/>
    <m/>
    <x v="36"/>
    <x v="0"/>
    <n v="1474339"/>
    <n v="737169.5"/>
    <x v="21"/>
    <x v="1"/>
    <m/>
    <m/>
    <m/>
    <m/>
    <x v="19"/>
    <x v="17"/>
    <s v="In Progress"/>
    <m/>
    <m/>
    <m/>
    <m/>
    <m/>
    <m/>
    <m/>
    <m/>
    <m/>
    <m/>
    <m/>
    <m/>
    <m/>
    <m/>
    <m/>
    <m/>
    <m/>
    <m/>
    <m/>
    <m/>
    <s v="Complete"/>
    <m/>
    <s v="NPI: In progress: Drawing"/>
    <m/>
  </r>
  <r>
    <x v="1"/>
    <x v="1"/>
    <x v="14"/>
    <m/>
    <x v="18"/>
    <s v="BISCAYNE"/>
    <s v="AGV MODEL ROOM"/>
    <x v="105"/>
    <n v="1"/>
    <x v="7"/>
    <s v="NEW"/>
    <s v="2. Product &amp; Process Dev"/>
    <d v="2026-08-29T00:00:00"/>
    <d v="2026-08-29T00:00:00"/>
    <d v="2026-09-25T00:00:00"/>
    <s v="US"/>
    <s v="US"/>
    <x v="1"/>
    <x v="1"/>
    <m/>
    <m/>
    <x v="35"/>
    <x v="19"/>
    <n v="17279"/>
    <n v="17279"/>
    <x v="12"/>
    <x v="1"/>
    <d v="2026-12-25T00:00:00"/>
    <d v="2026-12-25T00:00:00"/>
    <d v="2027-01-15T00:00:00"/>
    <d v="2027-01-15T00:00:00"/>
    <x v="44"/>
    <x v="44"/>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3"/>
    <m/>
  </r>
  <r>
    <x v="1"/>
    <x v="1"/>
    <x v="14"/>
    <m/>
    <x v="18"/>
    <s v="BISCAYNE"/>
    <s v="AGV MODEL ROOM-EXTRA"/>
    <x v="106"/>
    <n v="1"/>
    <x v="10"/>
    <s v="NEW"/>
    <s v="2. Product &amp; Process Dev"/>
    <d v="2026-08-29T00:00:00"/>
    <d v="2026-08-29T00:00:00"/>
    <d v="2026-09-25T00:00:00"/>
    <s v="US"/>
    <s v="US"/>
    <x v="1"/>
    <x v="1"/>
    <m/>
    <m/>
    <x v="19"/>
    <x v="32"/>
    <n v="7473"/>
    <n v="7473"/>
    <x v="12"/>
    <x v="1"/>
    <d v="2026-12-25T00:00:00"/>
    <d v="2026-12-25T00:00:00"/>
    <d v="2027-01-01T00:00:00"/>
    <d v="2027-01-08T00:00:00"/>
    <x v="43"/>
    <x v="45"/>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7"/>
    <n v="1"/>
    <x v="7"/>
    <s v="NEW"/>
    <s v="2. Product &amp; Process Dev"/>
    <d v="2026-08-29T00:00:00"/>
    <d v="2026-08-29T00:00:00"/>
    <d v="2026-09-25T00:00:00"/>
    <s v="US"/>
    <s v="US"/>
    <x v="1"/>
    <x v="1"/>
    <m/>
    <m/>
    <x v="16"/>
    <x v="33"/>
    <n v="11993"/>
    <n v="11993"/>
    <x v="12"/>
    <x v="1"/>
    <d v="2026-12-25T00:00:00"/>
    <d v="2026-12-25T00:00:00"/>
    <d v="2027-01-15T00:00:00"/>
    <d v="2027-01-15T00:00:00"/>
    <x v="44"/>
    <x v="44"/>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3"/>
    <m/>
  </r>
  <r>
    <x v="1"/>
    <x v="1"/>
    <x v="14"/>
    <m/>
    <x v="18"/>
    <s v="BISCAYNE"/>
    <s v="AGSR - ARIZONA GRAND SUITES - EXTRA"/>
    <x v="108"/>
    <n v="1"/>
    <x v="7"/>
    <s v="NEW"/>
    <s v="2. Product &amp; Process Dev"/>
    <d v="2026-08-29T00:00:00"/>
    <d v="2026-08-29T00:00:00"/>
    <d v="2026-09-25T00:00:00"/>
    <s v="US"/>
    <s v="US"/>
    <x v="1"/>
    <x v="1"/>
    <m/>
    <m/>
    <x v="9"/>
    <x v="21"/>
    <n v="4270.1200000000008"/>
    <n v="4270.1200000000008"/>
    <x v="12"/>
    <x v="1"/>
    <d v="2026-12-25T00:00:00"/>
    <d v="2026-12-25T00:00:00"/>
    <d v="2027-01-15T00:00:00"/>
    <d v="2027-01-15T00:00:00"/>
    <x v="44"/>
    <x v="44"/>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3"/>
    <m/>
  </r>
  <r>
    <x v="1"/>
    <x v="0"/>
    <x v="14"/>
    <m/>
    <x v="18"/>
    <s v="BISCAYNE"/>
    <s v="AGSR - ARIZONA GRAND SUITES - MODEL ROOM"/>
    <x v="107"/>
    <n v="1"/>
    <x v="2"/>
    <s v="NEW"/>
    <s v="1. Preliminary Design"/>
    <m/>
    <m/>
    <m/>
    <s v="US"/>
    <s v="US"/>
    <x v="1"/>
    <x v="1"/>
    <m/>
    <m/>
    <x v="33"/>
    <x v="0"/>
    <n v="3000000"/>
    <n v="1000000"/>
    <x v="5"/>
    <x v="1"/>
    <m/>
    <m/>
    <s v="TBC"/>
    <s v="TBC"/>
    <x v="9"/>
    <x v="9"/>
    <s v="Not Started"/>
    <m/>
    <m/>
    <s v="Not Started"/>
    <m/>
    <m/>
    <s v="Not Started"/>
    <m/>
    <m/>
    <s v="Not Started "/>
    <m/>
    <m/>
    <s v="Not Started "/>
    <m/>
    <m/>
    <s v="Not Started "/>
    <m/>
    <m/>
    <s v="Not Started "/>
    <m/>
    <m/>
    <s v="Complete"/>
    <s v="Yes"/>
    <s v="NPI: Not started: Drawing, Veneer/Wood, Marble for SW TBC"/>
    <m/>
  </r>
  <r>
    <x v="1"/>
    <x v="0"/>
    <x v="14"/>
    <m/>
    <x v="18"/>
    <s v="BISCAYNE"/>
    <s v="AGSR - ARIZONA GRAND SUITES - MODEL ROOM"/>
    <x v="107"/>
    <n v="0"/>
    <x v="2"/>
    <s v="NEW"/>
    <s v="1. Preliminary Design"/>
    <m/>
    <m/>
    <m/>
    <s v="US"/>
    <s v="US"/>
    <x v="1"/>
    <x v="1"/>
    <m/>
    <m/>
    <x v="33"/>
    <x v="0"/>
    <n v="3000000"/>
    <n v="1000000"/>
    <x v="6"/>
    <x v="1"/>
    <m/>
    <m/>
    <s v="TBC"/>
    <s v="TBC"/>
    <x v="9"/>
    <x v="9"/>
    <s v="Not Started"/>
    <m/>
    <m/>
    <s v="Not Started"/>
    <m/>
    <m/>
    <s v="Not Started"/>
    <m/>
    <m/>
    <s v="Not Started "/>
    <m/>
    <m/>
    <s v="Not Started "/>
    <m/>
    <m/>
    <s v="Not Started "/>
    <m/>
    <m/>
    <s v="Not Started "/>
    <m/>
    <m/>
    <s v="Complete"/>
    <s v="Yes"/>
    <s v="NPI: Not started: Drawing, Veneer/Wood, Marble for SW TBC"/>
    <m/>
  </r>
  <r>
    <x v="1"/>
    <x v="0"/>
    <x v="14"/>
    <m/>
    <x v="18"/>
    <s v="BISCAYNE"/>
    <s v="AGSR - ARIZONA GRAND SUITES - MODEL ROOM"/>
    <x v="107"/>
    <n v="0"/>
    <x v="2"/>
    <s v="NEW"/>
    <s v="1. Preliminary Design"/>
    <m/>
    <m/>
    <m/>
    <s v="US"/>
    <s v="US"/>
    <x v="1"/>
    <x v="1"/>
    <m/>
    <m/>
    <x v="33"/>
    <x v="0"/>
    <n v="3000000"/>
    <n v="1000000"/>
    <x v="10"/>
    <x v="1"/>
    <m/>
    <m/>
    <s v="TBC"/>
    <s v="TBC"/>
    <x v="9"/>
    <x v="9"/>
    <s v="Not Started"/>
    <m/>
    <m/>
    <s v="Not Started"/>
    <m/>
    <m/>
    <s v="Not Started"/>
    <m/>
    <m/>
    <s v="Not Started "/>
    <m/>
    <m/>
    <s v="Not Started "/>
    <m/>
    <m/>
    <s v="Not Started "/>
    <m/>
    <m/>
    <s v="Not Started "/>
    <m/>
    <m/>
    <s v="Complete"/>
    <s v="Yes"/>
    <s v="NPI: Not started: Drawing, Veneer/Wood, Marble for SW TBC"/>
    <m/>
  </r>
  <r>
    <x v="1"/>
    <x v="1"/>
    <x v="14"/>
    <m/>
    <x v="18"/>
    <s v="BISCAYNE"/>
    <s v="SPA"/>
    <x v="109"/>
    <n v="1"/>
    <x v="3"/>
    <s v="NEW"/>
    <s v="2. Product &amp; Process Dev"/>
    <d v="2026-09-02T00:00:00"/>
    <d v="2026-08-31T00:00:00"/>
    <d v="2026-09-25T00:00:00"/>
    <s v="US"/>
    <s v="US"/>
    <x v="1"/>
    <x v="1"/>
    <m/>
    <m/>
    <x v="30"/>
    <x v="34"/>
    <n v="8153.75"/>
    <n v="8153.75"/>
    <x v="12"/>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10"/>
    <n v="1"/>
    <x v="4"/>
    <s v="NEW"/>
    <s v="2. Product &amp; Process Dev"/>
    <m/>
    <d v="2026-07-10T00:00:00"/>
    <m/>
    <s v="US"/>
    <s v="Pennsylvania"/>
    <x v="0"/>
    <x v="0"/>
    <m/>
    <m/>
    <x v="6"/>
    <x v="20"/>
    <n v="2908"/>
    <n v="2908"/>
    <x v="18"/>
    <x v="1"/>
    <m/>
    <m/>
    <d v="2027-03-05T00:00:00"/>
    <d v="2027-03-05T00:00:00"/>
    <x v="34"/>
    <x v="46"/>
    <s v="In Progress"/>
    <d v="2027-10-22T00:00:00"/>
    <m/>
    <s v="In Progress"/>
    <m/>
    <m/>
    <m/>
    <m/>
    <m/>
    <s v="In Progress"/>
    <m/>
    <m/>
    <s v="N/A"/>
    <m/>
    <m/>
    <s v="N/A"/>
    <m/>
    <m/>
    <s v="COM Pending"/>
    <m/>
    <m/>
    <s v="Active"/>
    <s v="Yes"/>
    <s v="NPI: In progress: Drawing, Veneer/Wood, Metal; Fabric is com pending; need approval by 22-Oct-27 for SW10"/>
    <m/>
  </r>
  <r>
    <x v="1"/>
    <x v="0"/>
    <x v="11"/>
    <m/>
    <x v="22"/>
    <s v="MJM"/>
    <s v="CABIN PROJECT"/>
    <x v="111"/>
    <n v="1"/>
    <x v="7"/>
    <s v="NEW"/>
    <s v="2. Product &amp; Process Dev"/>
    <m/>
    <m/>
    <m/>
    <s v="US"/>
    <m/>
    <x v="1"/>
    <x v="1"/>
    <m/>
    <m/>
    <x v="21"/>
    <x v="35"/>
    <n v="371000"/>
    <n v="185500"/>
    <x v="12"/>
    <x v="1"/>
    <m/>
    <m/>
    <d v="2027-01-22T00:00:00"/>
    <d v="2027-01-22T00:00:00"/>
    <x v="8"/>
    <x v="8"/>
    <s v="In Progress"/>
    <m/>
    <m/>
    <m/>
    <m/>
    <m/>
    <m/>
    <m/>
    <m/>
    <m/>
    <m/>
    <m/>
    <m/>
    <m/>
    <m/>
    <m/>
    <m/>
    <m/>
    <m/>
    <m/>
    <m/>
    <s v="Complete"/>
    <m/>
    <s v="NPI: In progress: Drawing for SW04"/>
    <m/>
  </r>
  <r>
    <x v="1"/>
    <x v="0"/>
    <x v="11"/>
    <m/>
    <x v="22"/>
    <s v="MJM"/>
    <s v="CABIN PROJECT"/>
    <x v="111"/>
    <n v="0"/>
    <x v="7"/>
    <s v="NEW"/>
    <s v="2. Product &amp; Process Dev"/>
    <m/>
    <m/>
    <m/>
    <s v="US"/>
    <m/>
    <x v="1"/>
    <x v="1"/>
    <m/>
    <m/>
    <x v="21"/>
    <x v="35"/>
    <n v="371000"/>
    <n v="185500"/>
    <x v="18"/>
    <x v="1"/>
    <m/>
    <m/>
    <d v="2027-01-08T00:00:00"/>
    <d v="2027-02-26T00:00:00"/>
    <x v="14"/>
    <x v="47"/>
    <s v="In Progress"/>
    <m/>
    <m/>
    <m/>
    <m/>
    <m/>
    <m/>
    <m/>
    <m/>
    <m/>
    <m/>
    <m/>
    <m/>
    <m/>
    <m/>
    <m/>
    <m/>
    <m/>
    <m/>
    <m/>
    <m/>
    <s v="Complete"/>
    <m/>
    <s v="NPI: In progress: Drawing for SW09"/>
    <m/>
  </r>
  <r>
    <x v="0"/>
    <x v="1"/>
    <x v="5"/>
    <s v="Madison Lay"/>
    <x v="0"/>
    <s v="RH"/>
    <s v="OPS-0069737 TRIBECA CONDOS - VANITIES"/>
    <x v="112"/>
    <n v="1"/>
    <x v="8"/>
    <s v="NEW"/>
    <s v="1. Preliminary Design"/>
    <d v="2026-09-04T00:00:00"/>
    <m/>
    <m/>
    <s v="US"/>
    <s v="NY"/>
    <x v="1"/>
    <x v="1"/>
    <m/>
    <m/>
    <x v="4"/>
    <x v="16"/>
    <n v="4632.5600000000004"/>
    <n v="4632.5600000000004"/>
    <x v="15"/>
    <x v="0"/>
    <m/>
    <m/>
    <d v="2026-12-11T00:00:00"/>
    <d v="2026-12-11T00:00:00"/>
    <x v="29"/>
    <x v="10"/>
    <s v="In Progress"/>
    <m/>
    <m/>
    <s v="Not Started"/>
    <m/>
    <m/>
    <s v="Not Started"/>
    <m/>
    <m/>
    <s v="In Progress"/>
    <m/>
    <m/>
    <s v="N/A"/>
    <m/>
    <m/>
    <s v="N/A"/>
    <m/>
    <m/>
    <s v="N/A"/>
    <m/>
    <m/>
    <s v="Complete"/>
    <m/>
    <e v="#REF!"/>
    <m/>
  </r>
  <r>
    <x v="0"/>
    <x v="0"/>
    <x v="5"/>
    <s v="Madison Lay"/>
    <x v="0"/>
    <s v="RH"/>
    <s v="OPS-0069737 TRIBECA CONDOS - VANITIES"/>
    <x v="112"/>
    <n v="1"/>
    <x v="8"/>
    <s v="NEW"/>
    <s v="1. Preliminary Design"/>
    <d v="2026-09-01T00:00:00"/>
    <m/>
    <m/>
    <s v="US"/>
    <s v="NY"/>
    <x v="1"/>
    <x v="1"/>
    <m/>
    <m/>
    <x v="28"/>
    <x v="36"/>
    <n v="38099.789999999994"/>
    <n v="38099.789999999994"/>
    <x v="13"/>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3"/>
    <n v="1"/>
    <x v="4"/>
    <s v="NEW"/>
    <s v="2. Product &amp; Process Dev"/>
    <d v="2026-09-10T00:00:00"/>
    <d v="2026-10-09T00:00:00"/>
    <s v="Pending Deposit"/>
    <s v="US"/>
    <m/>
    <x v="9"/>
    <x v="10"/>
    <m/>
    <m/>
    <x v="37"/>
    <x v="37"/>
    <n v="70241.840000000011"/>
    <n v="27000"/>
    <x v="12"/>
    <x v="1"/>
    <d v="2027-01-15T00:00:00"/>
    <d v="2027-01-15T00:00:00"/>
    <d v="2027-01-29T00:00:00"/>
    <d v="2027-01-29T00:00:00"/>
    <x v="13"/>
    <x v="12"/>
    <s v="In Progress"/>
    <d v="2026-10-23T00:00:00"/>
    <m/>
    <s v="In Progress"/>
    <m/>
    <m/>
    <m/>
    <m/>
    <m/>
    <s v="In Progress"/>
    <m/>
    <m/>
    <s v="In Progress"/>
    <m/>
    <m/>
    <s v="In Progress"/>
    <m/>
    <m/>
    <s v="N/A"/>
    <m/>
    <m/>
    <s v="Active"/>
    <m/>
    <s v="NPI: In progress: Drawing, Veneer/Wood, Metal, Mirror, Electrical; need approval by 23-Oct-26 for SW05"/>
    <m/>
  </r>
  <r>
    <x v="1"/>
    <x v="0"/>
    <x v="3"/>
    <m/>
    <x v="23"/>
    <s v="MV"/>
    <s v="CLEVELAND CLINIC"/>
    <x v="113"/>
    <n v="0"/>
    <x v="4"/>
    <s v="NEW"/>
    <s v="2. Product &amp; Process Dev"/>
    <d v="2026-09-10T00:00:00"/>
    <d v="2026-10-09T00:00:00"/>
    <m/>
    <s v="US"/>
    <m/>
    <x v="9"/>
    <x v="10"/>
    <m/>
    <m/>
    <x v="37"/>
    <x v="37"/>
    <n v="70241.840000000011"/>
    <n v="43241.840000000011"/>
    <x v="18"/>
    <x v="1"/>
    <d v="2027-01-15T00:00:00"/>
    <d v="2027-01-15T00:00:00"/>
    <d v="2027-02-26T00:00:00"/>
    <d v="2027-03-19T00:00:00"/>
    <x v="45"/>
    <x v="48"/>
    <s v="In Progress"/>
    <d v="2026-10-23T00:00:00"/>
    <m/>
    <s v="In Progress"/>
    <m/>
    <m/>
    <m/>
    <m/>
    <m/>
    <s v="In Progress"/>
    <m/>
    <m/>
    <s v="In Progress"/>
    <m/>
    <m/>
    <s v="In Progress"/>
    <m/>
    <m/>
    <s v="N/A"/>
    <m/>
    <m/>
    <s v="Active"/>
    <m/>
    <s v="NPI: In progress: Drawing, Veneer/Wood, Metal, Mirror, Electrical; need approval by 23-Oct-26 for SW12"/>
    <m/>
  </r>
  <r>
    <x v="1"/>
    <x v="0"/>
    <x v="3"/>
    <m/>
    <x v="23"/>
    <s v="MV"/>
    <s v="CLEVELAND CLINIC-PHASE 2"/>
    <x v="114"/>
    <n v="1"/>
    <x v="4"/>
    <s v="NEW"/>
    <s v="2. Product &amp; Process Dev"/>
    <d v="2026-10-13T00:00:00"/>
    <m/>
    <s v="Pending Deposit"/>
    <s v="US"/>
    <m/>
    <x v="13"/>
    <x v="17"/>
    <m/>
    <m/>
    <x v="38"/>
    <x v="38"/>
    <n v="169552.37000000002"/>
    <n v="169552.37000000002"/>
    <x v="5"/>
    <x v="1"/>
    <d v="2027-01-15T00:00:00"/>
    <d v="2027-01-15T00:00:00"/>
    <d v="2027-04-09T00:00:00"/>
    <d v="2027-05-28T00:00:00"/>
    <x v="15"/>
    <x v="49"/>
    <s v="In Progress"/>
    <m/>
    <m/>
    <s v="In Progress"/>
    <m/>
    <m/>
    <s v="In Progress"/>
    <m/>
    <m/>
    <s v="In Progress"/>
    <m/>
    <m/>
    <s v="In Progress"/>
    <m/>
    <m/>
    <s v="N/A"/>
    <m/>
    <m/>
    <s v="N/A"/>
    <m/>
    <m/>
    <s v="Active"/>
    <m/>
    <s v="NPI: In progress: Drawing, Veneer/Wood, Marble, Metal, Mirror for SW22"/>
    <m/>
  </r>
  <r>
    <x v="0"/>
    <x v="0"/>
    <x v="5"/>
    <s v="Sue Bilstad"/>
    <x v="0"/>
    <s v="RH"/>
    <s v="MONTAGE PENDRY BARBADOS"/>
    <x v="115"/>
    <n v="1"/>
    <x v="3"/>
    <s v="NEW"/>
    <s v="7. Mass Production"/>
    <d v="2026-06-08T00:00:00"/>
    <d v="2026-09-01T00:00:00"/>
    <m/>
    <s v="US"/>
    <s v="US"/>
    <x v="1"/>
    <x v="1"/>
    <m/>
    <m/>
    <x v="6"/>
    <x v="39"/>
    <n v="5839.5599999999995"/>
    <n v="5839.5599999999995"/>
    <x v="11"/>
    <x v="0"/>
    <m/>
    <m/>
    <d v="2026-11-20T00:00:00"/>
    <d v="2026-11-20T00:00:00"/>
    <x v="5"/>
    <x v="5"/>
    <s v="Approved"/>
    <m/>
    <d v="2026-08-20T00:00:00"/>
    <s v="Approved"/>
    <m/>
    <d v="2026-08-20T00:00:00"/>
    <s v="Approved"/>
    <m/>
    <m/>
    <s v="N/A"/>
    <m/>
    <m/>
    <s v="N/A"/>
    <m/>
    <m/>
    <s v="N/A"/>
    <m/>
    <m/>
    <s v="N/A"/>
    <m/>
    <m/>
    <s v="Active"/>
    <m/>
    <s v="NPI: All development items approved/closed for SW47"/>
    <m/>
  </r>
  <r>
    <x v="1"/>
    <x v="1"/>
    <x v="11"/>
    <m/>
    <x v="10"/>
    <s v="SPECTRUM"/>
    <s v="PROJECT 550 POCKET DOORS"/>
    <x v="116"/>
    <n v="1"/>
    <x v="1"/>
    <s v="NEW"/>
    <s v="2. Product &amp; Process Dev"/>
    <d v="2026-03-09T00:00:00"/>
    <d v="2026-10-11T00:00:00"/>
    <s v="Pending Deposit"/>
    <s v="US"/>
    <s v="US"/>
    <x v="1"/>
    <x v="1"/>
    <m/>
    <m/>
    <x v="6"/>
    <x v="5"/>
    <n v="730.3"/>
    <n v="730.3"/>
    <x v="11"/>
    <x v="0"/>
    <m/>
    <m/>
    <d v="2026-11-27T00:00:00"/>
    <d v="2026-11-27T00:00:00"/>
    <x v="46"/>
    <x v="28"/>
    <s v="In Progress"/>
    <d v="2027-10-15T00:00:00"/>
    <m/>
    <s v="Approved"/>
    <m/>
    <m/>
    <m/>
    <m/>
    <m/>
    <m/>
    <m/>
    <m/>
    <m/>
    <m/>
    <m/>
    <m/>
    <m/>
    <m/>
    <m/>
    <m/>
    <m/>
    <s v="Active"/>
    <m/>
    <s v="NPD: In progress: Drawing; need approval by 15-Oct-27 for SW48"/>
    <m/>
  </r>
  <r>
    <x v="0"/>
    <x v="0"/>
    <x v="11"/>
    <m/>
    <x v="0"/>
    <s v="RH"/>
    <s v=" FOUR SEASONS LAS VEGAS"/>
    <x v="117"/>
    <n v="1"/>
    <x v="1"/>
    <s v="NEW"/>
    <s v="1. Preliminary Design"/>
    <d v="2026-10-23T00:00:00"/>
    <s v="Pending PO "/>
    <m/>
    <s v="US"/>
    <s v="Nevada"/>
    <x v="0"/>
    <x v="0"/>
    <n v="32"/>
    <n v="19"/>
    <x v="39"/>
    <x v="40"/>
    <n v="313857"/>
    <n v="313857"/>
    <x v="6"/>
    <x v="1"/>
    <m/>
    <m/>
    <d v="2027-06-11T00:00:00"/>
    <d v="2027-06-25T00:00:00"/>
    <x v="47"/>
    <x v="1"/>
    <s v="In Progress"/>
    <m/>
    <m/>
    <s v="In Progress"/>
    <m/>
    <m/>
    <s v="N/A"/>
    <m/>
    <m/>
    <s v="Not Started"/>
    <m/>
    <m/>
    <s v="N/A"/>
    <m/>
    <m/>
    <s v="N/A"/>
    <m/>
    <m/>
    <s v="In Progress"/>
    <m/>
    <m/>
    <s v="Active"/>
    <m/>
    <s v="NPI: In progress: Drawing, Veneer/Wood, Fabric; Not started: Metal for SW26"/>
    <m/>
  </r>
  <r>
    <x v="0"/>
    <x v="0"/>
    <x v="3"/>
    <s v="Madison Lay"/>
    <x v="0"/>
    <s v="RH"/>
    <s v="LAKE OCONEE TENTS"/>
    <x v="118"/>
    <n v="1"/>
    <x v="1"/>
    <s v="NEW"/>
    <s v="1. Preliminary Design"/>
    <d v="2026-10-01T00:00:00"/>
    <s v="Pending PO "/>
    <m/>
    <s v="US"/>
    <s v="Georgia"/>
    <x v="10"/>
    <x v="18"/>
    <m/>
    <m/>
    <x v="19"/>
    <x v="41"/>
    <n v="38935.43"/>
    <n v="38935.43"/>
    <x v="12"/>
    <x v="1"/>
    <m/>
    <m/>
    <d v="2026-01-09T00:00:00"/>
    <d v="2026-01-09T00:00:00"/>
    <x v="38"/>
    <x v="39"/>
    <s v="In Progress"/>
    <m/>
    <s v="5/7: Submitted 26-Oct, pending approval_x000a_2/7: In progress, schedule to submit 29-Oct"/>
    <s v="In Progress"/>
    <d v="2026-10-06T00:00:00"/>
    <m/>
    <s v="N/A"/>
    <m/>
    <m/>
    <s v="In Progress"/>
    <d v="2026-10-06T00:00:00"/>
    <m/>
    <s v="N/A"/>
    <m/>
    <m/>
    <s v="Not Started"/>
    <m/>
    <m/>
    <s v="COM"/>
    <d v="2026-12-11T00:00:00"/>
    <m/>
    <s v="Active"/>
    <m/>
    <s v="NPI: In progress: Drawing, Veneer/Wood, Metal; Not started: Electrical; Fabric is com; need approval by 6-Oct-26 for SW02"/>
    <m/>
  </r>
  <r>
    <x v="1"/>
    <x v="0"/>
    <x v="14"/>
    <m/>
    <x v="18"/>
    <s v="BISCAYNE"/>
    <s v="MCO"/>
    <x v="119"/>
    <n v="1"/>
    <x v="4"/>
    <s v="NEW"/>
    <s v="1. Preliminary Design"/>
    <d v="2026-10-07T00:00:00"/>
    <d v="2026-10-05T00:00:00"/>
    <s v="Pending Deposit"/>
    <s v="US"/>
    <s v="Orlando, Florida"/>
    <x v="0"/>
    <x v="0"/>
    <m/>
    <m/>
    <x v="4"/>
    <x v="42"/>
    <n v="333776"/>
    <n v="333776"/>
    <x v="18"/>
    <x v="1"/>
    <m/>
    <m/>
    <d v="2027-03-05T00:00:00"/>
    <d v="2027-03-15T00:00:00"/>
    <x v="34"/>
    <x v="48"/>
    <s v="In Progress"/>
    <d v="2027-10-22T00:00:00"/>
    <m/>
    <s v="In Progress"/>
    <m/>
    <m/>
    <s v="N/A"/>
    <m/>
    <m/>
    <s v="In Progress"/>
    <m/>
    <m/>
    <s v="N/A"/>
    <m/>
    <m/>
    <s v="N/A"/>
    <m/>
    <m/>
    <s v="COM Pending"/>
    <m/>
    <m/>
    <s v="Active"/>
    <m/>
    <s v="NPI: In progress: Drawing, Veneer/Wood, Metal; Fabric is com pending; need approval by 22-Oct-27 for SW12"/>
    <m/>
  </r>
  <r>
    <x v="1"/>
    <x v="0"/>
    <x v="1"/>
    <m/>
    <x v="24"/>
    <s v="FAIRFIELD"/>
    <s v="WASHINGTON-DUKE"/>
    <x v="120"/>
    <n v="1"/>
    <x v="5"/>
    <s v="NEW"/>
    <s v="1. Preliminary Design"/>
    <m/>
    <m/>
    <m/>
    <s v="US"/>
    <s v="Washington DC"/>
    <x v="0"/>
    <x v="0"/>
    <m/>
    <m/>
    <x v="21"/>
    <x v="43"/>
    <n v="291481.96000000002"/>
    <n v="291481.96000000002"/>
    <x v="13"/>
    <x v="2"/>
    <m/>
    <m/>
    <s v="TBC"/>
    <s v="TBC"/>
    <x v="9"/>
    <x v="9"/>
    <s v="In Progress"/>
    <m/>
    <m/>
    <s v="In Progress"/>
    <m/>
    <m/>
    <m/>
    <m/>
    <m/>
    <m/>
    <m/>
    <m/>
    <m/>
    <m/>
    <m/>
    <m/>
    <m/>
    <m/>
    <m/>
    <m/>
    <m/>
    <s v="Active"/>
    <m/>
    <s v="NPI: In progress: Drawing, Veneer/Wood for SW TBC"/>
    <m/>
  </r>
  <r>
    <x v="1"/>
    <x v="1"/>
    <x v="1"/>
    <m/>
    <x v="24"/>
    <s v="FAIRFIELD"/>
    <s v="WASHINGTON-DUKE"/>
    <x v="121"/>
    <n v="1"/>
    <x v="1"/>
    <s v="NEW"/>
    <s v="1. Preliminary Design"/>
    <m/>
    <m/>
    <m/>
    <s v="US"/>
    <s v="Washington DC"/>
    <x v="0"/>
    <x v="0"/>
    <m/>
    <m/>
    <x v="21"/>
    <x v="0"/>
    <m/>
    <m/>
    <x v="12"/>
    <x v="1"/>
    <m/>
    <m/>
    <s v="TBC"/>
    <s v="TBC"/>
    <x v="9"/>
    <x v="9"/>
    <s v="Pending Approval"/>
    <m/>
    <m/>
    <s v="In Progress"/>
    <m/>
    <m/>
    <m/>
    <m/>
    <m/>
    <m/>
    <m/>
    <m/>
    <m/>
    <m/>
    <m/>
    <m/>
    <m/>
    <m/>
    <m/>
    <m/>
    <m/>
    <s v="Active"/>
    <m/>
    <s v="NPD: In progress: Veneer/Wood; Pending approval: Drawing for SW TBC"/>
    <m/>
  </r>
  <r>
    <x v="1"/>
    <x v="1"/>
    <x v="1"/>
    <m/>
    <x v="25"/>
    <s v="MONDO"/>
    <s v="LEXINGTON HOTEL"/>
    <x v="122"/>
    <n v="1"/>
    <x v="1"/>
    <s v="NEW"/>
    <s v="1. Preliminary Design"/>
    <m/>
    <m/>
    <m/>
    <s v="US"/>
    <s v="Lexington"/>
    <x v="0"/>
    <x v="0"/>
    <m/>
    <m/>
    <x v="7"/>
    <x v="0"/>
    <n v="14973.54"/>
    <n v="14973.54"/>
    <x v="12"/>
    <x v="1"/>
    <m/>
    <m/>
    <s v="TBC"/>
    <s v="TBC"/>
    <x v="9"/>
    <x v="9"/>
    <s v="In Progress"/>
    <m/>
    <m/>
    <s v="In Progress"/>
    <m/>
    <m/>
    <m/>
    <m/>
    <m/>
    <m/>
    <m/>
    <m/>
    <m/>
    <m/>
    <m/>
    <m/>
    <m/>
    <m/>
    <m/>
    <m/>
    <m/>
    <s v="Active"/>
    <m/>
    <s v="NPD: In progress: Drawing, Veneer/Wood for SW TBC"/>
    <m/>
  </r>
  <r>
    <x v="0"/>
    <x v="0"/>
    <x v="8"/>
    <m/>
    <x v="0"/>
    <s v="RH"/>
    <s v="CABOT HILLSIDE HOMES "/>
    <x v="123"/>
    <n v="1"/>
    <x v="1"/>
    <s v="REO"/>
    <s v="5. Production Readiness"/>
    <d v="2026-10-20T00:00:00"/>
    <s v="Pending PO "/>
    <m/>
    <s v="US"/>
    <s v="Canada"/>
    <x v="14"/>
    <x v="19"/>
    <m/>
    <m/>
    <x v="16"/>
    <x v="44"/>
    <n v="19342.43"/>
    <n v="19342.43"/>
    <x v="12"/>
    <x v="1"/>
    <m/>
    <m/>
    <d v="2026-01-30T00:00:00"/>
    <d v="2026-01-30T00:00:00"/>
    <x v="48"/>
    <x v="50"/>
    <s v="In Progress"/>
    <d v="2026-11-20T00:00:00"/>
    <m/>
    <s v="In Progress"/>
    <m/>
    <m/>
    <m/>
    <m/>
    <m/>
    <m/>
    <m/>
    <m/>
    <m/>
    <m/>
    <m/>
    <m/>
    <m/>
    <m/>
    <m/>
    <m/>
    <m/>
    <s v="Active"/>
    <m/>
    <s v="NPI: In progress: Drawing, Veneer/Wood; need approval by 20-Nov-26 for SW05"/>
    <s v="RSC is reviewing old drawing to see if there's any update needed."/>
  </r>
  <r>
    <x v="1"/>
    <x v="1"/>
    <x v="14"/>
    <m/>
    <x v="18"/>
    <s v="BISCAYNE"/>
    <s v="PZT"/>
    <x v="124"/>
    <n v="1"/>
    <x v="1"/>
    <s v="NEW"/>
    <s v="1. Preliminary Design"/>
    <d v="2026-10-23T00:00:00"/>
    <m/>
    <m/>
    <s v="US"/>
    <m/>
    <x v="0"/>
    <x v="0"/>
    <m/>
    <m/>
    <x v="4"/>
    <x v="16"/>
    <n v="2799.06"/>
    <n v="2799.06"/>
    <x v="12"/>
    <x v="1"/>
    <m/>
    <m/>
    <d v="2026-01-16T00:00:00"/>
    <d v="2026-01-16T00:00:00"/>
    <x v="49"/>
    <x v="51"/>
    <s v="Not Started"/>
    <m/>
    <m/>
    <s v="Not Started"/>
    <m/>
    <m/>
    <m/>
    <m/>
    <m/>
    <m/>
    <m/>
    <m/>
    <m/>
    <m/>
    <m/>
    <m/>
    <m/>
    <m/>
    <m/>
    <m/>
    <m/>
    <s v="Active"/>
    <m/>
    <s v="NPD: Not started: Drawing, Veneer/Wood for SW03"/>
    <m/>
  </r>
  <r>
    <x v="1"/>
    <x v="0"/>
    <x v="14"/>
    <m/>
    <x v="18"/>
    <s v="BISCAYNE"/>
    <s v="PZT"/>
    <x v="124"/>
    <n v="1"/>
    <x v="1"/>
    <s v="NEW"/>
    <s v="1. Preliminary Design"/>
    <d v="2026-10-23T00:00:00"/>
    <m/>
    <m/>
    <s v="US"/>
    <m/>
    <x v="0"/>
    <x v="0"/>
    <m/>
    <m/>
    <x v="4"/>
    <x v="45"/>
    <n v="3778731"/>
    <n v="1259577"/>
    <x v="10"/>
    <x v="1"/>
    <m/>
    <m/>
    <d v="2027-07-02T00:00:00"/>
    <d v="2027-09-17T00:00:00"/>
    <x v="4"/>
    <x v="52"/>
    <s v="In Progress"/>
    <m/>
    <m/>
    <s v="Not Started"/>
    <m/>
    <m/>
    <m/>
    <m/>
    <m/>
    <m/>
    <m/>
    <m/>
    <m/>
    <m/>
    <m/>
    <m/>
    <m/>
    <m/>
    <m/>
    <m/>
    <m/>
    <s v="Active"/>
    <m/>
    <s v="NPI: In progress: Drawing; Not started: Veneer/Wood for SW38"/>
    <m/>
  </r>
  <r>
    <x v="1"/>
    <x v="0"/>
    <x v="14"/>
    <m/>
    <x v="18"/>
    <s v="BISCAYNE"/>
    <s v="PZT"/>
    <x v="124"/>
    <n v="0"/>
    <x v="1"/>
    <s v="NEW"/>
    <s v="1. Preliminary Design"/>
    <d v="2026-10-23T00:00:00"/>
    <m/>
    <m/>
    <s v="US"/>
    <m/>
    <x v="0"/>
    <x v="0"/>
    <m/>
    <m/>
    <x v="4"/>
    <x v="45"/>
    <n v="3778731"/>
    <n v="1259577"/>
    <x v="24"/>
    <x v="1"/>
    <m/>
    <m/>
    <d v="2027-07-02T00:00:00"/>
    <d v="2027-09-17T00:00:00"/>
    <x v="4"/>
    <x v="52"/>
    <s v="In Progress"/>
    <m/>
    <m/>
    <s v="Not Started"/>
    <m/>
    <m/>
    <m/>
    <m/>
    <m/>
    <m/>
    <m/>
    <m/>
    <m/>
    <m/>
    <m/>
    <m/>
    <m/>
    <m/>
    <m/>
    <m/>
    <m/>
    <s v="Active"/>
    <m/>
    <s v="NPI: In progress: Drawing; Not started: Veneer/Wood for SW38"/>
    <m/>
  </r>
  <r>
    <x v="1"/>
    <x v="0"/>
    <x v="14"/>
    <m/>
    <x v="18"/>
    <s v="BISCAYNE"/>
    <s v="PZT"/>
    <x v="124"/>
    <n v="0"/>
    <x v="1"/>
    <s v="NEW"/>
    <s v="1. Preliminary Design"/>
    <d v="2026-10-23T00:00:00"/>
    <m/>
    <m/>
    <s v="US"/>
    <m/>
    <x v="0"/>
    <x v="0"/>
    <m/>
    <m/>
    <x v="4"/>
    <x v="45"/>
    <n v="3778731"/>
    <n v="1259577"/>
    <x v="22"/>
    <x v="1"/>
    <m/>
    <m/>
    <d v="2027-07-02T00:00:00"/>
    <d v="2027-09-17T00:00:00"/>
    <x v="4"/>
    <x v="52"/>
    <s v="In Progress"/>
    <m/>
    <m/>
    <s v="Not Started"/>
    <m/>
    <m/>
    <m/>
    <m/>
    <m/>
    <m/>
    <m/>
    <m/>
    <m/>
    <m/>
    <m/>
    <m/>
    <m/>
    <m/>
    <m/>
    <m/>
    <m/>
    <s v="Active"/>
    <m/>
    <s v="NPI: In progress: Drawing; Not started: Veneer/Wood for SW38"/>
    <m/>
  </r>
  <r>
    <x v="4"/>
    <x v="2"/>
    <x v="16"/>
    <m/>
    <x v="26"/>
    <m/>
    <m/>
    <x v="125"/>
    <n v="0"/>
    <x v="11"/>
    <m/>
    <m/>
    <m/>
    <m/>
    <m/>
    <m/>
    <m/>
    <x v="0"/>
    <x v="0"/>
    <m/>
    <m/>
    <x v="33"/>
    <x v="0"/>
    <m/>
    <m/>
    <x v="19"/>
    <x v="4"/>
    <m/>
    <m/>
    <m/>
    <m/>
    <x v="19"/>
    <x v="17"/>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7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3"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9">
        <item m="1" x="129"/>
        <item x="24"/>
        <item x="15"/>
        <item x="28"/>
        <item x="30"/>
        <item x="46"/>
        <item x="32"/>
        <item x="34"/>
        <item x="40"/>
        <item x="38"/>
        <item x="41"/>
        <item x="6"/>
        <item x="3"/>
        <item x="5"/>
        <item x="4"/>
        <item x="14"/>
        <item x="18"/>
        <item x="21"/>
        <item x="96"/>
        <item x="97"/>
        <item x="98"/>
        <item x="36"/>
        <item x="49"/>
        <item x="50"/>
        <item x="108"/>
        <item x="107"/>
        <item x="105"/>
        <item x="106"/>
        <item x="119"/>
        <item x="110"/>
        <item x="80"/>
        <item x="124"/>
        <item x="101"/>
        <item x="102"/>
        <item x="109"/>
        <item x="45"/>
        <item x="65"/>
        <item x="88"/>
        <item x="25"/>
        <item x="121"/>
        <item x="57"/>
        <item x="92"/>
        <item x="75"/>
        <item x="29"/>
        <item x="60"/>
        <item x="103"/>
        <item x="70"/>
        <item x="59"/>
        <item x="69"/>
        <item m="1" x="137"/>
        <item x="74"/>
        <item x="78"/>
        <item x="61"/>
        <item x="62"/>
        <item x="35"/>
        <item x="33"/>
        <item x="26"/>
        <item x="27"/>
        <item x="47"/>
        <item x="76"/>
        <item x="37"/>
        <item m="1" x="136"/>
        <item x="111"/>
        <item m="1" x="135"/>
        <item m="1" x="133"/>
        <item x="39"/>
        <item x="122"/>
        <item x="113"/>
        <item x="114"/>
        <item x="63"/>
        <item x="117"/>
        <item x="94"/>
        <item x="93"/>
        <item x="100"/>
        <item m="1" x="134"/>
        <item x="58"/>
        <item x="79"/>
        <item x="123"/>
        <item x="82"/>
        <item x="7"/>
        <item x="68"/>
        <item x="87"/>
        <item x="66"/>
        <item x="89"/>
        <item x="99"/>
        <item x="90"/>
        <item x="104"/>
        <item x="83"/>
        <item x="86"/>
        <item x="1"/>
        <item x="0"/>
        <item x="2"/>
        <item x="67"/>
        <item x="8"/>
        <item x="9"/>
        <item x="77"/>
        <item x="118"/>
        <item x="85"/>
        <item m="1" x="132"/>
        <item x="23"/>
        <item x="115"/>
        <item x="73"/>
        <item x="84"/>
        <item x="10"/>
        <item x="11"/>
        <item x="112"/>
        <item x="12"/>
        <item x="53"/>
        <item x="64"/>
        <item x="13"/>
        <item x="16"/>
        <item x="91"/>
        <item x="22"/>
        <item x="17"/>
        <item x="19"/>
        <item x="20"/>
        <item x="71"/>
        <item m="1" x="131"/>
        <item x="54"/>
        <item x="43"/>
        <item x="95"/>
        <item x="42"/>
        <item x="48"/>
        <item x="56"/>
        <item x="116"/>
        <item x="31"/>
        <item x="72"/>
        <item x="52"/>
        <item x="44"/>
        <item x="51"/>
        <item m="1" x="126"/>
        <item x="81"/>
        <item m="1" x="138"/>
        <item x="120"/>
        <item x="55"/>
        <item m="1" x="128"/>
        <item m="1" x="127"/>
        <item m="1" x="130"/>
        <item x="125"/>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9"/>
        <item x="3"/>
        <item x="7"/>
        <item x="5"/>
        <item x="0"/>
        <item x="2"/>
        <item x="8"/>
        <item x="10"/>
        <item x="11"/>
        <item x="12"/>
        <item x="13"/>
        <item x="14"/>
        <item x="15"/>
        <item x="16"/>
        <item x="17"/>
        <item x="18"/>
        <item x="19"/>
        <item x="20"/>
        <item x="22"/>
        <item x="23"/>
        <item x="24"/>
        <item x="25"/>
        <item x="26"/>
        <item x="27"/>
        <item x="28"/>
        <item x="29"/>
        <item x="30"/>
        <item m="1" x="40"/>
        <item x="33"/>
        <item x="34"/>
        <item x="21"/>
        <item x="35"/>
        <item x="36"/>
        <item m="1" x="41"/>
        <item x="31"/>
        <item x="37"/>
        <item x="39"/>
        <item x="32"/>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7"/>
        <item x="18"/>
        <item x="13"/>
        <item x="4"/>
        <item x="15"/>
        <item x="16"/>
        <item x="12"/>
        <item x="24"/>
        <item x="22"/>
        <item x="5"/>
        <item x="6"/>
        <item x="10"/>
        <item x="19"/>
        <item m="1" x="27"/>
        <item x="20"/>
        <item x="21"/>
        <item x="26"/>
      </items>
    </pivotField>
    <pivotField name="YEAR" axis="axisCol" compact="0" outline="0" subtotalTop="0" showAll="0" defaultSubtotal="0">
      <items count="8">
        <item x="0"/>
        <item h="1" x="1"/>
        <item h="1" x="2"/>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0">
    <i>
      <x/>
      <x/>
      <x v="1"/>
      <x/>
      <x v="12"/>
    </i>
    <i r="2">
      <x v="2"/>
      <x/>
      <x/>
    </i>
    <i r="2">
      <x v="12"/>
      <x/>
      <x v="6"/>
    </i>
    <i r="2">
      <x v="13"/>
      <x/>
      <x v="3"/>
    </i>
    <i r="2">
      <x v="14"/>
      <x/>
      <x v="7"/>
    </i>
    <i r="2">
      <x v="76"/>
      <x/>
      <x/>
    </i>
    <i r="2">
      <x v="78"/>
      <x/>
      <x/>
    </i>
    <i r="2">
      <x v="88"/>
      <x/>
      <x/>
    </i>
    <i r="2">
      <x v="89"/>
      <x/>
      <x v="6"/>
    </i>
    <i r="2">
      <x v="90"/>
      <x/>
      <x v="6"/>
    </i>
    <i r="2">
      <x v="93"/>
      <x/>
      <x/>
    </i>
    <i r="2">
      <x v="95"/>
      <x/>
      <x/>
    </i>
    <i r="2">
      <x v="99"/>
      <x/>
      <x/>
    </i>
    <i r="2">
      <x v="103"/>
      <x/>
      <x v="4"/>
    </i>
    <i r="2">
      <x v="108"/>
      <x/>
      <x v="1"/>
    </i>
    <i r="2">
      <x v="109"/>
      <x/>
      <x/>
    </i>
    <i r="2">
      <x v="114"/>
      <x/>
      <x v="5"/>
    </i>
    <i r="2">
      <x v="118"/>
      <x/>
      <x v="12"/>
    </i>
    <i t="sum" r="1">
      <x/>
    </i>
    <i r="1">
      <x v="1"/>
      <x v="3"/>
      <x/>
      <x v="16"/>
    </i>
    <i r="2">
      <x v="4"/>
      <x/>
      <x v="18"/>
    </i>
    <i r="2">
      <x v="6"/>
      <x/>
      <x v="19"/>
    </i>
    <i r="2">
      <x v="9"/>
      <x/>
      <x v="21"/>
    </i>
    <i r="2">
      <x v="10"/>
      <x/>
      <x v="24"/>
    </i>
    <i r="2">
      <x v="38"/>
      <x/>
      <x v="13"/>
    </i>
    <i r="2">
      <x v="44"/>
      <x/>
      <x v="18"/>
    </i>
    <i r="2">
      <x v="46"/>
      <x/>
      <x v="1"/>
    </i>
    <i r="2">
      <x v="52"/>
      <x/>
      <x v="19"/>
    </i>
    <i r="2">
      <x v="55"/>
      <x/>
      <x v="7"/>
    </i>
    <i r="2">
      <x v="56"/>
      <x/>
      <x v="14"/>
    </i>
    <i r="2">
      <x v="65"/>
      <x/>
      <x v="22"/>
    </i>
    <i r="2">
      <x v="69"/>
      <x/>
      <x v="24"/>
    </i>
    <i r="2">
      <x v="121"/>
      <x/>
      <x v="25"/>
    </i>
    <i r="2">
      <x v="126"/>
      <x/>
      <x v="34"/>
    </i>
    <i r="2">
      <x v="128"/>
      <x/>
      <x v="26"/>
    </i>
    <i r="2">
      <x v="129"/>
      <x/>
      <x v="5"/>
    </i>
    <i t="sum" r="1">
      <x v="1"/>
    </i>
    <i r="1">
      <x v="3"/>
      <x v="60"/>
      <x/>
      <x v="2"/>
    </i>
    <i t="sum" r="1">
      <x v="3"/>
    </i>
    <i r="1">
      <x v="4"/>
      <x v="119"/>
      <x/>
      <x v="18"/>
    </i>
    <i t="sum" r="1">
      <x v="4"/>
    </i>
    <i t="sum">
      <x/>
    </i>
    <i>
      <x v="1"/>
      <x/>
      <x v="16"/>
      <x/>
      <x v="9"/>
    </i>
    <i r="2">
      <x v="71"/>
      <x/>
      <x/>
    </i>
    <i r="2">
      <x v="94"/>
      <x/>
      <x/>
    </i>
    <i r="2">
      <x v="100"/>
      <x/>
      <x/>
    </i>
    <i r="2">
      <x v="103"/>
      <x/>
      <x v="4"/>
    </i>
    <i t="sum" r="1">
      <x/>
    </i>
    <i r="1">
      <x v="1"/>
      <x v="7"/>
      <x/>
      <x v="7"/>
    </i>
    <i r="2">
      <x v="18"/>
      <x/>
      <x v="18"/>
    </i>
    <i r="2">
      <x v="19"/>
      <x/>
      <x v="1"/>
    </i>
    <i r="2">
      <x v="20"/>
      <x/>
      <x v="28"/>
    </i>
    <i r="2">
      <x v="45"/>
      <x/>
      <x/>
    </i>
    <i r="2">
      <x v="47"/>
      <x/>
      <x v="33"/>
    </i>
    <i r="2">
      <x v="50"/>
      <x/>
      <x v="28"/>
    </i>
    <i r="2">
      <x v="54"/>
      <x/>
      <x v="32"/>
    </i>
    <i r="2">
      <x v="59"/>
      <x/>
      <x v="8"/>
    </i>
    <i t="sum" r="1">
      <x v="1"/>
    </i>
    <i t="sum">
      <x v="1"/>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1333">
      <pivotArea dataOnly="0" outline="0" fieldPosition="0">
        <references count="1">
          <reference field="9" count="0" sumSubtotal="1"/>
        </references>
      </pivotArea>
    </format>
    <format dxfId="1332">
      <pivotArea dataOnly="0" outline="0" fieldPosition="0">
        <references count="1">
          <reference field="9" count="0" sumSubtotal="1"/>
        </references>
      </pivotArea>
    </format>
    <format dxfId="1331">
      <pivotArea field="1" type="button" dataOnly="0" labelOnly="1" outline="0" axis="axisRow" fieldPosition="3"/>
    </format>
    <format dxfId="1330">
      <pivotArea field="9" type="button" dataOnly="0" labelOnly="1" outline="0" axis="axisRow" fieldPosition="0"/>
    </format>
    <format dxfId="1329">
      <pivotArea field="7" type="button" dataOnly="0" labelOnly="1" outline="0" axis="axisRow" fieldPosition="2"/>
    </format>
    <format dxfId="1328">
      <pivotArea field="0" type="button" dataOnly="0" labelOnly="1" outline="0" axis="axisRow" fieldPosition="1"/>
    </format>
    <format dxfId="1327">
      <pivotArea dataOnly="0" labelOnly="1" grandCol="1" outline="0" fieldPosition="0"/>
    </format>
    <format dxfId="1326">
      <pivotArea field="1" type="button" dataOnly="0" labelOnly="1" outline="0" axis="axisRow" fieldPosition="3"/>
    </format>
    <format dxfId="1325">
      <pivotArea field="9" type="button" dataOnly="0" labelOnly="1" outline="0" axis="axisRow" fieldPosition="0"/>
    </format>
    <format dxfId="1324">
      <pivotArea field="7" type="button" dataOnly="0" labelOnly="1" outline="0" axis="axisRow" fieldPosition="2"/>
    </format>
    <format dxfId="1323">
      <pivotArea field="0" type="button" dataOnly="0" labelOnly="1" outline="0" axis="axisRow" fieldPosition="1"/>
    </format>
    <format dxfId="1322">
      <pivotArea dataOnly="0" labelOnly="1" grandCol="1" outline="0" fieldPosition="0"/>
    </format>
    <format dxfId="1321">
      <pivotArea field="21" type="button" dataOnly="0" labelOnly="1" outline="0" axis="axisRow" fieldPosition="4"/>
    </format>
    <format dxfId="1320">
      <pivotArea field="21" type="button" dataOnly="0" labelOnly="1" outline="0" axis="axisRow" fieldPosition="4"/>
    </format>
    <format dxfId="1319">
      <pivotArea field="1" type="button" dataOnly="0" labelOnly="1" outline="0" axis="axisRow" fieldPosition="3"/>
    </format>
    <format dxfId="1318">
      <pivotArea field="9" type="button" dataOnly="0" labelOnly="1" outline="0" axis="axisRow" fieldPosition="0"/>
    </format>
    <format dxfId="1317">
      <pivotArea field="7" type="button" dataOnly="0" labelOnly="1" outline="0" axis="axisRow" fieldPosition="2"/>
    </format>
    <format dxfId="1316">
      <pivotArea field="0" type="button" dataOnly="0" labelOnly="1" outline="0" axis="axisRow" fieldPosition="1"/>
    </format>
    <format dxfId="1315">
      <pivotArea field="21" type="button" dataOnly="0" labelOnly="1" outline="0" axis="axisRow" fieldPosition="4"/>
    </format>
    <format dxfId="1314">
      <pivotArea dataOnly="0" labelOnly="1" grandCol="1" outline="0" fieldPosition="0"/>
    </format>
    <format dxfId="1313">
      <pivotArea field="1" type="button" dataOnly="0" labelOnly="1" outline="0" axis="axisRow" fieldPosition="3"/>
    </format>
    <format dxfId="1312">
      <pivotArea field="9" type="button" dataOnly="0" labelOnly="1" outline="0" axis="axisRow" fieldPosition="0"/>
    </format>
    <format dxfId="1311">
      <pivotArea field="7" type="button" dataOnly="0" labelOnly="1" outline="0" axis="axisRow" fieldPosition="2"/>
    </format>
    <format dxfId="1310">
      <pivotArea field="0" type="button" dataOnly="0" labelOnly="1" outline="0" axis="axisRow" fieldPosition="1"/>
    </format>
    <format dxfId="1309">
      <pivotArea field="21" type="button" dataOnly="0" labelOnly="1" outline="0" axis="axisRow" fieldPosition="4"/>
    </format>
    <format dxfId="1308">
      <pivotArea dataOnly="0" labelOnly="1" grandCol="1" outline="0" fieldPosition="0"/>
    </format>
    <format dxfId="1307">
      <pivotArea field="1" type="button" dataOnly="0" labelOnly="1" outline="0" axis="axisRow" fieldPosition="3"/>
    </format>
    <format dxfId="1306">
      <pivotArea field="9" type="button" dataOnly="0" labelOnly="1" outline="0" axis="axisRow" fieldPosition="0"/>
    </format>
    <format dxfId="1305">
      <pivotArea field="7" type="button" dataOnly="0" labelOnly="1" outline="0" axis="axisRow" fieldPosition="2"/>
    </format>
    <format dxfId="1304">
      <pivotArea field="0" type="button" dataOnly="0" labelOnly="1" outline="0" axis="axisRow" fieldPosition="1"/>
    </format>
    <format dxfId="1303">
      <pivotArea field="21" type="button" dataOnly="0" labelOnly="1" outline="0" axis="axisRow" fieldPosition="4"/>
    </format>
    <format dxfId="1302">
      <pivotArea dataOnly="0" labelOnly="1" grandCol="1" outline="0" fieldPosition="0"/>
    </format>
    <format dxfId="1301">
      <pivotArea field="1" type="button" dataOnly="0" labelOnly="1" outline="0" axis="axisRow" fieldPosition="3"/>
    </format>
    <format dxfId="1300">
      <pivotArea field="9" type="button" dataOnly="0" labelOnly="1" outline="0" axis="axisRow" fieldPosition="0"/>
    </format>
    <format dxfId="1299">
      <pivotArea field="7" type="button" dataOnly="0" labelOnly="1" outline="0" axis="axisRow" fieldPosition="2"/>
    </format>
    <format dxfId="1298">
      <pivotArea field="0" type="button" dataOnly="0" labelOnly="1" outline="0" axis="axisRow" fieldPosition="1"/>
    </format>
    <format dxfId="1297">
      <pivotArea field="21" type="button" dataOnly="0" labelOnly="1" outline="0" axis="axisRow" fieldPosition="4"/>
    </format>
    <format dxfId="1296">
      <pivotArea dataOnly="0" labelOnly="1" grandCol="1" outline="0" fieldPosition="0"/>
    </format>
    <format dxfId="1295">
      <pivotArea outline="0" fieldPosition="0">
        <references count="1">
          <reference field="4294967294" count="1">
            <x v="0"/>
          </reference>
        </references>
      </pivotArea>
    </format>
    <format dxfId="1294">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53AE6C-095C-4B6B-90C1-7E5940EC5BEF}" name="PivotTable3" cacheId="7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I20" firstHeaderRow="1" firstDataRow="3" firstDataCol="5"/>
  <pivotFields count="58">
    <pivotField axis="axisRow" compact="0" outline="0" showAll="0" sumSubtotal="1">
      <items count="6">
        <item x="1"/>
        <item x="0"/>
        <item h="1" x="2"/>
        <item h="1" x="3"/>
        <item h="1" x="4"/>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x="72"/>
        <item x="73"/>
        <item x="74"/>
        <item x="17"/>
        <item x="51"/>
        <item x="75"/>
        <item x="76"/>
        <item x="77"/>
        <item x="14"/>
        <item x="64"/>
        <item x="78"/>
        <item x="79"/>
        <item x="80"/>
        <item x="81"/>
        <item x="82"/>
        <item x="83"/>
        <item x="84"/>
        <item x="86"/>
        <item x="87"/>
        <item x="88"/>
        <item x="89"/>
        <item x="90"/>
        <item x="91"/>
        <item x="92"/>
        <item x="93"/>
        <item x="94"/>
        <item x="95"/>
        <item x="96"/>
        <item x="97"/>
        <item x="98"/>
        <item x="100"/>
        <item x="101"/>
        <item x="102"/>
        <item x="2"/>
        <item x="0"/>
        <item x="103"/>
        <item x="104"/>
        <item x="105"/>
        <item x="107"/>
        <item x="109"/>
        <item x="110"/>
        <item x="112"/>
        <item x="99"/>
        <item x="113"/>
        <item x="111"/>
        <item x="85"/>
        <item x="115"/>
        <item x="71"/>
        <item x="116"/>
        <item x="106"/>
        <item x="108"/>
        <item x="11"/>
        <item x="9"/>
        <item x="35"/>
        <item x="117"/>
        <item m="1" x="127"/>
        <item x="119"/>
        <item x="120"/>
        <item x="121"/>
        <item m="1" x="128"/>
        <item x="118"/>
        <item x="122"/>
        <item x="36"/>
        <item x="125"/>
        <item m="1" x="129"/>
        <item m="1" x="130"/>
        <item m="1" x="131"/>
        <item m="1" x="132"/>
        <item m="1" x="133"/>
        <item m="1" x="134"/>
        <item m="1" x="135"/>
        <item m="1" x="136"/>
        <item m="1" x="137"/>
        <item m="1" x="138"/>
        <item x="114"/>
        <item x="123"/>
        <item x="62"/>
        <item x="124"/>
        <item x="20"/>
      </items>
    </pivotField>
    <pivotField compact="0" outline="0" showAll="0" defaultSubtotal="0"/>
    <pivotField axis="axisRow" compact="0" outline="0" showAll="0" defaultSubtotal="0">
      <items count="12">
        <item h="1" x="0"/>
        <item x="3"/>
        <item x="4"/>
        <item x="1"/>
        <item h="1" x="2"/>
        <item h="1" x="5"/>
        <item h="1" x="7"/>
        <item h="1" x="9"/>
        <item h="1" x="6"/>
        <item h="1" x="8"/>
        <item h="1" x="10"/>
        <item h="1" x="11"/>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x="32"/>
        <item x="39"/>
        <item m="1" x="41"/>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x="26"/>
        <item m="1" x="27"/>
      </items>
    </pivotField>
    <pivotField name="YEAR" axis="axisCol" compact="0" outline="0" subtotalTop="0" showAll="0" defaultSubtotal="0">
      <items count="8">
        <item x="0"/>
        <item h="1" x="2"/>
        <item h="1" x="1"/>
        <item h="1" m="1" x="6"/>
        <item h="1" x="4"/>
        <item h="1" x="5"/>
        <item h="1" x="3"/>
        <item h="1" m="1"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17">
    <i>
      <x/>
      <x v="31"/>
      <x v="1"/>
      <x v="1"/>
      <x v="8"/>
    </i>
    <i r="1">
      <x v="52"/>
      <x v="1"/>
      <x v="1"/>
      <x v="26"/>
    </i>
    <i r="1">
      <x v="62"/>
      <x v="1"/>
      <x v="1"/>
      <x v="22"/>
    </i>
    <i r="1">
      <x v="66"/>
      <x v="1"/>
      <x v="1"/>
      <x v="30"/>
    </i>
    <i r="1">
      <x v="87"/>
      <x v="1"/>
      <x v="1"/>
      <x v="13"/>
    </i>
    <i r="1">
      <x v="88"/>
      <x v="1"/>
      <x v="1"/>
      <x v="1"/>
    </i>
    <i r="1">
      <x v="89"/>
      <x v="1"/>
      <x v="1"/>
      <x v="22"/>
    </i>
    <i r="1">
      <x v="95"/>
      <x v="1"/>
      <x v="1"/>
      <x/>
    </i>
    <i r="1">
      <x v="113"/>
      <x v="1"/>
      <x v="1"/>
      <x v="24"/>
    </i>
    <i t="sum">
      <x/>
    </i>
    <i>
      <x v="1"/>
      <x v="9"/>
      <x v="1"/>
      <x v="1"/>
      <x v="3"/>
    </i>
    <i r="1">
      <x v="12"/>
      <x v="1"/>
      <x v="1"/>
      <x v="34"/>
    </i>
    <i r="1">
      <x v="85"/>
      <x v="1"/>
      <x v="1"/>
      <x/>
    </i>
    <i r="1">
      <x v="106"/>
      <x v="1"/>
      <x v="1"/>
      <x/>
    </i>
    <i r="1">
      <x v="112"/>
      <x v="1"/>
      <x v="1"/>
      <x/>
    </i>
    <i t="sum">
      <x v="1"/>
    </i>
    <i t="grand">
      <x/>
    </i>
  </rowItems>
  <colFields count="2">
    <field x="26"/>
    <field x="25"/>
  </colFields>
  <colItems count="4">
    <i>
      <x/>
      <x v="9"/>
    </i>
    <i r="1">
      <x v="10"/>
    </i>
    <i r="1">
      <x v="11"/>
    </i>
    <i t="grand">
      <x/>
    </i>
  </colItems>
  <dataFields count="1">
    <dataField name="VALUE" fld="24" baseField="20" baseItem="10" numFmtId="166"/>
  </dataFields>
  <formats count="117">
    <format dxfId="1187">
      <pivotArea dataOnly="0" outline="0" fieldPosition="0">
        <references count="1">
          <reference field="9" count="0" sumSubtotal="1"/>
        </references>
      </pivotArea>
    </format>
    <format dxfId="1186">
      <pivotArea dataOnly="0" outline="0" fieldPosition="0">
        <references count="1">
          <reference field="9" count="0" sumSubtotal="1"/>
        </references>
      </pivotArea>
    </format>
    <format dxfId="1185">
      <pivotArea field="1" type="button" dataOnly="0" labelOnly="1" outline="0" axis="axisRow" fieldPosition="2"/>
    </format>
    <format dxfId="1184">
      <pivotArea field="9" type="button" dataOnly="0" labelOnly="1" outline="0" axis="axisRow" fieldPosition="3"/>
    </format>
    <format dxfId="1183">
      <pivotArea field="7" type="button" dataOnly="0" labelOnly="1" outline="0" axis="axisRow" fieldPosition="1"/>
    </format>
    <format dxfId="1182">
      <pivotArea field="0" type="button" dataOnly="0" labelOnly="1" outline="0" axis="axisRow" fieldPosition="0"/>
    </format>
    <format dxfId="1181">
      <pivotArea dataOnly="0" labelOnly="1" grandCol="1" outline="0" fieldPosition="0"/>
    </format>
    <format dxfId="1180">
      <pivotArea field="1" type="button" dataOnly="0" labelOnly="1" outline="0" axis="axisRow" fieldPosition="2"/>
    </format>
    <format dxfId="1179">
      <pivotArea field="9" type="button" dataOnly="0" labelOnly="1" outline="0" axis="axisRow" fieldPosition="3"/>
    </format>
    <format dxfId="1178">
      <pivotArea field="7" type="button" dataOnly="0" labelOnly="1" outline="0" axis="axisRow" fieldPosition="1"/>
    </format>
    <format dxfId="1177">
      <pivotArea field="0" type="button" dataOnly="0" labelOnly="1" outline="0" axis="axisRow" fieldPosition="0"/>
    </format>
    <format dxfId="1176">
      <pivotArea dataOnly="0" labelOnly="1" grandCol="1" outline="0" fieldPosition="0"/>
    </format>
    <format dxfId="1175">
      <pivotArea field="1" type="button" dataOnly="0" labelOnly="1" outline="0" axis="axisRow" fieldPosition="2"/>
    </format>
    <format dxfId="1174">
      <pivotArea field="9" type="button" dataOnly="0" labelOnly="1" outline="0" axis="axisRow" fieldPosition="3"/>
    </format>
    <format dxfId="1173">
      <pivotArea field="7" type="button" dataOnly="0" labelOnly="1" outline="0" axis="axisRow" fieldPosition="1"/>
    </format>
    <format dxfId="1172">
      <pivotArea field="0" type="button" dataOnly="0" labelOnly="1" outline="0" axis="axisRow" fieldPosition="0"/>
    </format>
    <format dxfId="1171">
      <pivotArea dataOnly="0" labelOnly="1" grandCol="1" outline="0" fieldPosition="0"/>
    </format>
    <format dxfId="1170">
      <pivotArea field="21" type="button" dataOnly="0" labelOnly="1" outline="0" axis="axisRow" fieldPosition="4"/>
    </format>
    <format dxfId="1169">
      <pivotArea field="21" type="button" dataOnly="0" labelOnly="1" outline="0" axis="axisRow" fieldPosition="4"/>
    </format>
    <format dxfId="1168">
      <pivotArea type="all" dataOnly="0" outline="0" fieldPosition="0"/>
    </format>
    <format dxfId="1167">
      <pivotArea type="all" dataOnly="0" outline="0" fieldPosition="0"/>
    </format>
    <format dxfId="1166">
      <pivotArea outline="0" collapsedLevelsAreSubtotals="1" fieldPosition="0"/>
    </format>
    <format dxfId="1165">
      <pivotArea type="origin" dataOnly="0" labelOnly="1" outline="0" fieldPosition="0"/>
    </format>
    <format dxfId="1164">
      <pivotArea type="topRight" dataOnly="0" labelOnly="1" outline="0" fieldPosition="0"/>
    </format>
    <format dxfId="1163">
      <pivotArea field="1" type="button" dataOnly="0" labelOnly="1" outline="0" axis="axisRow" fieldPosition="2"/>
    </format>
    <format dxfId="1162">
      <pivotArea field="0" type="button" dataOnly="0" labelOnly="1" outline="0" axis="axisRow" fieldPosition="0"/>
    </format>
    <format dxfId="1161">
      <pivotArea field="9" type="button" dataOnly="0" labelOnly="1" outline="0" axis="axisRow" fieldPosition="3"/>
    </format>
    <format dxfId="1160">
      <pivotArea field="7" type="button" dataOnly="0" labelOnly="1" outline="0" axis="axisRow" fieldPosition="1"/>
    </format>
    <format dxfId="1159">
      <pivotArea field="21" type="button" dataOnly="0" labelOnly="1" outline="0" axis="axisRow" fieldPosition="4"/>
    </format>
    <format dxfId="1158">
      <pivotArea dataOnly="0" labelOnly="1" outline="0" fieldPosition="0">
        <references count="1">
          <reference field="1" count="0"/>
        </references>
      </pivotArea>
    </format>
    <format dxfId="1157">
      <pivotArea dataOnly="0" labelOnly="1" grandRow="1" outline="0" fieldPosition="0"/>
    </format>
    <format dxfId="1156">
      <pivotArea dataOnly="0" labelOnly="1" outline="0" fieldPosition="0">
        <references count="2">
          <reference field="0" count="0"/>
          <reference field="1" count="0" selected="0"/>
        </references>
      </pivotArea>
    </format>
    <format dxfId="1155">
      <pivotArea dataOnly="0" labelOnly="1" outline="0" fieldPosition="0">
        <references count="2">
          <reference field="0" count="0" sumSubtotal="1"/>
          <reference field="1" count="0" selected="0"/>
        </references>
      </pivotArea>
    </format>
    <format dxfId="1154">
      <pivotArea dataOnly="0" labelOnly="1" outline="0" fieldPosition="0">
        <references count="3">
          <reference field="0" count="1" selected="0">
            <x v="1"/>
          </reference>
          <reference field="1" count="0" selected="0"/>
          <reference field="9" count="0"/>
        </references>
      </pivotArea>
    </format>
    <format dxfId="1153">
      <pivotArea dataOnly="0" labelOnly="1" grandCol="1" outline="0" fieldPosition="0"/>
    </format>
    <format dxfId="1152">
      <pivotArea dataOnly="0" outline="0" fieldPosition="0">
        <references count="1">
          <reference field="9" count="0" sumSubtotal="1"/>
        </references>
      </pivotArea>
    </format>
    <format dxfId="1151">
      <pivotArea grandCol="1" outline="0" collapsedLevelsAreSubtotals="1" fieldPosition="0"/>
    </format>
    <format dxfId="1150">
      <pivotArea field="1" type="button" dataOnly="0" labelOnly="1" outline="0" axis="axisRow" fieldPosition="2"/>
    </format>
    <format dxfId="1149">
      <pivotArea field="0" type="button" dataOnly="0" labelOnly="1" outline="0" axis="axisRow" fieldPosition="0"/>
    </format>
    <format dxfId="1148">
      <pivotArea field="9" type="button" dataOnly="0" labelOnly="1" outline="0" axis="axisRow" fieldPosition="3"/>
    </format>
    <format dxfId="1147">
      <pivotArea field="7" type="button" dataOnly="0" labelOnly="1" outline="0" axis="axisRow" fieldPosition="1"/>
    </format>
    <format dxfId="1146">
      <pivotArea field="21" type="button" dataOnly="0" labelOnly="1" outline="0" axis="axisRow" fieldPosition="4"/>
    </format>
    <format dxfId="1145">
      <pivotArea dataOnly="0" labelOnly="1" grandCol="1" outline="0" fieldPosition="0"/>
    </format>
    <format dxfId="1144">
      <pivotArea field="1" type="button" dataOnly="0" labelOnly="1" outline="0" axis="axisRow" fieldPosition="2"/>
    </format>
    <format dxfId="1143">
      <pivotArea field="0" type="button" dataOnly="0" labelOnly="1" outline="0" axis="axisRow" fieldPosition="0"/>
    </format>
    <format dxfId="1142">
      <pivotArea field="9" type="button" dataOnly="0" labelOnly="1" outline="0" axis="axisRow" fieldPosition="3"/>
    </format>
    <format dxfId="1141">
      <pivotArea field="7" type="button" dataOnly="0" labelOnly="1" outline="0" axis="axisRow" fieldPosition="1"/>
    </format>
    <format dxfId="1140">
      <pivotArea field="21" type="button" dataOnly="0" labelOnly="1" outline="0" axis="axisRow" fieldPosition="4"/>
    </format>
    <format dxfId="1139">
      <pivotArea dataOnly="0" labelOnly="1" grandCol="1" outline="0" fieldPosition="0"/>
    </format>
    <format dxfId="1138">
      <pivotArea field="1" type="button" dataOnly="0" labelOnly="1" outline="0" axis="axisRow" fieldPosition="2"/>
    </format>
    <format dxfId="1137">
      <pivotArea field="0" type="button" dataOnly="0" labelOnly="1" outline="0" axis="axisRow" fieldPosition="0"/>
    </format>
    <format dxfId="1136">
      <pivotArea field="9" type="button" dataOnly="0" labelOnly="1" outline="0" axis="axisRow" fieldPosition="3"/>
    </format>
    <format dxfId="1135">
      <pivotArea field="7" type="button" dataOnly="0" labelOnly="1" outline="0" axis="axisRow" fieldPosition="1"/>
    </format>
    <format dxfId="1134">
      <pivotArea field="21" type="button" dataOnly="0" labelOnly="1" outline="0" axis="axisRow" fieldPosition="4"/>
    </format>
    <format dxfId="1133">
      <pivotArea dataOnly="0" labelOnly="1" grandCol="1" outline="0" fieldPosition="0"/>
    </format>
    <format dxfId="1132">
      <pivotArea field="1" type="button" dataOnly="0" labelOnly="1" outline="0" axis="axisRow" fieldPosition="2"/>
    </format>
    <format dxfId="1131">
      <pivotArea field="0" type="button" dataOnly="0" labelOnly="1" outline="0" axis="axisRow" fieldPosition="0"/>
    </format>
    <format dxfId="1130">
      <pivotArea field="9" type="button" dataOnly="0" labelOnly="1" outline="0" axis="axisRow" fieldPosition="3"/>
    </format>
    <format dxfId="1129">
      <pivotArea field="7" type="button" dataOnly="0" labelOnly="1" outline="0" axis="axisRow" fieldPosition="1"/>
    </format>
    <format dxfId="1128">
      <pivotArea field="21" type="button" dataOnly="0" labelOnly="1" outline="0" axis="axisRow" fieldPosition="4"/>
    </format>
    <format dxfId="1127">
      <pivotArea dataOnly="0" labelOnly="1" grandCol="1" outline="0" fieldPosition="0"/>
    </format>
    <format dxfId="1126">
      <pivotArea field="1" type="button" dataOnly="0" labelOnly="1" outline="0" axis="axisRow" fieldPosition="2"/>
    </format>
    <format dxfId="1125">
      <pivotArea field="0" type="button" dataOnly="0" labelOnly="1" outline="0" axis="axisRow" fieldPosition="0"/>
    </format>
    <format dxfId="1124">
      <pivotArea field="9" type="button" dataOnly="0" labelOnly="1" outline="0" axis="axisRow" fieldPosition="3"/>
    </format>
    <format dxfId="1123">
      <pivotArea field="7" type="button" dataOnly="0" labelOnly="1" outline="0" axis="axisRow" fieldPosition="1"/>
    </format>
    <format dxfId="1122">
      <pivotArea field="21" type="button" dataOnly="0" labelOnly="1" outline="0" axis="axisRow" fieldPosition="4"/>
    </format>
    <format dxfId="1121">
      <pivotArea dataOnly="0" labelOnly="1" grandCol="1" outline="0" fieldPosition="0"/>
    </format>
    <format dxfId="1120">
      <pivotArea outline="0" fieldPosition="0">
        <references count="1">
          <reference field="4294967294" count="1">
            <x v="0"/>
          </reference>
        </references>
      </pivotArea>
    </format>
    <format dxfId="1119">
      <pivotArea dataOnly="0" outline="0" fieldPosition="0">
        <references count="1">
          <reference field="9" count="1">
            <x v="0"/>
          </reference>
        </references>
      </pivotArea>
    </format>
    <format dxfId="1118">
      <pivotArea dataOnly="0" outline="0" fieldPosition="0">
        <references count="1">
          <reference field="9" count="1">
            <x v="1"/>
          </reference>
        </references>
      </pivotArea>
    </format>
    <format dxfId="1117">
      <pivotArea dataOnly="0" outline="0" fieldPosition="0">
        <references count="1">
          <reference field="9" count="1">
            <x v="3"/>
          </reference>
        </references>
      </pivotArea>
    </format>
    <format dxfId="1116">
      <pivotArea dataOnly="0" outline="0" fieldPosition="0">
        <references count="1">
          <reference field="9" count="1">
            <x v="2"/>
          </reference>
        </references>
      </pivotArea>
    </format>
    <format dxfId="1115">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114">
      <pivotArea dataOnly="0" labelOnly="1" outline="0" offset="IV7:IV11" fieldPosition="0">
        <references count="1">
          <reference field="0" count="1">
            <x v="0"/>
          </reference>
        </references>
      </pivotArea>
    </format>
    <format dxfId="1113">
      <pivotArea dataOnly="0" labelOnly="1" outline="0" fieldPosition="0">
        <references count="2">
          <reference field="0" count="1" selected="0">
            <x v="0"/>
          </reference>
          <reference field="7" count="4">
            <x v="26"/>
            <x v="27"/>
            <x v="30"/>
            <x v="31"/>
          </reference>
        </references>
      </pivotArea>
    </format>
    <format dxfId="1112">
      <pivotArea dataOnly="0" labelOnly="1" outline="0" offset="IV7:IV11" fieldPosition="0">
        <references count="3">
          <reference field="0" count="1" selected="0">
            <x v="0"/>
          </reference>
          <reference field="1" count="0"/>
          <reference field="7" count="1" selected="0">
            <x v="19"/>
          </reference>
        </references>
      </pivotArea>
    </format>
    <format dxfId="1111">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110">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10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108">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107">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10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105">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104">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103">
      <pivotArea field="0" grandCol="1" outline="0" axis="axisRow" fieldPosition="0">
        <references count="1">
          <reference field="0" count="1" selected="0" sumSubtotal="1">
            <x v="0"/>
          </reference>
        </references>
      </pivotArea>
    </format>
    <format dxfId="1102">
      <pivotArea field="0" grandCol="1" outline="0" axis="axisRow" fieldPosition="0">
        <references count="1">
          <reference field="0" count="1" selected="0" sumSubtotal="1">
            <x v="0"/>
          </reference>
        </references>
      </pivotArea>
    </format>
    <format dxfId="1101">
      <pivotArea outline="0" fieldPosition="0">
        <references count="1">
          <reference field="0" count="1" selected="0" sumSubtotal="1">
            <x v="0"/>
          </reference>
        </references>
      </pivotArea>
    </format>
    <format dxfId="1100">
      <pivotArea outline="0" fieldPosition="0">
        <references count="1">
          <reference field="0" count="1" selected="0" sumSubtotal="1">
            <x v="0"/>
          </reference>
        </references>
      </pivotArea>
    </format>
    <format dxfId="1099">
      <pivotArea field="0" grandCol="1" outline="0" axis="axisRow" fieldPosition="0">
        <references count="1">
          <reference field="0" count="1" selected="0" sumSubtotal="1">
            <x v="1"/>
          </reference>
        </references>
      </pivotArea>
    </format>
    <format dxfId="1098">
      <pivotArea field="0" grandCol="1" outline="0" axis="axisRow" fieldPosition="0">
        <references count="1">
          <reference field="0" count="1" selected="0" sumSubtotal="1">
            <x v="1"/>
          </reference>
        </references>
      </pivotArea>
    </format>
    <format dxfId="1097">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096">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095">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094">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093">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092">
      <pivotArea dataOnly="0" outline="0" fieldPosition="0">
        <references count="1">
          <reference field="9" count="1">
            <x v="1"/>
          </reference>
        </references>
      </pivotArea>
    </format>
    <format dxfId="1091">
      <pivotArea dataOnly="0" outline="0" fieldPosition="0">
        <references count="1">
          <reference field="9" count="1">
            <x v="1"/>
          </reference>
        </references>
      </pivotArea>
    </format>
    <format dxfId="1090">
      <pivotArea dataOnly="0" outline="0" fieldPosition="0">
        <references count="1">
          <reference field="9" count="1">
            <x v="2"/>
          </reference>
        </references>
      </pivotArea>
    </format>
    <format dxfId="1089">
      <pivotArea dataOnly="0" outline="0" fieldPosition="0">
        <references count="1">
          <reference field="9" count="1">
            <x v="3"/>
          </reference>
        </references>
      </pivotArea>
    </format>
    <format dxfId="1088">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087">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086">
      <pivotArea field="0" grandCol="1" outline="0" axis="axisRow" fieldPosition="0">
        <references count="1">
          <reference field="0" count="1" selected="0" sumSubtotal="1">
            <x v="0"/>
          </reference>
        </references>
      </pivotArea>
    </format>
    <format dxfId="1085">
      <pivotArea field="0" grandCol="1" outline="0" axis="axisRow" fieldPosition="0">
        <references count="1">
          <reference field="0" count="1" selected="0" sumSubtotal="1">
            <x v="1"/>
          </reference>
        </references>
      </pivotArea>
    </format>
    <format dxfId="1084">
      <pivotArea field="0" grandCol="1" outline="0" axis="axisRow" fieldPosition="0">
        <references count="1">
          <reference field="0" count="1" selected="0" sumSubtotal="1">
            <x v="1"/>
          </reference>
        </references>
      </pivotArea>
    </format>
    <format dxfId="1083">
      <pivotArea field="0" grandCol="1" outline="0" axis="axisRow" fieldPosition="0">
        <references count="1">
          <reference field="0" count="1" selected="0" sumSubtotal="1">
            <x v="0"/>
          </reference>
        </references>
      </pivotArea>
    </format>
    <format dxfId="1082">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081">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 dxfId="1080">
      <pivotArea outline="0" fieldPosition="0">
        <references count="7">
          <reference field="0" count="1" selected="0">
            <x v="0"/>
          </reference>
          <reference field="1" count="0" selected="0"/>
          <reference field="7" count="2" selected="0">
            <x v="88"/>
            <x v="89"/>
          </reference>
          <reference field="9" count="1" selected="0">
            <x v="1"/>
          </reference>
          <reference field="21" count="2" selected="0">
            <x v="1"/>
            <x v="22"/>
          </reference>
          <reference field="25" count="1" selected="0">
            <x v="10"/>
          </reference>
          <reference field="26" count="0" selected="0"/>
        </references>
      </pivotArea>
    </format>
    <format dxfId="1079">
      <pivotArea outline="0" fieldPosition="0">
        <references count="7">
          <reference field="0" count="1" selected="0">
            <x v="0"/>
          </reference>
          <reference field="1" count="0" selected="0"/>
          <reference field="7" count="1" selected="0">
            <x v="87"/>
          </reference>
          <reference field="9" count="1" selected="0">
            <x v="1"/>
          </reference>
          <reference field="21" count="1" selected="0">
            <x v="13"/>
          </reference>
          <reference field="25" count="1" selected="0">
            <x v="11"/>
          </reference>
          <reference field="26" count="0" selected="0"/>
        </references>
      </pivotArea>
    </format>
    <format dxfId="1078">
      <pivotArea outline="0" fieldPosition="0">
        <references count="7">
          <reference field="0" count="1" selected="0">
            <x v="0"/>
          </reference>
          <reference field="1" count="0" selected="0"/>
          <reference field="7" count="1" selected="0">
            <x v="66"/>
          </reference>
          <reference field="9" count="1" selected="0">
            <x v="1"/>
          </reference>
          <reference field="21" count="1" selected="0">
            <x v="30"/>
          </reference>
          <reference field="25" count="1" selected="0">
            <x v="10"/>
          </reference>
          <reference field="26" count="0" selected="0"/>
        </references>
      </pivotArea>
    </format>
    <format dxfId="1077">
      <pivotArea outline="0" fieldPosition="0">
        <references count="7">
          <reference field="0" count="1" selected="0">
            <x v="0"/>
          </reference>
          <reference field="1" count="0" selected="0"/>
          <reference field="7" count="1" selected="0">
            <x v="31"/>
          </reference>
          <reference field="9" count="1" selected="0">
            <x v="1"/>
          </reference>
          <reference field="21" count="1" selected="0">
            <x v="8"/>
          </reference>
          <reference field="25" count="1" selected="0">
            <x v="10"/>
          </reference>
          <reference field="26" count="0" selected="0"/>
        </references>
      </pivotArea>
    </format>
    <format dxfId="1076">
      <pivotArea outline="0" fieldPosition="0">
        <references count="7">
          <reference field="0" count="1" selected="0">
            <x v="0"/>
          </reference>
          <reference field="1" count="0" selected="0"/>
          <reference field="7" count="1" selected="0">
            <x v="53"/>
          </reference>
          <reference field="9" count="1" selected="0">
            <x v="0"/>
          </reference>
          <reference field="21" count="1" selected="0">
            <x v="13"/>
          </reference>
          <reference field="25" count="1" selected="0">
            <x v="10"/>
          </reference>
          <reference field="26" count="0" selected="0"/>
        </references>
      </pivotArea>
    </format>
    <format dxfId="1075">
      <pivotArea outline="0" fieldPosition="0">
        <references count="7">
          <reference field="0" count="1" selected="0">
            <x v="0"/>
          </reference>
          <reference field="1" count="0" selected="0"/>
          <reference field="7" count="1" selected="0">
            <x v="62"/>
          </reference>
          <reference field="9" count="1" selected="0">
            <x v="1"/>
          </reference>
          <reference field="21" count="1" selected="0">
            <x v="22"/>
          </reference>
          <reference field="25" count="1" selected="0">
            <x v="10"/>
          </reference>
          <reference field="26" count="0" selected="0"/>
        </references>
      </pivotArea>
    </format>
    <format dxfId="1074">
      <pivotArea outline="0" fieldPosition="0">
        <references count="7">
          <reference field="0" count="1" selected="0">
            <x v="0"/>
          </reference>
          <reference field="1" count="0" selected="0"/>
          <reference field="7" count="1" selected="0">
            <x v="52"/>
          </reference>
          <reference field="9" count="1" selected="0">
            <x v="1"/>
          </reference>
          <reference field="21" count="1" selected="0">
            <x v="26"/>
          </reference>
          <reference field="25" count="1" selected="0">
            <x v="10"/>
          </reference>
          <reference field="26" count="0" selected="0"/>
        </references>
      </pivotArea>
    </format>
    <format dxfId="1073">
      <pivotArea outline="0" fieldPosition="0">
        <references count="7">
          <reference field="0" count="1" selected="0">
            <x v="0"/>
          </reference>
          <reference field="1" count="0" selected="0"/>
          <reference field="7" count="1" selected="0">
            <x v="66"/>
          </reference>
          <reference field="9" count="1" selected="0">
            <x v="1"/>
          </reference>
          <reference field="21" count="1" selected="0">
            <x v="30"/>
          </reference>
          <reference field="25" count="1" selected="0">
            <x v="10"/>
          </reference>
          <reference field="26" count="0" selected="0"/>
        </references>
      </pivotArea>
    </format>
    <format dxfId="1072">
      <pivotArea outline="0" fieldPosition="0">
        <references count="7">
          <reference field="0" count="1" selected="0">
            <x v="0"/>
          </reference>
          <reference field="1" count="0" selected="0"/>
          <reference field="7" count="1" selected="0">
            <x v="88"/>
          </reference>
          <reference field="9" count="1" selected="0">
            <x v="1"/>
          </reference>
          <reference field="21" count="1" selected="0">
            <x v="1"/>
          </reference>
          <reference field="25" count="1" selected="0">
            <x v="10"/>
          </reference>
          <reference field="26" count="0" selected="0"/>
        </references>
      </pivotArea>
    </format>
    <format dxfId="1071">
      <pivotArea outline="0" fieldPosition="0">
        <references count="7">
          <reference field="0" count="1" selected="0">
            <x v="0"/>
          </reference>
          <reference field="1" count="0" selected="0"/>
          <reference field="7" count="1" selected="0">
            <x v="89"/>
          </reference>
          <reference field="9" count="1" selected="0">
            <x v="1"/>
          </reference>
          <reference field="21" count="1" selected="0">
            <x v="22"/>
          </reference>
          <reference field="25" count="1" selected="0">
            <x v="10"/>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B0663C-D4A3-485E-AC3B-D091257F7D7F}" name="PivotTable1" cacheId="7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6">
        <item x="1"/>
        <item x="0"/>
        <item h="1" x="2"/>
        <item h="1" x="3"/>
        <item h="1" x="4"/>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x="72"/>
        <item x="73"/>
        <item x="74"/>
        <item x="17"/>
        <item x="51"/>
        <item x="75"/>
        <item x="76"/>
        <item x="77"/>
        <item x="14"/>
        <item x="64"/>
        <item x="78"/>
        <item x="79"/>
        <item x="80"/>
        <item x="81"/>
        <item x="82"/>
        <item x="83"/>
        <item x="84"/>
        <item x="86"/>
        <item x="87"/>
        <item x="88"/>
        <item x="89"/>
        <item x="90"/>
        <item x="91"/>
        <item x="92"/>
        <item x="93"/>
        <item x="94"/>
        <item x="95"/>
        <item x="96"/>
        <item x="97"/>
        <item x="98"/>
        <item x="100"/>
        <item x="101"/>
        <item x="102"/>
        <item x="2"/>
        <item x="0"/>
        <item x="103"/>
        <item x="104"/>
        <item x="105"/>
        <item x="107"/>
        <item x="109"/>
        <item x="110"/>
        <item x="112"/>
        <item x="99"/>
        <item x="113"/>
        <item x="111"/>
        <item x="85"/>
        <item x="115"/>
        <item x="71"/>
        <item x="116"/>
        <item x="106"/>
        <item x="108"/>
        <item x="11"/>
        <item x="9"/>
        <item x="35"/>
        <item x="117"/>
        <item m="1" x="127"/>
        <item x="119"/>
        <item x="120"/>
        <item x="121"/>
        <item m="1" x="128"/>
        <item x="118"/>
        <item x="122"/>
        <item x="36"/>
        <item x="62"/>
        <item x="114"/>
        <item x="123"/>
        <item x="124"/>
        <item x="125"/>
        <item m="1" x="129"/>
        <item m="1" x="130"/>
        <item m="1" x="131"/>
        <item m="1" x="132"/>
        <item m="1" x="133"/>
        <item m="1" x="134"/>
        <item m="1" x="135"/>
        <item m="1" x="136"/>
        <item m="1" x="137"/>
        <item m="1" x="138"/>
        <item x="20"/>
      </items>
    </pivotField>
    <pivotField dataField="1" compact="0" outline="0" showAll="0" defaultSubtotal="0"/>
    <pivotField axis="axisRow" compact="0" outline="0" showAll="0" defaultSubtotal="0">
      <items count="12">
        <item x="0"/>
        <item x="3"/>
        <item x="4"/>
        <item x="1"/>
        <item h="1" x="2"/>
        <item h="1" x="5"/>
        <item h="1" x="7"/>
        <item h="1" x="9"/>
        <item h="1" x="6"/>
        <item h="1" x="8"/>
        <item h="1" x="10"/>
        <item h="1" x="11"/>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x="32"/>
        <item x="1"/>
        <item x="38"/>
        <item x="39"/>
        <item m="1" x="41"/>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x="26"/>
        <item m="1" x="27"/>
      </items>
    </pivotField>
    <pivotField name="YEAR" axis="axisCol" compact="0" outline="0" subtotalTop="0" showAll="0" defaultSubtotal="0">
      <items count="8">
        <item x="0"/>
        <item h="1" x="2"/>
        <item h="1" x="1"/>
        <item h="1" m="1" x="6"/>
        <item h="1" x="4"/>
        <item h="1" x="5"/>
        <item h="1" x="3"/>
        <item h="1" m="1"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1"/>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1293">
      <pivotArea dataOnly="0" outline="0" fieldPosition="0">
        <references count="1">
          <reference field="9" count="0" sumSubtotal="1"/>
        </references>
      </pivotArea>
    </format>
    <format dxfId="1292">
      <pivotArea dataOnly="0" outline="0" fieldPosition="0">
        <references count="1">
          <reference field="9" count="0" sumSubtotal="1"/>
        </references>
      </pivotArea>
    </format>
    <format dxfId="1291">
      <pivotArea field="1" type="button" dataOnly="0" labelOnly="1" outline="0" axis="axisRow" fieldPosition="2"/>
    </format>
    <format dxfId="1290">
      <pivotArea field="9" type="button" dataOnly="0" labelOnly="1" outline="0" axis="axisRow" fieldPosition="3"/>
    </format>
    <format dxfId="1289">
      <pivotArea field="7" type="button" dataOnly="0" labelOnly="1" outline="0" axis="axisRow" fieldPosition="1"/>
    </format>
    <format dxfId="1288">
      <pivotArea field="0" type="button" dataOnly="0" labelOnly="1" outline="0" axis="axisRow" fieldPosition="0"/>
    </format>
    <format dxfId="1287">
      <pivotArea dataOnly="0" labelOnly="1" grandCol="1" outline="0" fieldPosition="0"/>
    </format>
    <format dxfId="1286">
      <pivotArea field="1" type="button" dataOnly="0" labelOnly="1" outline="0" axis="axisRow" fieldPosition="2"/>
    </format>
    <format dxfId="1285">
      <pivotArea field="9" type="button" dataOnly="0" labelOnly="1" outline="0" axis="axisRow" fieldPosition="3"/>
    </format>
    <format dxfId="1284">
      <pivotArea field="7" type="button" dataOnly="0" labelOnly="1" outline="0" axis="axisRow" fieldPosition="1"/>
    </format>
    <format dxfId="1283">
      <pivotArea field="0" type="button" dataOnly="0" labelOnly="1" outline="0" axis="axisRow" fieldPosition="0"/>
    </format>
    <format dxfId="1282">
      <pivotArea dataOnly="0" labelOnly="1" grandCol="1" outline="0" fieldPosition="0"/>
    </format>
    <format dxfId="1281">
      <pivotArea field="1" type="button" dataOnly="0" labelOnly="1" outline="0" axis="axisRow" fieldPosition="2"/>
    </format>
    <format dxfId="1280">
      <pivotArea field="9" type="button" dataOnly="0" labelOnly="1" outline="0" axis="axisRow" fieldPosition="3"/>
    </format>
    <format dxfId="1279">
      <pivotArea field="7" type="button" dataOnly="0" labelOnly="1" outline="0" axis="axisRow" fieldPosition="1"/>
    </format>
    <format dxfId="1278">
      <pivotArea field="0" type="button" dataOnly="0" labelOnly="1" outline="0" axis="axisRow" fieldPosition="0"/>
    </format>
    <format dxfId="1277">
      <pivotArea dataOnly="0" labelOnly="1" grandCol="1" outline="0" fieldPosition="0"/>
    </format>
    <format dxfId="1276">
      <pivotArea field="21" type="button" dataOnly="0" labelOnly="1" outline="0" axis="axisRow" fieldPosition="4"/>
    </format>
    <format dxfId="1275">
      <pivotArea field="21" type="button" dataOnly="0" labelOnly="1" outline="0" axis="axisRow" fieldPosition="4"/>
    </format>
    <format dxfId="1274">
      <pivotArea type="all" dataOnly="0" outline="0" fieldPosition="0"/>
    </format>
    <format dxfId="1273">
      <pivotArea type="all" dataOnly="0" outline="0" fieldPosition="0"/>
    </format>
    <format dxfId="1272">
      <pivotArea outline="0" collapsedLevelsAreSubtotals="1" fieldPosition="0"/>
    </format>
    <format dxfId="1271">
      <pivotArea type="origin" dataOnly="0" labelOnly="1" outline="0" fieldPosition="0"/>
    </format>
    <format dxfId="1270">
      <pivotArea type="topRight" dataOnly="0" labelOnly="1" outline="0" fieldPosition="0"/>
    </format>
    <format dxfId="1269">
      <pivotArea field="1" type="button" dataOnly="0" labelOnly="1" outline="0" axis="axisRow" fieldPosition="2"/>
    </format>
    <format dxfId="1268">
      <pivotArea field="0" type="button" dataOnly="0" labelOnly="1" outline="0" axis="axisRow" fieldPosition="0"/>
    </format>
    <format dxfId="1267">
      <pivotArea field="9" type="button" dataOnly="0" labelOnly="1" outline="0" axis="axisRow" fieldPosition="3"/>
    </format>
    <format dxfId="1266">
      <pivotArea field="7" type="button" dataOnly="0" labelOnly="1" outline="0" axis="axisRow" fieldPosition="1"/>
    </format>
    <format dxfId="1265">
      <pivotArea field="21" type="button" dataOnly="0" labelOnly="1" outline="0" axis="axisRow" fieldPosition="4"/>
    </format>
    <format dxfId="1264">
      <pivotArea dataOnly="0" labelOnly="1" outline="0" fieldPosition="0">
        <references count="1">
          <reference field="1" count="0"/>
        </references>
      </pivotArea>
    </format>
    <format dxfId="1263">
      <pivotArea dataOnly="0" labelOnly="1" grandRow="1" outline="0" fieldPosition="0"/>
    </format>
    <format dxfId="1262">
      <pivotArea dataOnly="0" labelOnly="1" outline="0" fieldPosition="0">
        <references count="2">
          <reference field="0" count="0"/>
          <reference field="1" count="0" selected="0"/>
        </references>
      </pivotArea>
    </format>
    <format dxfId="1261">
      <pivotArea dataOnly="0" labelOnly="1" outline="0" fieldPosition="0">
        <references count="2">
          <reference field="0" count="0" sumSubtotal="1"/>
          <reference field="1" count="0" selected="0"/>
        </references>
      </pivotArea>
    </format>
    <format dxfId="1260">
      <pivotArea dataOnly="0" labelOnly="1" outline="0" fieldPosition="0">
        <references count="3">
          <reference field="0" count="1" selected="0">
            <x v="1"/>
          </reference>
          <reference field="1" count="0" selected="0"/>
          <reference field="9" count="0"/>
        </references>
      </pivotArea>
    </format>
    <format dxfId="1259">
      <pivotArea dataOnly="0" labelOnly="1" grandCol="1" outline="0" fieldPosition="0"/>
    </format>
    <format dxfId="1258">
      <pivotArea dataOnly="0" outline="0" fieldPosition="0">
        <references count="1">
          <reference field="9" count="0" sumSubtotal="1"/>
        </references>
      </pivotArea>
    </format>
    <format dxfId="1257">
      <pivotArea grandCol="1" outline="0" collapsedLevelsAreSubtotals="1" fieldPosition="0"/>
    </format>
    <format dxfId="1256">
      <pivotArea field="1" type="button" dataOnly="0" labelOnly="1" outline="0" axis="axisRow" fieldPosition="2"/>
    </format>
    <format dxfId="1255">
      <pivotArea field="0" type="button" dataOnly="0" labelOnly="1" outline="0" axis="axisRow" fieldPosition="0"/>
    </format>
    <format dxfId="1254">
      <pivotArea field="9" type="button" dataOnly="0" labelOnly="1" outline="0" axis="axisRow" fieldPosition="3"/>
    </format>
    <format dxfId="1253">
      <pivotArea field="7" type="button" dataOnly="0" labelOnly="1" outline="0" axis="axisRow" fieldPosition="1"/>
    </format>
    <format dxfId="1252">
      <pivotArea field="21" type="button" dataOnly="0" labelOnly="1" outline="0" axis="axisRow" fieldPosition="4"/>
    </format>
    <format dxfId="1251">
      <pivotArea dataOnly="0" labelOnly="1" grandCol="1" outline="0" fieldPosition="0"/>
    </format>
    <format dxfId="1250">
      <pivotArea field="1" type="button" dataOnly="0" labelOnly="1" outline="0" axis="axisRow" fieldPosition="2"/>
    </format>
    <format dxfId="1249">
      <pivotArea field="0" type="button" dataOnly="0" labelOnly="1" outline="0" axis="axisRow" fieldPosition="0"/>
    </format>
    <format dxfId="1248">
      <pivotArea field="9" type="button" dataOnly="0" labelOnly="1" outline="0" axis="axisRow" fieldPosition="3"/>
    </format>
    <format dxfId="1247">
      <pivotArea field="7" type="button" dataOnly="0" labelOnly="1" outline="0" axis="axisRow" fieldPosition="1"/>
    </format>
    <format dxfId="1246">
      <pivotArea field="21" type="button" dataOnly="0" labelOnly="1" outline="0" axis="axisRow" fieldPosition="4"/>
    </format>
    <format dxfId="1245">
      <pivotArea dataOnly="0" labelOnly="1" grandCol="1" outline="0" fieldPosition="0"/>
    </format>
    <format dxfId="1244">
      <pivotArea field="1" type="button" dataOnly="0" labelOnly="1" outline="0" axis="axisRow" fieldPosition="2"/>
    </format>
    <format dxfId="1243">
      <pivotArea field="0" type="button" dataOnly="0" labelOnly="1" outline="0" axis="axisRow" fieldPosition="0"/>
    </format>
    <format dxfId="1242">
      <pivotArea field="9" type="button" dataOnly="0" labelOnly="1" outline="0" axis="axisRow" fieldPosition="3"/>
    </format>
    <format dxfId="1241">
      <pivotArea field="7" type="button" dataOnly="0" labelOnly="1" outline="0" axis="axisRow" fieldPosition="1"/>
    </format>
    <format dxfId="1240">
      <pivotArea field="21" type="button" dataOnly="0" labelOnly="1" outline="0" axis="axisRow" fieldPosition="4"/>
    </format>
    <format dxfId="1239">
      <pivotArea dataOnly="0" labelOnly="1" grandCol="1" outline="0" fieldPosition="0"/>
    </format>
    <format dxfId="1238">
      <pivotArea field="1" type="button" dataOnly="0" labelOnly="1" outline="0" axis="axisRow" fieldPosition="2"/>
    </format>
    <format dxfId="1237">
      <pivotArea field="0" type="button" dataOnly="0" labelOnly="1" outline="0" axis="axisRow" fieldPosition="0"/>
    </format>
    <format dxfId="1236">
      <pivotArea field="9" type="button" dataOnly="0" labelOnly="1" outline="0" axis="axisRow" fieldPosition="3"/>
    </format>
    <format dxfId="1235">
      <pivotArea field="7" type="button" dataOnly="0" labelOnly="1" outline="0" axis="axisRow" fieldPosition="1"/>
    </format>
    <format dxfId="1234">
      <pivotArea field="21" type="button" dataOnly="0" labelOnly="1" outline="0" axis="axisRow" fieldPosition="4"/>
    </format>
    <format dxfId="1233">
      <pivotArea dataOnly="0" labelOnly="1" grandCol="1" outline="0" fieldPosition="0"/>
    </format>
    <format dxfId="1232">
      <pivotArea field="1" type="button" dataOnly="0" labelOnly="1" outline="0" axis="axisRow" fieldPosition="2"/>
    </format>
    <format dxfId="1231">
      <pivotArea field="0" type="button" dataOnly="0" labelOnly="1" outline="0" axis="axisRow" fieldPosition="0"/>
    </format>
    <format dxfId="1230">
      <pivotArea field="9" type="button" dataOnly="0" labelOnly="1" outline="0" axis="axisRow" fieldPosition="3"/>
    </format>
    <format dxfId="1229">
      <pivotArea field="7" type="button" dataOnly="0" labelOnly="1" outline="0" axis="axisRow" fieldPosition="1"/>
    </format>
    <format dxfId="1228">
      <pivotArea field="21" type="button" dataOnly="0" labelOnly="1" outline="0" axis="axisRow" fieldPosition="4"/>
    </format>
    <format dxfId="1227">
      <pivotArea dataOnly="0" labelOnly="1" grandCol="1" outline="0" fieldPosition="0"/>
    </format>
    <format dxfId="1226">
      <pivotArea dataOnly="0" outline="0" fieldPosition="0">
        <references count="1">
          <reference field="9" count="1">
            <x v="0"/>
          </reference>
        </references>
      </pivotArea>
    </format>
    <format dxfId="1225">
      <pivotArea dataOnly="0" outline="0" fieldPosition="0">
        <references count="1">
          <reference field="9" count="1">
            <x v="1"/>
          </reference>
        </references>
      </pivotArea>
    </format>
    <format dxfId="1224">
      <pivotArea dataOnly="0" outline="0" fieldPosition="0">
        <references count="1">
          <reference field="9" count="1">
            <x v="3"/>
          </reference>
        </references>
      </pivotArea>
    </format>
    <format dxfId="1223">
      <pivotArea dataOnly="0" outline="0" fieldPosition="0">
        <references count="1">
          <reference field="9" count="1">
            <x v="2"/>
          </reference>
        </references>
      </pivotArea>
    </format>
    <format dxfId="1222">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221">
      <pivotArea dataOnly="0" labelOnly="1" outline="0" offset="IV7:IV11" fieldPosition="0">
        <references count="1">
          <reference field="0" count="1">
            <x v="0"/>
          </reference>
        </references>
      </pivotArea>
    </format>
    <format dxfId="1220">
      <pivotArea dataOnly="0" labelOnly="1" outline="0" fieldPosition="0">
        <references count="2">
          <reference field="0" count="1" selected="0">
            <x v="0"/>
          </reference>
          <reference field="7" count="4">
            <x v="26"/>
            <x v="27"/>
            <x v="30"/>
            <x v="31"/>
          </reference>
        </references>
      </pivotArea>
    </format>
    <format dxfId="1219">
      <pivotArea dataOnly="0" labelOnly="1" outline="0" offset="IV7:IV11" fieldPosition="0">
        <references count="3">
          <reference field="0" count="1" selected="0">
            <x v="0"/>
          </reference>
          <reference field="1" count="0"/>
          <reference field="7" count="1" selected="0">
            <x v="19"/>
          </reference>
        </references>
      </pivotArea>
    </format>
    <format dxfId="1218">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217">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216">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215">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214">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213">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212">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211">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210">
      <pivotArea field="0" grandCol="1" outline="0" axis="axisRow" fieldPosition="0">
        <references count="1">
          <reference field="0" count="1" selected="0" sumSubtotal="1">
            <x v="0"/>
          </reference>
        </references>
      </pivotArea>
    </format>
    <format dxfId="1209">
      <pivotArea field="0" grandCol="1" outline="0" axis="axisRow" fieldPosition="0">
        <references count="1">
          <reference field="0" count="1" selected="0" sumSubtotal="1">
            <x v="0"/>
          </reference>
        </references>
      </pivotArea>
    </format>
    <format dxfId="1208">
      <pivotArea outline="0" fieldPosition="0">
        <references count="1">
          <reference field="0" count="1" selected="0" sumSubtotal="1">
            <x v="0"/>
          </reference>
        </references>
      </pivotArea>
    </format>
    <format dxfId="1207">
      <pivotArea outline="0" fieldPosition="0">
        <references count="1">
          <reference field="0" count="1" selected="0" sumSubtotal="1">
            <x v="0"/>
          </reference>
        </references>
      </pivotArea>
    </format>
    <format dxfId="1206">
      <pivotArea field="0" grandCol="1" outline="0" axis="axisRow" fieldPosition="0">
        <references count="1">
          <reference field="0" count="1" selected="0" sumSubtotal="1">
            <x v="1"/>
          </reference>
        </references>
      </pivotArea>
    </format>
    <format dxfId="1205">
      <pivotArea field="0" grandCol="1" outline="0" axis="axisRow" fieldPosition="0">
        <references count="1">
          <reference field="0" count="1" selected="0" sumSubtotal="1">
            <x v="1"/>
          </reference>
        </references>
      </pivotArea>
    </format>
    <format dxfId="1204">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203">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202">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201">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200">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199">
      <pivotArea dataOnly="0" outline="0" fieldPosition="0">
        <references count="1">
          <reference field="9" count="1">
            <x v="1"/>
          </reference>
        </references>
      </pivotArea>
    </format>
    <format dxfId="1198">
      <pivotArea dataOnly="0" outline="0" fieldPosition="0">
        <references count="1">
          <reference field="9" count="1">
            <x v="1"/>
          </reference>
        </references>
      </pivotArea>
    </format>
    <format dxfId="1197">
      <pivotArea dataOnly="0" outline="0" fieldPosition="0">
        <references count="1">
          <reference field="9" count="1">
            <x v="2"/>
          </reference>
        </references>
      </pivotArea>
    </format>
    <format dxfId="1196">
      <pivotArea dataOnly="0" outline="0" fieldPosition="0">
        <references count="1">
          <reference field="9" count="1">
            <x v="3"/>
          </reference>
        </references>
      </pivotArea>
    </format>
    <format dxfId="1195">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194">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193">
      <pivotArea field="0" grandCol="1" outline="0" axis="axisRow" fieldPosition="0">
        <references count="1">
          <reference field="0" count="1" selected="0" sumSubtotal="1">
            <x v="0"/>
          </reference>
        </references>
      </pivotArea>
    </format>
    <format dxfId="1192">
      <pivotArea field="0" grandCol="1" outline="0" axis="axisRow" fieldPosition="0">
        <references count="1">
          <reference field="0" count="1" selected="0" sumSubtotal="1">
            <x v="1"/>
          </reference>
        </references>
      </pivotArea>
    </format>
    <format dxfId="1191">
      <pivotArea field="0" grandCol="1" outline="0" axis="axisRow" fieldPosition="0">
        <references count="1">
          <reference field="0" count="1" selected="0" sumSubtotal="1">
            <x v="1"/>
          </reference>
        </references>
      </pivotArea>
    </format>
    <format dxfId="1190">
      <pivotArea field="0" grandCol="1" outline="0" axis="axisRow" fieldPosition="0">
        <references count="1">
          <reference field="0" count="1" selected="0" sumSubtotal="1">
            <x v="0"/>
          </reference>
        </references>
      </pivotArea>
    </format>
    <format dxfId="1189">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188">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7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38"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x="91"/>
        <item x="92"/>
        <item x="93"/>
        <item x="94"/>
        <item x="95"/>
        <item x="96"/>
        <item x="97"/>
        <item x="98"/>
        <item x="100"/>
        <item x="101"/>
        <item x="102"/>
        <item x="2"/>
        <item x="0"/>
        <item x="103"/>
        <item x="104"/>
        <item x="105"/>
        <item x="107"/>
        <item x="109"/>
        <item x="110"/>
        <item m="1" x="134"/>
        <item m="1" x="133"/>
        <item m="1" x="129"/>
        <item m="1" x="136"/>
        <item m="1" x="137"/>
        <item m="1" x="138"/>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m="1" x="41"/>
        <item x="39"/>
        <item x="32"/>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5">
    <i>
      <x/>
      <x v="21"/>
      <x v="1"/>
      <x v="3"/>
      <x v="25"/>
    </i>
    <i r="1">
      <x v="41"/>
      <x v="1"/>
      <x v="3"/>
      <x v="4"/>
    </i>
    <i r="1">
      <x v="43"/>
      <x v="1"/>
      <x v="3"/>
      <x v="21"/>
    </i>
    <i r="1">
      <x v="44"/>
      <x v="1"/>
      <x v="3"/>
      <x v="2"/>
    </i>
    <i r="1">
      <x v="45"/>
      <x v="1"/>
      <x v="3"/>
      <x v="39"/>
    </i>
    <i r="1">
      <x v="50"/>
      <x v="1"/>
      <x v="3"/>
      <x v="14"/>
    </i>
    <i r="1">
      <x v="88"/>
      <x v="1"/>
      <x v="3"/>
      <x v="21"/>
    </i>
    <i r="1">
      <x v="94"/>
      <x v="1"/>
      <x v="1"/>
      <x v="15"/>
    </i>
    <i r="1">
      <x v="102"/>
      <x v="1"/>
      <x v="2"/>
      <x/>
    </i>
    <i r="1">
      <x v="113"/>
      <x v="1"/>
      <x v="2"/>
      <x v="36"/>
    </i>
    <i r="1">
      <x v="126"/>
      <x v="1"/>
      <x v="2"/>
      <x v="1"/>
    </i>
    <i r="1">
      <x v="134"/>
      <x v="1"/>
      <x v="2"/>
      <x v="40"/>
    </i>
    <i r="1">
      <x v="136"/>
      <x v="1"/>
      <x v="2"/>
      <x/>
    </i>
    <i r="1">
      <x v="137"/>
      <x v="1"/>
      <x v="3"/>
      <x v="1"/>
    </i>
    <i t="sum">
      <x/>
    </i>
    <i>
      <x v="1"/>
      <x v="5"/>
      <x v="1"/>
      <x v="3"/>
      <x v="30"/>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41"/>
    </i>
    <i r="1">
      <x v="115"/>
      <x v="1"/>
      <x v="1"/>
      <x v="1"/>
    </i>
    <i r="1">
      <x v="117"/>
      <x v="1"/>
      <x v="1"/>
      <x v="31"/>
    </i>
    <i r="1">
      <x v="121"/>
      <x v="1"/>
      <x v="2"/>
      <x/>
    </i>
    <i r="1">
      <x v="124"/>
      <x v="1"/>
      <x v="3"/>
      <x v="38"/>
    </i>
    <i r="1">
      <x v="131"/>
      <x v="1"/>
      <x v="3"/>
      <x v="13"/>
    </i>
    <i r="1">
      <x v="135"/>
      <x v="1"/>
      <x v="3"/>
      <x v="25"/>
    </i>
    <i r="1">
      <x v="138"/>
      <x v="1"/>
      <x v="1"/>
      <x/>
    </i>
    <i t="sum">
      <x v="1"/>
    </i>
    <i t="grand">
      <x/>
    </i>
  </rowItems>
  <colFields count="2">
    <field x="26"/>
    <field x="25"/>
  </colFields>
  <colItems count="10">
    <i>
      <x v="2"/>
      <x v="12"/>
    </i>
    <i r="1">
      <x v="14"/>
    </i>
    <i r="1">
      <x v="15"/>
    </i>
    <i r="1">
      <x v="16"/>
    </i>
    <i r="1">
      <x v="17"/>
    </i>
    <i r="1">
      <x v="18"/>
    </i>
    <i r="1">
      <x v="19"/>
    </i>
    <i r="1">
      <x v="20"/>
    </i>
    <i r="1">
      <x v="21"/>
    </i>
    <i t="grand">
      <x/>
    </i>
  </colItems>
  <dataFields count="1">
    <dataField name="VALUE" fld="24" baseField="20" baseItem="10" numFmtId="166"/>
  </dataFields>
  <formats count="122">
    <format dxfId="1070">
      <pivotArea dataOnly="0" outline="0" fieldPosition="0">
        <references count="1">
          <reference field="9" count="0" sumSubtotal="1"/>
        </references>
      </pivotArea>
    </format>
    <format dxfId="1069">
      <pivotArea dataOnly="0" outline="0" fieldPosition="0">
        <references count="1">
          <reference field="9" count="0" sumSubtotal="1"/>
        </references>
      </pivotArea>
    </format>
    <format dxfId="1068">
      <pivotArea field="1" type="button" dataOnly="0" labelOnly="1" outline="0" axis="axisRow" fieldPosition="2"/>
    </format>
    <format dxfId="1067">
      <pivotArea field="9" type="button" dataOnly="0" labelOnly="1" outline="0" axis="axisRow" fieldPosition="3"/>
    </format>
    <format dxfId="1066">
      <pivotArea field="7" type="button" dataOnly="0" labelOnly="1" outline="0" axis="axisRow" fieldPosition="1"/>
    </format>
    <format dxfId="1065">
      <pivotArea field="0" type="button" dataOnly="0" labelOnly="1" outline="0" axis="axisRow" fieldPosition="0"/>
    </format>
    <format dxfId="1064">
      <pivotArea dataOnly="0" labelOnly="1" grandCol="1" outline="0" fieldPosition="0"/>
    </format>
    <format dxfId="1063">
      <pivotArea field="1" type="button" dataOnly="0" labelOnly="1" outline="0" axis="axisRow" fieldPosition="2"/>
    </format>
    <format dxfId="1062">
      <pivotArea field="9" type="button" dataOnly="0" labelOnly="1" outline="0" axis="axisRow" fieldPosition="3"/>
    </format>
    <format dxfId="1061">
      <pivotArea field="7" type="button" dataOnly="0" labelOnly="1" outline="0" axis="axisRow" fieldPosition="1"/>
    </format>
    <format dxfId="1060">
      <pivotArea field="0" type="button" dataOnly="0" labelOnly="1" outline="0" axis="axisRow" fieldPosition="0"/>
    </format>
    <format dxfId="1059">
      <pivotArea dataOnly="0" labelOnly="1" grandCol="1" outline="0" fieldPosition="0"/>
    </format>
    <format dxfId="1058">
      <pivotArea field="1" type="button" dataOnly="0" labelOnly="1" outline="0" axis="axisRow" fieldPosition="2"/>
    </format>
    <format dxfId="1057">
      <pivotArea field="9" type="button" dataOnly="0" labelOnly="1" outline="0" axis="axisRow" fieldPosition="3"/>
    </format>
    <format dxfId="1056">
      <pivotArea field="7" type="button" dataOnly="0" labelOnly="1" outline="0" axis="axisRow" fieldPosition="1"/>
    </format>
    <format dxfId="1055">
      <pivotArea field="0" type="button" dataOnly="0" labelOnly="1" outline="0" axis="axisRow" fieldPosition="0"/>
    </format>
    <format dxfId="1054">
      <pivotArea dataOnly="0" labelOnly="1" grandCol="1" outline="0" fieldPosition="0"/>
    </format>
    <format dxfId="1053">
      <pivotArea field="21" type="button" dataOnly="0" labelOnly="1" outline="0" axis="axisRow" fieldPosition="4"/>
    </format>
    <format dxfId="1052">
      <pivotArea field="21" type="button" dataOnly="0" labelOnly="1" outline="0" axis="axisRow" fieldPosition="4"/>
    </format>
    <format dxfId="1051">
      <pivotArea type="all" dataOnly="0" outline="0" fieldPosition="0"/>
    </format>
    <format dxfId="1050">
      <pivotArea type="all" dataOnly="0" outline="0" fieldPosition="0"/>
    </format>
    <format dxfId="1049">
      <pivotArea outline="0" collapsedLevelsAreSubtotals="1" fieldPosition="0"/>
    </format>
    <format dxfId="1048">
      <pivotArea type="origin" dataOnly="0" labelOnly="1" outline="0" fieldPosition="0"/>
    </format>
    <format dxfId="1047">
      <pivotArea type="topRight" dataOnly="0" labelOnly="1" outline="0" fieldPosition="0"/>
    </format>
    <format dxfId="1046">
      <pivotArea field="1" type="button" dataOnly="0" labelOnly="1" outline="0" axis="axisRow" fieldPosition="2"/>
    </format>
    <format dxfId="1045">
      <pivotArea field="0" type="button" dataOnly="0" labelOnly="1" outline="0" axis="axisRow" fieldPosition="0"/>
    </format>
    <format dxfId="1044">
      <pivotArea field="9" type="button" dataOnly="0" labelOnly="1" outline="0" axis="axisRow" fieldPosition="3"/>
    </format>
    <format dxfId="1043">
      <pivotArea field="7" type="button" dataOnly="0" labelOnly="1" outline="0" axis="axisRow" fieldPosition="1"/>
    </format>
    <format dxfId="1042">
      <pivotArea field="21" type="button" dataOnly="0" labelOnly="1" outline="0" axis="axisRow" fieldPosition="4"/>
    </format>
    <format dxfId="1041">
      <pivotArea dataOnly="0" labelOnly="1" outline="0" fieldPosition="0">
        <references count="1">
          <reference field="1" count="0"/>
        </references>
      </pivotArea>
    </format>
    <format dxfId="1040">
      <pivotArea dataOnly="0" labelOnly="1" grandRow="1" outline="0" fieldPosition="0"/>
    </format>
    <format dxfId="1039">
      <pivotArea dataOnly="0" labelOnly="1" outline="0" fieldPosition="0">
        <references count="2">
          <reference field="0" count="0"/>
          <reference field="1" count="0" selected="0"/>
        </references>
      </pivotArea>
    </format>
    <format dxfId="1038">
      <pivotArea dataOnly="0" labelOnly="1" outline="0" fieldPosition="0">
        <references count="2">
          <reference field="0" count="0" sumSubtotal="1"/>
          <reference field="1" count="0" selected="0"/>
        </references>
      </pivotArea>
    </format>
    <format dxfId="1037">
      <pivotArea dataOnly="0" labelOnly="1" outline="0" fieldPosition="0">
        <references count="3">
          <reference field="0" count="1" selected="0">
            <x v="1"/>
          </reference>
          <reference field="1" count="0" selected="0"/>
          <reference field="9" count="0"/>
        </references>
      </pivotArea>
    </format>
    <format dxfId="1036">
      <pivotArea dataOnly="0" labelOnly="1" grandCol="1" outline="0" fieldPosition="0"/>
    </format>
    <format dxfId="1035">
      <pivotArea dataOnly="0" outline="0" fieldPosition="0">
        <references count="1">
          <reference field="9" count="0" sumSubtotal="1"/>
        </references>
      </pivotArea>
    </format>
    <format dxfId="1034">
      <pivotArea grandCol="1" outline="0" collapsedLevelsAreSubtotals="1" fieldPosition="0"/>
    </format>
    <format dxfId="1033">
      <pivotArea field="1" type="button" dataOnly="0" labelOnly="1" outline="0" axis="axisRow" fieldPosition="2"/>
    </format>
    <format dxfId="1032">
      <pivotArea field="0" type="button" dataOnly="0" labelOnly="1" outline="0" axis="axisRow" fieldPosition="0"/>
    </format>
    <format dxfId="1031">
      <pivotArea field="9" type="button" dataOnly="0" labelOnly="1" outline="0" axis="axisRow" fieldPosition="3"/>
    </format>
    <format dxfId="1030">
      <pivotArea field="7" type="button" dataOnly="0" labelOnly="1" outline="0" axis="axisRow" fieldPosition="1"/>
    </format>
    <format dxfId="1029">
      <pivotArea field="21" type="button" dataOnly="0" labelOnly="1" outline="0" axis="axisRow" fieldPosition="4"/>
    </format>
    <format dxfId="1028">
      <pivotArea dataOnly="0" labelOnly="1" grandCol="1" outline="0" fieldPosition="0"/>
    </format>
    <format dxfId="1027">
      <pivotArea field="1" type="button" dataOnly="0" labelOnly="1" outline="0" axis="axisRow" fieldPosition="2"/>
    </format>
    <format dxfId="1026">
      <pivotArea field="0" type="button" dataOnly="0" labelOnly="1" outline="0" axis="axisRow" fieldPosition="0"/>
    </format>
    <format dxfId="1025">
      <pivotArea field="9" type="button" dataOnly="0" labelOnly="1" outline="0" axis="axisRow" fieldPosition="3"/>
    </format>
    <format dxfId="1024">
      <pivotArea field="7" type="button" dataOnly="0" labelOnly="1" outline="0" axis="axisRow" fieldPosition="1"/>
    </format>
    <format dxfId="1023">
      <pivotArea field="21" type="button" dataOnly="0" labelOnly="1" outline="0" axis="axisRow" fieldPosition="4"/>
    </format>
    <format dxfId="1022">
      <pivotArea dataOnly="0" labelOnly="1" grandCol="1" outline="0" fieldPosition="0"/>
    </format>
    <format dxfId="1021">
      <pivotArea field="1" type="button" dataOnly="0" labelOnly="1" outline="0" axis="axisRow" fieldPosition="2"/>
    </format>
    <format dxfId="1020">
      <pivotArea field="0" type="button" dataOnly="0" labelOnly="1" outline="0" axis="axisRow" fieldPosition="0"/>
    </format>
    <format dxfId="1019">
      <pivotArea field="9" type="button" dataOnly="0" labelOnly="1" outline="0" axis="axisRow" fieldPosition="3"/>
    </format>
    <format dxfId="1018">
      <pivotArea field="7" type="button" dataOnly="0" labelOnly="1" outline="0" axis="axisRow" fieldPosition="1"/>
    </format>
    <format dxfId="1017">
      <pivotArea field="21" type="button" dataOnly="0" labelOnly="1" outline="0" axis="axisRow" fieldPosition="4"/>
    </format>
    <format dxfId="1016">
      <pivotArea dataOnly="0" labelOnly="1" grandCol="1" outline="0" fieldPosition="0"/>
    </format>
    <format dxfId="1015">
      <pivotArea field="1" type="button" dataOnly="0" labelOnly="1" outline="0" axis="axisRow" fieldPosition="2"/>
    </format>
    <format dxfId="1014">
      <pivotArea field="0" type="button" dataOnly="0" labelOnly="1" outline="0" axis="axisRow" fieldPosition="0"/>
    </format>
    <format dxfId="1013">
      <pivotArea field="9" type="button" dataOnly="0" labelOnly="1" outline="0" axis="axisRow" fieldPosition="3"/>
    </format>
    <format dxfId="1012">
      <pivotArea field="7" type="button" dataOnly="0" labelOnly="1" outline="0" axis="axisRow" fieldPosition="1"/>
    </format>
    <format dxfId="1011">
      <pivotArea field="21" type="button" dataOnly="0" labelOnly="1" outline="0" axis="axisRow" fieldPosition="4"/>
    </format>
    <format dxfId="1010">
      <pivotArea dataOnly="0" labelOnly="1" grandCol="1" outline="0" fieldPosition="0"/>
    </format>
    <format dxfId="1009">
      <pivotArea field="1" type="button" dataOnly="0" labelOnly="1" outline="0" axis="axisRow" fieldPosition="2"/>
    </format>
    <format dxfId="1008">
      <pivotArea field="0" type="button" dataOnly="0" labelOnly="1" outline="0" axis="axisRow" fieldPosition="0"/>
    </format>
    <format dxfId="1007">
      <pivotArea field="9" type="button" dataOnly="0" labelOnly="1" outline="0" axis="axisRow" fieldPosition="3"/>
    </format>
    <format dxfId="1006">
      <pivotArea field="7" type="button" dataOnly="0" labelOnly="1" outline="0" axis="axisRow" fieldPosition="1"/>
    </format>
    <format dxfId="1005">
      <pivotArea field="21" type="button" dataOnly="0" labelOnly="1" outline="0" axis="axisRow" fieldPosition="4"/>
    </format>
    <format dxfId="1004">
      <pivotArea dataOnly="0" labelOnly="1" grandCol="1" outline="0" fieldPosition="0"/>
    </format>
    <format dxfId="1003">
      <pivotArea outline="0" fieldPosition="0">
        <references count="1">
          <reference field="4294967294" count="1">
            <x v="0"/>
          </reference>
        </references>
      </pivotArea>
    </format>
    <format dxfId="1002">
      <pivotArea dataOnly="0" outline="0" fieldPosition="0">
        <references count="1">
          <reference field="9" count="1">
            <x v="0"/>
          </reference>
        </references>
      </pivotArea>
    </format>
    <format dxfId="1001">
      <pivotArea dataOnly="0" outline="0" fieldPosition="0">
        <references count="1">
          <reference field="9" count="1">
            <x v="1"/>
          </reference>
        </references>
      </pivotArea>
    </format>
    <format dxfId="1000">
      <pivotArea dataOnly="0" outline="0" fieldPosition="0">
        <references count="1">
          <reference field="9" count="1">
            <x v="3"/>
          </reference>
        </references>
      </pivotArea>
    </format>
    <format dxfId="999">
      <pivotArea dataOnly="0" outline="0" fieldPosition="0">
        <references count="1">
          <reference field="9" count="1">
            <x v="2"/>
          </reference>
        </references>
      </pivotArea>
    </format>
    <format dxfId="998">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997">
      <pivotArea dataOnly="0" labelOnly="1" outline="0" offset="IV7:IV11" fieldPosition="0">
        <references count="1">
          <reference field="0" count="1">
            <x v="0"/>
          </reference>
        </references>
      </pivotArea>
    </format>
    <format dxfId="996">
      <pivotArea dataOnly="0" labelOnly="1" outline="0" fieldPosition="0">
        <references count="2">
          <reference field="0" count="1" selected="0">
            <x v="0"/>
          </reference>
          <reference field="7" count="4">
            <x v="26"/>
            <x v="27"/>
            <x v="30"/>
            <x v="31"/>
          </reference>
        </references>
      </pivotArea>
    </format>
    <format dxfId="995">
      <pivotArea dataOnly="0" labelOnly="1" outline="0" offset="IV7:IV11" fieldPosition="0">
        <references count="3">
          <reference field="0" count="1" selected="0">
            <x v="0"/>
          </reference>
          <reference field="1" count="0"/>
          <reference field="7" count="1" selected="0">
            <x v="19"/>
          </reference>
        </references>
      </pivotArea>
    </format>
    <format dxfId="994">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993">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992">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991">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990">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989">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988">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987">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986">
      <pivotArea field="0" grandCol="1" outline="0" axis="axisRow" fieldPosition="0">
        <references count="1">
          <reference field="0" count="1" selected="0" sumSubtotal="1">
            <x v="0"/>
          </reference>
        </references>
      </pivotArea>
    </format>
    <format dxfId="985">
      <pivotArea field="0" grandCol="1" outline="0" axis="axisRow" fieldPosition="0">
        <references count="1">
          <reference field="0" count="1" selected="0" sumSubtotal="1">
            <x v="0"/>
          </reference>
        </references>
      </pivotArea>
    </format>
    <format dxfId="984">
      <pivotArea outline="0" fieldPosition="0">
        <references count="1">
          <reference field="0" count="1" selected="0" sumSubtotal="1">
            <x v="0"/>
          </reference>
        </references>
      </pivotArea>
    </format>
    <format dxfId="983">
      <pivotArea outline="0" fieldPosition="0">
        <references count="1">
          <reference field="0" count="1" selected="0" sumSubtotal="1">
            <x v="0"/>
          </reference>
        </references>
      </pivotArea>
    </format>
    <format dxfId="982">
      <pivotArea field="0" grandCol="1" outline="0" axis="axisRow" fieldPosition="0">
        <references count="1">
          <reference field="0" count="1" selected="0" sumSubtotal="1">
            <x v="1"/>
          </reference>
        </references>
      </pivotArea>
    </format>
    <format dxfId="981">
      <pivotArea field="0" grandCol="1" outline="0" axis="axisRow" fieldPosition="0">
        <references count="1">
          <reference field="0" count="1" selected="0" sumSubtotal="1">
            <x v="1"/>
          </reference>
        </references>
      </pivotArea>
    </format>
    <format dxfId="980">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979">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978">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977">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976">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975">
      <pivotArea dataOnly="0" outline="0" fieldPosition="0">
        <references count="1">
          <reference field="9" count="1">
            <x v="1"/>
          </reference>
        </references>
      </pivotArea>
    </format>
    <format dxfId="974">
      <pivotArea dataOnly="0" outline="0" fieldPosition="0">
        <references count="1">
          <reference field="9" count="1">
            <x v="1"/>
          </reference>
        </references>
      </pivotArea>
    </format>
    <format dxfId="973">
      <pivotArea dataOnly="0" outline="0" fieldPosition="0">
        <references count="1">
          <reference field="9" count="1">
            <x v="2"/>
          </reference>
        </references>
      </pivotArea>
    </format>
    <format dxfId="972">
      <pivotArea dataOnly="0" outline="0" fieldPosition="0">
        <references count="1">
          <reference field="9" count="1">
            <x v="3"/>
          </reference>
        </references>
      </pivotArea>
    </format>
    <format dxfId="971">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970">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969">
      <pivotArea field="0" grandCol="1" outline="0" axis="axisRow" fieldPosition="0">
        <references count="1">
          <reference field="0" count="1" selected="0" sumSubtotal="1">
            <x v="0"/>
          </reference>
        </references>
      </pivotArea>
    </format>
    <format dxfId="968">
      <pivotArea field="0" grandCol="1" outline="0" axis="axisRow" fieldPosition="0">
        <references count="1">
          <reference field="0" count="1" selected="0" sumSubtotal="1">
            <x v="1"/>
          </reference>
        </references>
      </pivotArea>
    </format>
    <format dxfId="967">
      <pivotArea field="0" grandCol="1" outline="0" axis="axisRow" fieldPosition="0">
        <references count="1">
          <reference field="0" count="1" selected="0" sumSubtotal="1">
            <x v="1"/>
          </reference>
        </references>
      </pivotArea>
    </format>
    <format dxfId="966">
      <pivotArea field="0" grandCol="1" outline="0" axis="axisRow" fieldPosition="0">
        <references count="1">
          <reference field="0" count="1" selected="0" sumSubtotal="1">
            <x v="0"/>
          </reference>
        </references>
      </pivotArea>
    </format>
    <format dxfId="965">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964">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963">
      <pivotArea outline="0" fieldPosition="0">
        <references count="7">
          <reference field="0" count="1" selected="0">
            <x v="0"/>
          </reference>
          <reference field="1" count="0" selected="0"/>
          <reference field="7" count="12" selected="0">
            <x v="41"/>
            <x v="43"/>
            <x v="44"/>
            <x v="45"/>
            <x v="50"/>
            <x v="88"/>
            <x v="94"/>
            <x v="100"/>
            <x v="102"/>
            <x v="113"/>
            <x v="118"/>
            <x v="126"/>
          </reference>
          <reference field="9" count="3" selected="0">
            <x v="1"/>
            <x v="2"/>
            <x v="3"/>
          </reference>
          <reference field="21" count="10" selected="0">
            <x v="0"/>
            <x v="1"/>
            <x v="2"/>
            <x v="4"/>
            <x v="9"/>
            <x v="14"/>
            <x v="15"/>
            <x v="21"/>
            <x v="36"/>
            <x v="39"/>
          </reference>
          <reference field="25" count="2" selected="0">
            <x v="14"/>
            <x v="15"/>
          </reference>
          <reference field="26" count="0" selected="0"/>
        </references>
      </pivotArea>
    </format>
    <format dxfId="962">
      <pivotArea outline="0" fieldPosition="0">
        <references count="7">
          <reference field="0" count="1" selected="0">
            <x v="1"/>
          </reference>
          <reference field="1" count="0" selected="0"/>
          <reference field="7" count="1" selected="0">
            <x v="76"/>
          </reference>
          <reference field="9" count="1" selected="0">
            <x v="3"/>
          </reference>
          <reference field="21" count="1" selected="0">
            <x v="1"/>
          </reference>
          <reference field="25" count="1" selected="0">
            <x v="12"/>
          </reference>
          <reference field="26" count="0" selected="0"/>
        </references>
      </pivotArea>
    </format>
    <format dxfId="961">
      <pivotArea outline="0" fieldPosition="0">
        <references count="7">
          <reference field="0" count="1" selected="0">
            <x v="1"/>
          </reference>
          <reference field="1" count="0" selected="0"/>
          <reference field="7" count="1" selected="0">
            <x v="115"/>
          </reference>
          <reference field="9" count="1" selected="0">
            <x v="1"/>
          </reference>
          <reference field="21" count="1" selected="0">
            <x v="1"/>
          </reference>
          <reference field="25" count="1" selected="0">
            <x v="12"/>
          </reference>
          <reference field="26" count="0" selected="0"/>
        </references>
      </pivotArea>
    </format>
    <format dxfId="960">
      <pivotArea outline="0" fieldPosition="0">
        <references count="7">
          <reference field="0" count="1" selected="0">
            <x v="1"/>
          </reference>
          <reference field="1" count="0" selected="0"/>
          <reference field="7" count="1" selected="0">
            <x v="80"/>
          </reference>
          <reference field="9" count="1" selected="0">
            <x v="3"/>
          </reference>
          <reference field="21" count="1" selected="0">
            <x v="1"/>
          </reference>
          <reference field="25" count="1" selected="0">
            <x v="12"/>
          </reference>
          <reference field="26" count="0" selected="0"/>
        </references>
      </pivotArea>
    </format>
    <format dxfId="959">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958">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957">
      <pivotArea outline="0" fieldPosition="0">
        <references count="7">
          <reference field="0" count="1" selected="0">
            <x v="0"/>
          </reference>
          <reference field="1" count="0" selected="0"/>
          <reference field="7" count="1" selected="0">
            <x v="113"/>
          </reference>
          <reference field="9" count="1" selected="0">
            <x v="2"/>
          </reference>
          <reference field="21" count="1" selected="0">
            <x v="36"/>
          </reference>
          <reference field="25" count="1" selected="0">
            <x v="14"/>
          </reference>
          <reference field="26" count="0" selected="0"/>
        </references>
      </pivotArea>
    </format>
    <format dxfId="956">
      <pivotArea outline="0" fieldPosition="0">
        <references count="7">
          <reference field="0" count="1" selected="0">
            <x v="0"/>
          </reference>
          <reference field="1" count="0" selected="0"/>
          <reference field="7" count="14" selected="0">
            <x v="41"/>
            <x v="43"/>
            <x v="44"/>
            <x v="45"/>
            <x v="50"/>
            <x v="88"/>
            <x v="94"/>
            <x v="100"/>
            <x v="102"/>
            <x v="113"/>
            <x v="118"/>
            <x v="126"/>
            <x v="134"/>
            <x v="136"/>
          </reference>
          <reference field="9" count="3" selected="0">
            <x v="1"/>
            <x v="2"/>
            <x v="3"/>
          </reference>
          <reference field="21" count="11" selected="0">
            <x v="0"/>
            <x v="1"/>
            <x v="2"/>
            <x v="4"/>
            <x v="9"/>
            <x v="14"/>
            <x v="15"/>
            <x v="21"/>
            <x v="36"/>
            <x v="39"/>
            <x v="40"/>
          </reference>
          <reference field="25" count="3" selected="0">
            <x v="12"/>
            <x v="14"/>
            <x v="15"/>
          </reference>
          <reference field="26" count="0" selected="0"/>
        </references>
      </pivotArea>
    </format>
    <format dxfId="955">
      <pivotArea outline="0" fieldPosition="0">
        <references count="7">
          <reference field="0" count="1" selected="0">
            <x v="1"/>
          </reference>
          <reference field="1" count="0" selected="0"/>
          <reference field="7" count="11" selected="0">
            <x v="47"/>
            <x v="76"/>
            <x v="80"/>
            <x v="82"/>
            <x v="83"/>
            <x v="92"/>
            <x v="95"/>
            <x v="115"/>
            <x v="117"/>
            <x v="121"/>
            <x v="124"/>
          </reference>
          <reference field="9" count="3" selected="0">
            <x v="1"/>
            <x v="2"/>
            <x v="3"/>
          </reference>
          <reference field="21" count="8" selected="0">
            <x v="0"/>
            <x v="1"/>
            <x v="4"/>
            <x v="6"/>
            <x v="9"/>
            <x v="31"/>
            <x v="38"/>
            <x v="41"/>
          </reference>
          <reference field="25" count="3" selected="0">
            <x v="12"/>
            <x v="14"/>
            <x v="15"/>
          </reference>
          <reference field="26" count="0" selected="0"/>
        </references>
      </pivotArea>
    </format>
    <format dxfId="954">
      <pivotArea outline="0" fieldPosition="0">
        <references count="7">
          <reference field="0" count="1" selected="0">
            <x v="1"/>
          </reference>
          <reference field="1" count="0" selected="0"/>
          <reference field="7" count="1" selected="0">
            <x v="138"/>
          </reference>
          <reference field="9" count="1" selected="0">
            <x v="1"/>
          </reference>
          <reference field="21" count="1" selected="0">
            <x v="0"/>
          </reference>
          <reference field="25" count="1" selected="0">
            <x v="12"/>
          </reference>
          <reference field="26" count="0" selected="0"/>
        </references>
      </pivotArea>
    </format>
    <format dxfId="953">
      <pivotArea outline="0" fieldPosition="0">
        <references count="7">
          <reference field="0" count="1" selected="0">
            <x v="1"/>
          </reference>
          <reference field="1" count="0" selected="0"/>
          <reference field="7" count="1" selected="0">
            <x v="17"/>
          </reference>
          <reference field="9" count="1" selected="0">
            <x v="1"/>
          </reference>
          <reference field="21" count="1" selected="0">
            <x v="32"/>
          </reference>
          <reference field="25" count="1" selected="0">
            <x v="12"/>
          </reference>
          <reference field="26" count="0" selected="0"/>
        </references>
      </pivotArea>
    </format>
    <format dxfId="952">
      <pivotArea outline="0" fieldPosition="0">
        <references count="7">
          <reference field="0" count="1" selected="0">
            <x v="1"/>
          </reference>
          <reference field="1" count="0" selected="0"/>
          <reference field="7" count="1" selected="0">
            <x v="80"/>
          </reference>
          <reference field="9" count="1" selected="0">
            <x v="3"/>
          </reference>
          <reference field="21" count="1" selected="0">
            <x v="1"/>
          </reference>
          <reference field="25" count="1" selected="0">
            <x v="12"/>
          </reference>
          <reference field="26" count="0" selected="0"/>
        </references>
      </pivotArea>
    </format>
    <format dxfId="951">
      <pivotArea outline="0" fieldPosition="0">
        <references count="7">
          <reference field="0" count="1" selected="0">
            <x v="1"/>
          </reference>
          <reference field="1" count="0" selected="0"/>
          <reference field="7" count="1" selected="0">
            <x v="115"/>
          </reference>
          <reference field="9" count="1" selected="0">
            <x v="1"/>
          </reference>
          <reference field="21" count="1" selected="0">
            <x v="1"/>
          </reference>
          <reference field="25" count="1" selected="0">
            <x v="12"/>
          </reference>
          <reference field="26" count="0" selected="0"/>
        </references>
      </pivotArea>
    </format>
    <format dxfId="950">
      <pivotArea outline="0" fieldPosition="0">
        <references count="7">
          <reference field="0" count="1" selected="0">
            <x v="1"/>
          </reference>
          <reference field="1" count="0" selected="0"/>
          <reference field="7" count="1" selected="0">
            <x v="76"/>
          </reference>
          <reference field="9" count="1" selected="0">
            <x v="3"/>
          </reference>
          <reference field="21" count="1" selected="0">
            <x v="1"/>
          </reference>
          <reference field="25" count="1" selected="0">
            <x v="12"/>
          </reference>
          <reference field="26" count="0" selected="0"/>
        </references>
      </pivotArea>
    </format>
    <format dxfId="949">
      <pivotArea outline="0" fieldPosition="0">
        <references count="7">
          <reference field="0" count="1" selected="0">
            <x v="1"/>
          </reference>
          <reference field="1" count="0" selected="0"/>
          <reference field="7" count="1" selected="0">
            <x v="121"/>
          </reference>
          <reference field="9" count="1" selected="0">
            <x v="2"/>
          </reference>
          <reference field="21" count="1" selected="0">
            <x v="0"/>
          </reference>
          <reference field="25" count="1" selected="0">
            <x v="12"/>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7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7"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m="1" x="138"/>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m="1" x="137"/>
        <item x="91"/>
        <item x="92"/>
        <item x="93"/>
        <item x="94"/>
        <item x="95"/>
        <item x="96"/>
        <item x="97"/>
        <item x="98"/>
        <item m="1" x="129"/>
        <item x="100"/>
        <item x="101"/>
        <item x="102"/>
        <item x="2"/>
        <item x="0"/>
        <item x="103"/>
        <item x="104"/>
        <item x="105"/>
        <item x="107"/>
        <item x="109"/>
        <item x="110"/>
        <item m="1" x="136"/>
        <item m="1" x="134"/>
        <item m="1" x="133"/>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m="1" x="41"/>
        <item x="37"/>
        <item x="39"/>
        <item x="32"/>
        <item x="38"/>
        <item x="1"/>
      </items>
    </pivotField>
    <pivotField axis="axisRow" compact="0" outline="0" subtotalTop="0" showAll="0" defaultSubtotal="0">
      <items count="51">
        <item x="5"/>
        <item x="16"/>
        <item x="20"/>
        <item x="9"/>
        <item x="10"/>
        <item x="34"/>
        <item x="22"/>
        <item x="2"/>
        <item x="19"/>
        <item x="11"/>
        <item x="17"/>
        <item x="33"/>
        <item x="24"/>
        <item x="30"/>
        <item x="29"/>
        <item n="-" x="0"/>
        <item x="13"/>
        <item x="31"/>
        <item x="35"/>
        <item x="36"/>
        <item m="1" x="50"/>
        <item x="27"/>
        <item x="39"/>
        <item m="1" x="47"/>
        <item m="1" x="46"/>
        <item x="37"/>
        <item x="3"/>
        <item x="26"/>
        <item m="1" x="49"/>
        <item x="21"/>
        <item x="23"/>
        <item x="28"/>
        <item x="32"/>
        <item x="14"/>
        <item x="25"/>
        <item x="4"/>
        <item x="6"/>
        <item x="7"/>
        <item x="15"/>
        <item x="8"/>
        <item m="1" x="48"/>
        <item x="41"/>
        <item x="42"/>
        <item x="43"/>
        <item x="12"/>
        <item x="38"/>
        <item x="1"/>
        <item x="18"/>
        <item x="40"/>
        <item x="44"/>
        <item x="45"/>
      </items>
    </pivotField>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6">
        <item x="19"/>
        <item x="26"/>
        <item x="30"/>
        <item x="2"/>
        <item m="1" x="52"/>
        <item m="1" x="55"/>
        <item x="0"/>
        <item x="32"/>
        <item x="21"/>
        <item x="3"/>
        <item x="16"/>
        <item x="12"/>
        <item x="35"/>
        <item m="1" x="54"/>
        <item x="24"/>
        <item x="36"/>
        <item x="6"/>
        <item x="39"/>
        <item x="17"/>
        <item x="41"/>
        <item x="31"/>
        <item x="22"/>
        <item x="37"/>
        <item x="7"/>
        <item x="11"/>
        <item x="25"/>
        <item x="46"/>
        <item x="42"/>
        <item x="29"/>
        <item x="18"/>
        <item x="43"/>
        <item x="14"/>
        <item x="44"/>
        <item x="34"/>
        <item x="9"/>
        <item x="8"/>
        <item x="10"/>
        <item x="5"/>
        <item x="15"/>
        <item x="45"/>
        <item x="28"/>
        <item x="38"/>
        <item x="33"/>
        <item x="13"/>
        <item m="1" x="53"/>
        <item x="47"/>
        <item x="1"/>
        <item x="4"/>
        <item x="20"/>
        <item x="27"/>
        <item x="40"/>
        <item m="1" x="50"/>
        <item m="1" x="51"/>
        <item x="48"/>
        <item x="23"/>
        <item x="49"/>
      </items>
    </pivotField>
    <pivotField axis="axisRow" compact="0" outline="0" subtotalTop="0" showAll="0" defaultSubtotal="0">
      <items count="61">
        <item x="17"/>
        <item x="23"/>
        <item x="27"/>
        <item x="2"/>
        <item m="1" x="56"/>
        <item m="1" x="60"/>
        <item x="31"/>
        <item m="1" x="55"/>
        <item x="30"/>
        <item x="38"/>
        <item x="40"/>
        <item x="14"/>
        <item x="33"/>
        <item x="0"/>
        <item x="11"/>
        <item x="3"/>
        <item x="6"/>
        <item x="15"/>
        <item x="25"/>
        <item x="20"/>
        <item x="36"/>
        <item x="37"/>
        <item x="7"/>
        <item x="34"/>
        <item x="41"/>
        <item x="28"/>
        <item x="35"/>
        <item x="22"/>
        <item x="16"/>
        <item m="1" x="59"/>
        <item x="45"/>
        <item x="44"/>
        <item x="8"/>
        <item x="12"/>
        <item x="48"/>
        <item x="32"/>
        <item x="9"/>
        <item x="10"/>
        <item x="18"/>
        <item x="47"/>
        <item x="1"/>
        <item x="5"/>
        <item x="43"/>
        <item m="1" x="58"/>
        <item x="26"/>
        <item x="46"/>
        <item x="39"/>
        <item x="29"/>
        <item m="1" x="57"/>
        <item m="1" x="54"/>
        <item x="4"/>
        <item x="13"/>
        <item x="19"/>
        <item x="24"/>
        <item x="42"/>
        <item x="49"/>
        <item m="1" x="53"/>
        <item x="50"/>
        <item x="51"/>
        <item x="21"/>
        <item x="5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4">
    <i>
      <x/>
      <x v="46"/>
      <x/>
      <x v="1"/>
      <x v="35"/>
      <x v="9"/>
      <x v="25"/>
      <x v="27"/>
    </i>
    <i r="1">
      <x v="74"/>
      <x/>
      <x v="1"/>
      <x v="24"/>
      <x v="2"/>
      <x v="22"/>
      <x v="21"/>
    </i>
    <i r="1">
      <x v="90"/>
      <x/>
      <x v="1"/>
      <x/>
      <x/>
      <x v="37"/>
      <x v="41"/>
    </i>
    <i r="1">
      <x v="104"/>
      <x/>
      <x v="1"/>
      <x v="22"/>
      <x v="5"/>
      <x v="35"/>
      <x v="32"/>
    </i>
    <i r="1">
      <x v="118"/>
      <x/>
      <x v="3"/>
      <x/>
      <x/>
      <x v="26"/>
      <x v="25"/>
    </i>
    <i r="1">
      <x v="128"/>
      <x/>
      <x v="3"/>
      <x v="24"/>
      <x v="15"/>
      <x v="34"/>
      <x v="36"/>
    </i>
    <i r="1">
      <x v="132"/>
      <x/>
      <x v="3"/>
      <x v="3"/>
      <x v="15"/>
      <x v="34"/>
      <x v="36"/>
    </i>
    <i r="1">
      <x v="137"/>
      <x/>
      <x v="3"/>
      <x v="1"/>
      <x v="1"/>
      <x v="55"/>
      <x v="58"/>
    </i>
    <i t="sum">
      <x/>
    </i>
    <i>
      <x v="1"/>
      <x v="57"/>
      <x/>
      <x v="1"/>
      <x v="1"/>
      <x v="1"/>
      <x v="23"/>
      <x v="22"/>
    </i>
    <i r="1">
      <x v="83"/>
      <x/>
      <x v="1"/>
      <x v="10"/>
      <x v="10"/>
      <x v="22"/>
      <x v="21"/>
    </i>
    <i r="1">
      <x v="84"/>
      <x/>
      <x v="1"/>
      <x v="26"/>
      <x v="12"/>
      <x v="25"/>
      <x v="24"/>
    </i>
    <i t="sum">
      <x v="1"/>
    </i>
    <i t="grand">
      <x/>
    </i>
  </rowItems>
  <colFields count="2">
    <field x="26"/>
    <field x="25"/>
  </colFields>
  <colItems count="5">
    <i>
      <x/>
      <x v="9"/>
    </i>
    <i r="1">
      <x v="10"/>
    </i>
    <i r="1">
      <x v="11"/>
    </i>
    <i>
      <x v="2"/>
      <x v="12"/>
    </i>
    <i t="grand">
      <x/>
    </i>
  </colItems>
  <dataFields count="1">
    <dataField name="VALUE" fld="24" baseField="20" baseItem="10" numFmtId="166"/>
  </dataFields>
  <formats count="128">
    <format dxfId="948">
      <pivotArea dataOnly="0" outline="0" fieldPosition="0">
        <references count="1">
          <reference field="9" count="0" sumSubtotal="1"/>
        </references>
      </pivotArea>
    </format>
    <format dxfId="947">
      <pivotArea dataOnly="0" outline="0" fieldPosition="0">
        <references count="1">
          <reference field="9" count="0" sumSubtotal="1"/>
        </references>
      </pivotArea>
    </format>
    <format dxfId="946">
      <pivotArea field="1" type="button" dataOnly="0" labelOnly="1" outline="0" axis="axisRow" fieldPosition="2"/>
    </format>
    <format dxfId="945">
      <pivotArea field="9" type="button" dataOnly="0" labelOnly="1" outline="0" axis="axisRow" fieldPosition="3"/>
    </format>
    <format dxfId="944">
      <pivotArea field="7" type="button" dataOnly="0" labelOnly="1" outline="0" axis="axisRow" fieldPosition="1"/>
    </format>
    <format dxfId="943">
      <pivotArea field="0" type="button" dataOnly="0" labelOnly="1" outline="0" axis="axisRow" fieldPosition="0"/>
    </format>
    <format dxfId="942">
      <pivotArea dataOnly="0" labelOnly="1" grandCol="1" outline="0" fieldPosition="0"/>
    </format>
    <format dxfId="941">
      <pivotArea field="1" type="button" dataOnly="0" labelOnly="1" outline="0" axis="axisRow" fieldPosition="2"/>
    </format>
    <format dxfId="940">
      <pivotArea field="9" type="button" dataOnly="0" labelOnly="1" outline="0" axis="axisRow" fieldPosition="3"/>
    </format>
    <format dxfId="939">
      <pivotArea field="7" type="button" dataOnly="0" labelOnly="1" outline="0" axis="axisRow" fieldPosition="1"/>
    </format>
    <format dxfId="938">
      <pivotArea field="0" type="button" dataOnly="0" labelOnly="1" outline="0" axis="axisRow" fieldPosition="0"/>
    </format>
    <format dxfId="937">
      <pivotArea dataOnly="0" labelOnly="1" grandCol="1" outline="0" fieldPosition="0"/>
    </format>
    <format dxfId="936">
      <pivotArea field="1" type="button" dataOnly="0" labelOnly="1" outline="0" axis="axisRow" fieldPosition="2"/>
    </format>
    <format dxfId="935">
      <pivotArea field="9" type="button" dataOnly="0" labelOnly="1" outline="0" axis="axisRow" fieldPosition="3"/>
    </format>
    <format dxfId="934">
      <pivotArea field="7" type="button" dataOnly="0" labelOnly="1" outline="0" axis="axisRow" fieldPosition="1"/>
    </format>
    <format dxfId="933">
      <pivotArea field="0" type="button" dataOnly="0" labelOnly="1" outline="0" axis="axisRow" fieldPosition="0"/>
    </format>
    <format dxfId="932">
      <pivotArea dataOnly="0" labelOnly="1" grandCol="1" outline="0" fieldPosition="0"/>
    </format>
    <format dxfId="931">
      <pivotArea field="21" type="button" dataOnly="0" labelOnly="1" outline="0" axis="axisRow" fieldPosition="4"/>
    </format>
    <format dxfId="930">
      <pivotArea field="21" type="button" dataOnly="0" labelOnly="1" outline="0" axis="axisRow" fieldPosition="4"/>
    </format>
    <format dxfId="929">
      <pivotArea type="all" dataOnly="0" outline="0" fieldPosition="0"/>
    </format>
    <format dxfId="928">
      <pivotArea type="all" dataOnly="0" outline="0" fieldPosition="0"/>
    </format>
    <format dxfId="927">
      <pivotArea outline="0" collapsedLevelsAreSubtotals="1" fieldPosition="0"/>
    </format>
    <format dxfId="926">
      <pivotArea type="origin" dataOnly="0" labelOnly="1" outline="0" fieldPosition="0"/>
    </format>
    <format dxfId="925">
      <pivotArea type="topRight" dataOnly="0" labelOnly="1" outline="0" fieldPosition="0"/>
    </format>
    <format dxfId="924">
      <pivotArea field="1" type="button" dataOnly="0" labelOnly="1" outline="0" axis="axisRow" fieldPosition="2"/>
    </format>
    <format dxfId="923">
      <pivotArea field="0" type="button" dataOnly="0" labelOnly="1" outline="0" axis="axisRow" fieldPosition="0"/>
    </format>
    <format dxfId="922">
      <pivotArea field="9" type="button" dataOnly="0" labelOnly="1" outline="0" axis="axisRow" fieldPosition="3"/>
    </format>
    <format dxfId="921">
      <pivotArea field="7" type="button" dataOnly="0" labelOnly="1" outline="0" axis="axisRow" fieldPosition="1"/>
    </format>
    <format dxfId="920">
      <pivotArea field="21" type="button" dataOnly="0" labelOnly="1" outline="0" axis="axisRow" fieldPosition="4"/>
    </format>
    <format dxfId="919">
      <pivotArea dataOnly="0" labelOnly="1" outline="0" fieldPosition="0">
        <references count="1">
          <reference field="1" count="0"/>
        </references>
      </pivotArea>
    </format>
    <format dxfId="918">
      <pivotArea dataOnly="0" labelOnly="1" grandRow="1" outline="0" fieldPosition="0"/>
    </format>
    <format dxfId="917">
      <pivotArea dataOnly="0" labelOnly="1" outline="0" fieldPosition="0">
        <references count="2">
          <reference field="0" count="0"/>
          <reference field="1" count="0" selected="0"/>
        </references>
      </pivotArea>
    </format>
    <format dxfId="916">
      <pivotArea dataOnly="0" labelOnly="1" outline="0" fieldPosition="0">
        <references count="2">
          <reference field="0" count="0" sumSubtotal="1"/>
          <reference field="1" count="0" selected="0"/>
        </references>
      </pivotArea>
    </format>
    <format dxfId="915">
      <pivotArea dataOnly="0" labelOnly="1" outline="0" fieldPosition="0">
        <references count="3">
          <reference field="0" count="1" selected="0">
            <x v="1"/>
          </reference>
          <reference field="1" count="0" selected="0"/>
          <reference field="9" count="0"/>
        </references>
      </pivotArea>
    </format>
    <format dxfId="914">
      <pivotArea dataOnly="0" labelOnly="1" grandCol="1" outline="0" fieldPosition="0"/>
    </format>
    <format dxfId="913">
      <pivotArea dataOnly="0" outline="0" fieldPosition="0">
        <references count="1">
          <reference field="9" count="0" sumSubtotal="1"/>
        </references>
      </pivotArea>
    </format>
    <format dxfId="912">
      <pivotArea grandCol="1" outline="0" collapsedLevelsAreSubtotals="1" fieldPosition="0"/>
    </format>
    <format dxfId="911">
      <pivotArea field="1" type="button" dataOnly="0" labelOnly="1" outline="0" axis="axisRow" fieldPosition="2"/>
    </format>
    <format dxfId="910">
      <pivotArea field="0" type="button" dataOnly="0" labelOnly="1" outline="0" axis="axisRow" fieldPosition="0"/>
    </format>
    <format dxfId="909">
      <pivotArea field="9" type="button" dataOnly="0" labelOnly="1" outline="0" axis="axisRow" fieldPosition="3"/>
    </format>
    <format dxfId="908">
      <pivotArea field="7" type="button" dataOnly="0" labelOnly="1" outline="0" axis="axisRow" fieldPosition="1"/>
    </format>
    <format dxfId="907">
      <pivotArea field="21" type="button" dataOnly="0" labelOnly="1" outline="0" axis="axisRow" fieldPosition="4"/>
    </format>
    <format dxfId="906">
      <pivotArea dataOnly="0" labelOnly="1" grandCol="1" outline="0" fieldPosition="0"/>
    </format>
    <format dxfId="905">
      <pivotArea field="1" type="button" dataOnly="0" labelOnly="1" outline="0" axis="axisRow" fieldPosition="2"/>
    </format>
    <format dxfId="904">
      <pivotArea field="0" type="button" dataOnly="0" labelOnly="1" outline="0" axis="axisRow" fieldPosition="0"/>
    </format>
    <format dxfId="903">
      <pivotArea field="9" type="button" dataOnly="0" labelOnly="1" outline="0" axis="axisRow" fieldPosition="3"/>
    </format>
    <format dxfId="902">
      <pivotArea field="7" type="button" dataOnly="0" labelOnly="1" outline="0" axis="axisRow" fieldPosition="1"/>
    </format>
    <format dxfId="901">
      <pivotArea field="21" type="button" dataOnly="0" labelOnly="1" outline="0" axis="axisRow" fieldPosition="4"/>
    </format>
    <format dxfId="900">
      <pivotArea dataOnly="0" labelOnly="1" grandCol="1" outline="0" fieldPosition="0"/>
    </format>
    <format dxfId="899">
      <pivotArea field="1" type="button" dataOnly="0" labelOnly="1" outline="0" axis="axisRow" fieldPosition="2"/>
    </format>
    <format dxfId="898">
      <pivotArea field="0" type="button" dataOnly="0" labelOnly="1" outline="0" axis="axisRow" fieldPosition="0"/>
    </format>
    <format dxfId="897">
      <pivotArea field="9" type="button" dataOnly="0" labelOnly="1" outline="0" axis="axisRow" fieldPosition="3"/>
    </format>
    <format dxfId="896">
      <pivotArea field="7" type="button" dataOnly="0" labelOnly="1" outline="0" axis="axisRow" fieldPosition="1"/>
    </format>
    <format dxfId="895">
      <pivotArea field="21" type="button" dataOnly="0" labelOnly="1" outline="0" axis="axisRow" fieldPosition="4"/>
    </format>
    <format dxfId="894">
      <pivotArea dataOnly="0" labelOnly="1" grandCol="1" outline="0" fieldPosition="0"/>
    </format>
    <format dxfId="893">
      <pivotArea field="1" type="button" dataOnly="0" labelOnly="1" outline="0" axis="axisRow" fieldPosition="2"/>
    </format>
    <format dxfId="892">
      <pivotArea field="0" type="button" dataOnly="0" labelOnly="1" outline="0" axis="axisRow" fieldPosition="0"/>
    </format>
    <format dxfId="891">
      <pivotArea field="9" type="button" dataOnly="0" labelOnly="1" outline="0" axis="axisRow" fieldPosition="3"/>
    </format>
    <format dxfId="890">
      <pivotArea field="7" type="button" dataOnly="0" labelOnly="1" outline="0" axis="axisRow" fieldPosition="1"/>
    </format>
    <format dxfId="889">
      <pivotArea field="21" type="button" dataOnly="0" labelOnly="1" outline="0" axis="axisRow" fieldPosition="4"/>
    </format>
    <format dxfId="888">
      <pivotArea dataOnly="0" labelOnly="1" grandCol="1" outline="0" fieldPosition="0"/>
    </format>
    <format dxfId="887">
      <pivotArea field="1" type="button" dataOnly="0" labelOnly="1" outline="0" axis="axisRow" fieldPosition="2"/>
    </format>
    <format dxfId="886">
      <pivotArea field="0" type="button" dataOnly="0" labelOnly="1" outline="0" axis="axisRow" fieldPosition="0"/>
    </format>
    <format dxfId="885">
      <pivotArea field="9" type="button" dataOnly="0" labelOnly="1" outline="0" axis="axisRow" fieldPosition="3"/>
    </format>
    <format dxfId="884">
      <pivotArea field="7" type="button" dataOnly="0" labelOnly="1" outline="0" axis="axisRow" fieldPosition="1"/>
    </format>
    <format dxfId="883">
      <pivotArea field="21" type="button" dataOnly="0" labelOnly="1" outline="0" axis="axisRow" fieldPosition="4"/>
    </format>
    <format dxfId="882">
      <pivotArea dataOnly="0" labelOnly="1" grandCol="1" outline="0" fieldPosition="0"/>
    </format>
    <format dxfId="881">
      <pivotArea outline="0" fieldPosition="0">
        <references count="1">
          <reference field="4294967294" count="1">
            <x v="0"/>
          </reference>
        </references>
      </pivotArea>
    </format>
    <format dxfId="880">
      <pivotArea dataOnly="0" outline="0" fieldPosition="0">
        <references count="1">
          <reference field="9" count="1">
            <x v="0"/>
          </reference>
        </references>
      </pivotArea>
    </format>
    <format dxfId="879">
      <pivotArea dataOnly="0" outline="0" fieldPosition="0">
        <references count="1">
          <reference field="9" count="1">
            <x v="1"/>
          </reference>
        </references>
      </pivotArea>
    </format>
    <format dxfId="878">
      <pivotArea dataOnly="0" outline="0" fieldPosition="0">
        <references count="1">
          <reference field="9" count="1">
            <x v="3"/>
          </reference>
        </references>
      </pivotArea>
    </format>
    <format dxfId="877">
      <pivotArea dataOnly="0" outline="0" fieldPosition="0">
        <references count="1">
          <reference field="9" count="1">
            <x v="2"/>
          </reference>
        </references>
      </pivotArea>
    </format>
    <format dxfId="876">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875">
      <pivotArea dataOnly="0" labelOnly="1" outline="0" offset="IV7:IV11" fieldPosition="0">
        <references count="1">
          <reference field="0" count="1">
            <x v="0"/>
          </reference>
        </references>
      </pivotArea>
    </format>
    <format dxfId="874">
      <pivotArea dataOnly="0" labelOnly="1" outline="0" fieldPosition="0">
        <references count="2">
          <reference field="0" count="1" selected="0">
            <x v="0"/>
          </reference>
          <reference field="7" count="4">
            <x v="26"/>
            <x v="27"/>
            <x v="30"/>
            <x v="31"/>
          </reference>
        </references>
      </pivotArea>
    </format>
    <format dxfId="873">
      <pivotArea dataOnly="0" labelOnly="1" outline="0" offset="IV7:IV11" fieldPosition="0">
        <references count="3">
          <reference field="0" count="1" selected="0">
            <x v="0"/>
          </reference>
          <reference field="1" count="0"/>
          <reference field="7" count="1" selected="0">
            <x v="19"/>
          </reference>
        </references>
      </pivotArea>
    </format>
    <format dxfId="872">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871">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870">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869">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868">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867">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866">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865">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864">
      <pivotArea field="0" grandCol="1" outline="0" axis="axisRow" fieldPosition="0">
        <references count="1">
          <reference field="0" count="1" selected="0" sumSubtotal="1">
            <x v="0"/>
          </reference>
        </references>
      </pivotArea>
    </format>
    <format dxfId="863">
      <pivotArea field="0" grandCol="1" outline="0" axis="axisRow" fieldPosition="0">
        <references count="1">
          <reference field="0" count="1" selected="0" sumSubtotal="1">
            <x v="0"/>
          </reference>
        </references>
      </pivotArea>
    </format>
    <format dxfId="862">
      <pivotArea outline="0" fieldPosition="0">
        <references count="1">
          <reference field="0" count="1" selected="0" sumSubtotal="1">
            <x v="0"/>
          </reference>
        </references>
      </pivotArea>
    </format>
    <format dxfId="861">
      <pivotArea outline="0" fieldPosition="0">
        <references count="1">
          <reference field="0" count="1" selected="0" sumSubtotal="1">
            <x v="0"/>
          </reference>
        </references>
      </pivotArea>
    </format>
    <format dxfId="860">
      <pivotArea field="0" grandCol="1" outline="0" axis="axisRow" fieldPosition="0">
        <references count="1">
          <reference field="0" count="1" selected="0" sumSubtotal="1">
            <x v="1"/>
          </reference>
        </references>
      </pivotArea>
    </format>
    <format dxfId="859">
      <pivotArea field="0" grandCol="1" outline="0" axis="axisRow" fieldPosition="0">
        <references count="1">
          <reference field="0" count="1" selected="0" sumSubtotal="1">
            <x v="1"/>
          </reference>
        </references>
      </pivotArea>
    </format>
    <format dxfId="858">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857">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856">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855">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854">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853">
      <pivotArea dataOnly="0" outline="0" fieldPosition="0">
        <references count="1">
          <reference field="9" count="1">
            <x v="1"/>
          </reference>
        </references>
      </pivotArea>
    </format>
    <format dxfId="852">
      <pivotArea dataOnly="0" outline="0" fieldPosition="0">
        <references count="1">
          <reference field="9" count="1">
            <x v="1"/>
          </reference>
        </references>
      </pivotArea>
    </format>
    <format dxfId="851">
      <pivotArea dataOnly="0" outline="0" fieldPosition="0">
        <references count="1">
          <reference field="9" count="1">
            <x v="2"/>
          </reference>
        </references>
      </pivotArea>
    </format>
    <format dxfId="850">
      <pivotArea dataOnly="0" outline="0" fieldPosition="0">
        <references count="1">
          <reference field="9" count="1">
            <x v="3"/>
          </reference>
        </references>
      </pivotArea>
    </format>
    <format dxfId="849">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848">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847">
      <pivotArea dataOnly="0" outline="0" fieldPosition="0">
        <references count="1">
          <reference field="7" count="1">
            <x v="51"/>
          </reference>
        </references>
      </pivotArea>
    </format>
    <format dxfId="846">
      <pivotArea dataOnly="0" outline="0" fieldPosition="0">
        <references count="1">
          <reference field="7" count="1">
            <x v="44"/>
          </reference>
        </references>
      </pivotArea>
    </format>
    <format dxfId="845">
      <pivotArea dataOnly="0" outline="0" fieldPosition="0">
        <references count="1">
          <reference field="7" count="1">
            <x v="82"/>
          </reference>
        </references>
      </pivotArea>
    </format>
    <format dxfId="844">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843">
      <pivotArea dataOnly="0" labelOnly="1" outline="0" fieldPosition="0">
        <references count="2">
          <reference field="0" count="1" selected="0">
            <x v="0"/>
          </reference>
          <reference field="7" count="11">
            <x v="43"/>
            <x v="44"/>
            <x v="45"/>
            <x v="46"/>
            <x v="51"/>
            <x v="52"/>
            <x v="74"/>
            <x v="82"/>
            <x v="87"/>
            <x v="90"/>
            <x v="100"/>
          </reference>
        </references>
      </pivotArea>
    </format>
    <format dxfId="842">
      <pivotArea dataOnly="0" labelOnly="1" outline="0" offset="IV2:IV12" fieldPosition="0">
        <references count="3">
          <reference field="0" count="1" selected="0">
            <x v="0"/>
          </reference>
          <reference field="1" count="0"/>
          <reference field="7" count="1" selected="0">
            <x v="42"/>
          </reference>
        </references>
      </pivotArea>
    </format>
    <format dxfId="841">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840">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839">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838">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837">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836">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835">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834">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833">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832">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831">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830">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829">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828">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827">
      <pivotArea field="22" type="button" dataOnly="0" labelOnly="1" outline="0" axis="axisRow" fieldPosition="5"/>
    </format>
    <format dxfId="826">
      <pivotArea field="0" grandCol="1" outline="0" axis="axisRow" fieldPosition="0">
        <references count="1">
          <reference field="0" count="1" selected="0" sumSubtotal="1">
            <x v="0"/>
          </reference>
        </references>
      </pivotArea>
    </format>
    <format dxfId="825">
      <pivotArea field="0" grandCol="1" outline="0" axis="axisRow" fieldPosition="0">
        <references count="1">
          <reference field="0" count="1" selected="0" sumSubtotal="1">
            <x v="1"/>
          </reference>
        </references>
      </pivotArea>
    </format>
    <format dxfId="824">
      <pivotArea field="0" grandCol="1" outline="0" axis="axisRow" fieldPosition="0">
        <references count="1">
          <reference field="0" count="1" selected="0" sumSubtotal="1">
            <x v="0"/>
          </reference>
        </references>
      </pivotArea>
    </format>
    <format dxfId="823">
      <pivotArea field="0" grandCol="1" outline="0" axis="axisRow" fieldPosition="0">
        <references count="1">
          <reference field="0" count="1" selected="0" sumSubtotal="1">
            <x v="1"/>
          </reference>
        </references>
      </pivotArea>
    </format>
    <format dxfId="822">
      <pivotArea field="31" type="button" dataOnly="0" labelOnly="1" outline="0" axis="axisRow" fieldPosition="6"/>
    </format>
    <format dxfId="821">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7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48">
    <format dxfId="669">
      <pivotArea dataOnly="0" outline="0" fieldPosition="0">
        <references count="1">
          <reference field="9" count="0" sumSubtotal="1"/>
        </references>
      </pivotArea>
    </format>
    <format dxfId="668">
      <pivotArea dataOnly="0" outline="0" fieldPosition="0">
        <references count="1">
          <reference field="9" count="0" sumSubtotal="1"/>
        </references>
      </pivotArea>
    </format>
    <format dxfId="667">
      <pivotArea field="1" type="button" dataOnly="0" labelOnly="1" outline="0" axis="axisRow" fieldPosition="2"/>
    </format>
    <format dxfId="666">
      <pivotArea field="9" type="button" dataOnly="0" labelOnly="1" outline="0" axis="axisRow" fieldPosition="3"/>
    </format>
    <format dxfId="665">
      <pivotArea field="7" type="button" dataOnly="0" labelOnly="1" outline="0" axis="axisRow" fieldPosition="1"/>
    </format>
    <format dxfId="664">
      <pivotArea field="0" type="button" dataOnly="0" labelOnly="1" outline="0" axis="axisRow" fieldPosition="0"/>
    </format>
    <format dxfId="663">
      <pivotArea dataOnly="0" labelOnly="1" grandCol="1" outline="0" fieldPosition="0"/>
    </format>
    <format dxfId="662">
      <pivotArea field="1" type="button" dataOnly="0" labelOnly="1" outline="0" axis="axisRow" fieldPosition="2"/>
    </format>
    <format dxfId="661">
      <pivotArea field="9" type="button" dataOnly="0" labelOnly="1" outline="0" axis="axisRow" fieldPosition="3"/>
    </format>
    <format dxfId="660">
      <pivotArea field="7" type="button" dataOnly="0" labelOnly="1" outline="0" axis="axisRow" fieldPosition="1"/>
    </format>
    <format dxfId="659">
      <pivotArea field="0" type="button" dataOnly="0" labelOnly="1" outline="0" axis="axisRow" fieldPosition="0"/>
    </format>
    <format dxfId="658">
      <pivotArea dataOnly="0" labelOnly="1" grandCol="1" outline="0" fieldPosition="0"/>
    </format>
    <format dxfId="657">
      <pivotArea field="1" type="button" dataOnly="0" labelOnly="1" outline="0" axis="axisRow" fieldPosition="2"/>
    </format>
    <format dxfId="656">
      <pivotArea field="9" type="button" dataOnly="0" labelOnly="1" outline="0" axis="axisRow" fieldPosition="3"/>
    </format>
    <format dxfId="655">
      <pivotArea field="7" type="button" dataOnly="0" labelOnly="1" outline="0" axis="axisRow" fieldPosition="1"/>
    </format>
    <format dxfId="654">
      <pivotArea field="0" type="button" dataOnly="0" labelOnly="1" outline="0" axis="axisRow" fieldPosition="0"/>
    </format>
    <format dxfId="653">
      <pivotArea dataOnly="0" labelOnly="1" grandCol="1" outline="0" fieldPosition="0"/>
    </format>
    <format dxfId="652">
      <pivotArea field="22" type="button" dataOnly="0" labelOnly="1" outline="0" axis="axisRow" fieldPosition="4"/>
    </format>
    <format dxfId="651">
      <pivotArea field="22" type="button" dataOnly="0" labelOnly="1" outline="0" axis="axisRow" fieldPosition="4"/>
    </format>
    <format dxfId="650">
      <pivotArea type="all" dataOnly="0" outline="0" fieldPosition="0"/>
    </format>
    <format dxfId="649">
      <pivotArea type="all" dataOnly="0" outline="0" fieldPosition="0"/>
    </format>
    <format dxfId="648">
      <pivotArea outline="0" collapsedLevelsAreSubtotals="1" fieldPosition="0"/>
    </format>
    <format dxfId="647">
      <pivotArea type="origin" dataOnly="0" labelOnly="1" outline="0" fieldPosition="0"/>
    </format>
    <format dxfId="646">
      <pivotArea type="topRight" dataOnly="0" labelOnly="1" outline="0" fieldPosition="0"/>
    </format>
    <format dxfId="645">
      <pivotArea field="1" type="button" dataOnly="0" labelOnly="1" outline="0" axis="axisRow" fieldPosition="2"/>
    </format>
    <format dxfId="644">
      <pivotArea field="0" type="button" dataOnly="0" labelOnly="1" outline="0" axis="axisRow" fieldPosition="0"/>
    </format>
    <format dxfId="643">
      <pivotArea field="9" type="button" dataOnly="0" labelOnly="1" outline="0" axis="axisRow" fieldPosition="3"/>
    </format>
    <format dxfId="642">
      <pivotArea field="7" type="button" dataOnly="0" labelOnly="1" outline="0" axis="axisRow" fieldPosition="1"/>
    </format>
    <format dxfId="641">
      <pivotArea field="22" type="button" dataOnly="0" labelOnly="1" outline="0" axis="axisRow" fieldPosition="4"/>
    </format>
    <format dxfId="640">
      <pivotArea dataOnly="0" labelOnly="1" outline="0" fieldPosition="0">
        <references count="1">
          <reference field="1" count="0"/>
        </references>
      </pivotArea>
    </format>
    <format dxfId="639">
      <pivotArea dataOnly="0" labelOnly="1" grandRow="1" outline="0" fieldPosition="0"/>
    </format>
    <format dxfId="638">
      <pivotArea dataOnly="0" labelOnly="1" outline="0" fieldPosition="0">
        <references count="2">
          <reference field="0" count="0"/>
          <reference field="1" count="0" selected="0"/>
        </references>
      </pivotArea>
    </format>
    <format dxfId="637">
      <pivotArea dataOnly="0" labelOnly="1" outline="0" fieldPosition="0">
        <references count="2">
          <reference field="0" count="0" sumSubtotal="1"/>
          <reference field="1" count="0" selected="0"/>
        </references>
      </pivotArea>
    </format>
    <format dxfId="636">
      <pivotArea dataOnly="0" labelOnly="1" outline="0" fieldPosition="0">
        <references count="3">
          <reference field="0" count="1" selected="0">
            <x v="1"/>
          </reference>
          <reference field="1" count="0" selected="0"/>
          <reference field="9" count="0"/>
        </references>
      </pivotArea>
    </format>
    <format dxfId="635">
      <pivotArea dataOnly="0" labelOnly="1" grandCol="1" outline="0" fieldPosition="0"/>
    </format>
    <format dxfId="634">
      <pivotArea dataOnly="0" outline="0" fieldPosition="0">
        <references count="1">
          <reference field="9" count="0" sumSubtotal="1"/>
        </references>
      </pivotArea>
    </format>
    <format dxfId="633">
      <pivotArea grandCol="1" outline="0" collapsedLevelsAreSubtotals="1" fieldPosition="0"/>
    </format>
    <format dxfId="632">
      <pivotArea field="1" type="button" dataOnly="0" labelOnly="1" outline="0" axis="axisRow" fieldPosition="2"/>
    </format>
    <format dxfId="631">
      <pivotArea field="0" type="button" dataOnly="0" labelOnly="1" outline="0" axis="axisRow" fieldPosition="0"/>
    </format>
    <format dxfId="630">
      <pivotArea field="9" type="button" dataOnly="0" labelOnly="1" outline="0" axis="axisRow" fieldPosition="3"/>
    </format>
    <format dxfId="629">
      <pivotArea field="7" type="button" dataOnly="0" labelOnly="1" outline="0" axis="axisRow" fieldPosition="1"/>
    </format>
    <format dxfId="628">
      <pivotArea field="22" type="button" dataOnly="0" labelOnly="1" outline="0" axis="axisRow" fieldPosition="4"/>
    </format>
    <format dxfId="627">
      <pivotArea dataOnly="0" labelOnly="1" grandCol="1" outline="0" fieldPosition="0"/>
    </format>
    <format dxfId="626">
      <pivotArea field="1" type="button" dataOnly="0" labelOnly="1" outline="0" axis="axisRow" fieldPosition="2"/>
    </format>
    <format dxfId="625">
      <pivotArea field="0" type="button" dataOnly="0" labelOnly="1" outline="0" axis="axisRow" fieldPosition="0"/>
    </format>
    <format dxfId="624">
      <pivotArea field="9" type="button" dataOnly="0" labelOnly="1" outline="0" axis="axisRow" fieldPosition="3"/>
    </format>
    <format dxfId="623">
      <pivotArea field="7" type="button" dataOnly="0" labelOnly="1" outline="0" axis="axisRow" fieldPosition="1"/>
    </format>
    <format dxfId="622">
      <pivotArea field="22" type="button" dataOnly="0" labelOnly="1" outline="0" axis="axisRow" fieldPosition="4"/>
    </format>
    <format dxfId="621">
      <pivotArea dataOnly="0" labelOnly="1" grandCol="1" outline="0" fieldPosition="0"/>
    </format>
    <format dxfId="620">
      <pivotArea field="1" type="button" dataOnly="0" labelOnly="1" outline="0" axis="axisRow" fieldPosition="2"/>
    </format>
    <format dxfId="619">
      <pivotArea field="0" type="button" dataOnly="0" labelOnly="1" outline="0" axis="axisRow" fieldPosition="0"/>
    </format>
    <format dxfId="618">
      <pivotArea field="9" type="button" dataOnly="0" labelOnly="1" outline="0" axis="axisRow" fieldPosition="3"/>
    </format>
    <format dxfId="617">
      <pivotArea field="7" type="button" dataOnly="0" labelOnly="1" outline="0" axis="axisRow" fieldPosition="1"/>
    </format>
    <format dxfId="616">
      <pivotArea field="22" type="button" dataOnly="0" labelOnly="1" outline="0" axis="axisRow" fieldPosition="4"/>
    </format>
    <format dxfId="615">
      <pivotArea dataOnly="0" labelOnly="1" grandCol="1" outline="0" fieldPosition="0"/>
    </format>
    <format dxfId="614">
      <pivotArea field="1" type="button" dataOnly="0" labelOnly="1" outline="0" axis="axisRow" fieldPosition="2"/>
    </format>
    <format dxfId="613">
      <pivotArea field="0" type="button" dataOnly="0" labelOnly="1" outline="0" axis="axisRow" fieldPosition="0"/>
    </format>
    <format dxfId="612">
      <pivotArea field="9" type="button" dataOnly="0" labelOnly="1" outline="0" axis="axisRow" fieldPosition="3"/>
    </format>
    <format dxfId="611">
      <pivotArea field="7" type="button" dataOnly="0" labelOnly="1" outline="0" axis="axisRow" fieldPosition="1"/>
    </format>
    <format dxfId="610">
      <pivotArea field="22" type="button" dataOnly="0" labelOnly="1" outline="0" axis="axisRow" fieldPosition="4"/>
    </format>
    <format dxfId="609">
      <pivotArea dataOnly="0" labelOnly="1" grandCol="1" outline="0" fieldPosition="0"/>
    </format>
    <format dxfId="608">
      <pivotArea field="1" type="button" dataOnly="0" labelOnly="1" outline="0" axis="axisRow" fieldPosition="2"/>
    </format>
    <format dxfId="607">
      <pivotArea field="0" type="button" dataOnly="0" labelOnly="1" outline="0" axis="axisRow" fieldPosition="0"/>
    </format>
    <format dxfId="606">
      <pivotArea field="9" type="button" dataOnly="0" labelOnly="1" outline="0" axis="axisRow" fieldPosition="3"/>
    </format>
    <format dxfId="605">
      <pivotArea field="7" type="button" dataOnly="0" labelOnly="1" outline="0" axis="axisRow" fieldPosition="1"/>
    </format>
    <format dxfId="604">
      <pivotArea field="22" type="button" dataOnly="0" labelOnly="1" outline="0" axis="axisRow" fieldPosition="4"/>
    </format>
    <format dxfId="603">
      <pivotArea dataOnly="0" labelOnly="1" grandCol="1" outline="0" fieldPosition="0"/>
    </format>
    <format dxfId="602">
      <pivotArea dataOnly="0" outline="0" fieldPosition="0">
        <references count="1">
          <reference field="9" count="1">
            <x v="0"/>
          </reference>
        </references>
      </pivotArea>
    </format>
    <format dxfId="601">
      <pivotArea dataOnly="0" outline="0" fieldPosition="0">
        <references count="1">
          <reference field="9" count="1">
            <x v="1"/>
          </reference>
        </references>
      </pivotArea>
    </format>
    <format dxfId="600">
      <pivotArea dataOnly="0" outline="0" fieldPosition="0">
        <references count="1">
          <reference field="9" count="1">
            <x v="3"/>
          </reference>
        </references>
      </pivotArea>
    </format>
    <format dxfId="599">
      <pivotArea dataOnly="0" outline="0" fieldPosition="0">
        <references count="1">
          <reference field="9" count="1">
            <x v="2"/>
          </reference>
        </references>
      </pivotArea>
    </format>
    <format dxfId="598">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597">
      <pivotArea dataOnly="0" labelOnly="1" outline="0" offset="IV7:IV11" fieldPosition="0">
        <references count="1">
          <reference field="0" count="1">
            <x v="0"/>
          </reference>
        </references>
      </pivotArea>
    </format>
    <format dxfId="596">
      <pivotArea dataOnly="0" labelOnly="1" outline="0" fieldPosition="0">
        <references count="2">
          <reference field="0" count="1" selected="0">
            <x v="0"/>
          </reference>
          <reference field="7" count="4">
            <x v="26"/>
            <x v="27"/>
            <x v="30"/>
            <x v="31"/>
          </reference>
        </references>
      </pivotArea>
    </format>
    <format dxfId="595">
      <pivotArea dataOnly="0" labelOnly="1" outline="0" offset="IV7:IV11" fieldPosition="0">
        <references count="3">
          <reference field="0" count="1" selected="0">
            <x v="0"/>
          </reference>
          <reference field="1" count="0"/>
          <reference field="7" count="1" selected="0">
            <x v="19"/>
          </reference>
        </references>
      </pivotArea>
    </format>
    <format dxfId="594">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593">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92">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91">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590">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589">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588">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587">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586">
      <pivotArea field="0" grandCol="1" outline="0" axis="axisRow" fieldPosition="0">
        <references count="1">
          <reference field="0" count="1" selected="0" sumSubtotal="1">
            <x v="0"/>
          </reference>
        </references>
      </pivotArea>
    </format>
    <format dxfId="585">
      <pivotArea field="0" grandCol="1" outline="0" axis="axisRow" fieldPosition="0">
        <references count="1">
          <reference field="0" count="1" selected="0" sumSubtotal="1">
            <x v="0"/>
          </reference>
        </references>
      </pivotArea>
    </format>
    <format dxfId="584">
      <pivotArea outline="0" fieldPosition="0">
        <references count="1">
          <reference field="0" count="1" selected="0" sumSubtotal="1">
            <x v="0"/>
          </reference>
        </references>
      </pivotArea>
    </format>
    <format dxfId="583">
      <pivotArea outline="0" fieldPosition="0">
        <references count="1">
          <reference field="0" count="1" selected="0" sumSubtotal="1">
            <x v="0"/>
          </reference>
        </references>
      </pivotArea>
    </format>
    <format dxfId="582">
      <pivotArea field="0" grandCol="1" outline="0" axis="axisRow" fieldPosition="0">
        <references count="1">
          <reference field="0" count="1" selected="0" sumSubtotal="1">
            <x v="1"/>
          </reference>
        </references>
      </pivotArea>
    </format>
    <format dxfId="581">
      <pivotArea field="0" grandCol="1" outline="0" axis="axisRow" fieldPosition="0">
        <references count="1">
          <reference field="0" count="1" selected="0" sumSubtotal="1">
            <x v="1"/>
          </reference>
        </references>
      </pivotArea>
    </format>
    <format dxfId="580">
      <pivotArea field="0" grandCol="1" outline="0" axis="axisRow" fieldPosition="0">
        <references count="1">
          <reference field="0" count="1" selected="0" sumSubtotal="1">
            <x v="0"/>
          </reference>
        </references>
      </pivotArea>
    </format>
    <format dxfId="579">
      <pivotArea field="0" grandCol="1" outline="0" axis="axisRow" fieldPosition="0">
        <references count="1">
          <reference field="0" count="1" selected="0" sumSubtotal="1">
            <x v="1"/>
          </reference>
        </references>
      </pivotArea>
    </format>
    <format dxfId="578">
      <pivotArea field="0" grandCol="1" outline="0" axis="axisRow" fieldPosition="0">
        <references count="1">
          <reference field="0" count="1" selected="0" sumSubtotal="1">
            <x v="0"/>
          </reference>
        </references>
      </pivotArea>
    </format>
    <format dxfId="577">
      <pivotArea field="0" grandCol="1" outline="0" axis="axisRow" fieldPosition="0">
        <references count="1">
          <reference field="0" count="1" selected="0" sumSubtotal="1">
            <x v="1"/>
          </reference>
        </references>
      </pivotArea>
    </format>
    <format dxfId="576">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575">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574">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573">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572">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571">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570">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569">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568">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567">
      <pivotArea field="0" type="button" dataOnly="0" labelOnly="1" outline="0" axis="axisRow" fieldPosition="0"/>
    </format>
    <format dxfId="566">
      <pivotArea field="7" type="button" dataOnly="0" labelOnly="1" outline="0" axis="axisRow" fieldPosition="1"/>
    </format>
    <format dxfId="565">
      <pivotArea field="1" type="button" dataOnly="0" labelOnly="1" outline="0" axis="axisRow" fieldPosition="2"/>
    </format>
    <format dxfId="564">
      <pivotArea field="9" type="button" dataOnly="0" labelOnly="1" outline="0" axis="axisRow" fieldPosition="3"/>
    </format>
    <format dxfId="563">
      <pivotArea field="22" type="button" dataOnly="0" labelOnly="1" outline="0" axis="axisRow" fieldPosition="4"/>
    </format>
    <format dxfId="562">
      <pivotArea dataOnly="0" labelOnly="1" grandCol="1" outline="0" fieldPosition="0"/>
    </format>
    <format dxfId="561">
      <pivotArea dataOnly="0" labelOnly="1" outline="0" fieldPosition="0">
        <references count="2">
          <reference field="26" count="9">
            <x v="0"/>
            <x v="2"/>
            <x v="3"/>
            <x v="5"/>
            <x v="6"/>
            <x v="7"/>
            <x v="8"/>
            <x v="10"/>
            <x v="11"/>
          </reference>
          <reference field="27" count="1" selected="0">
            <x v="0"/>
          </reference>
        </references>
      </pivotArea>
    </format>
    <format dxfId="560">
      <pivotArea dataOnly="0" labelOnly="1" outline="0" fieldPosition="0">
        <references count="2">
          <reference field="26" count="1">
            <x v="23"/>
          </reference>
          <reference field="27" count="1" selected="0">
            <x v="1"/>
          </reference>
        </references>
      </pivotArea>
    </format>
    <format dxfId="559">
      <pivotArea dataOnly="0" labelOnly="1" outline="0" fieldPosition="0">
        <references count="2">
          <reference field="26" count="8">
            <x v="12"/>
            <x v="14"/>
            <x v="15"/>
            <x v="16"/>
            <x v="17"/>
            <x v="18"/>
            <x v="19"/>
            <x v="20"/>
          </reference>
          <reference field="27" count="1" selected="0">
            <x v="2"/>
          </reference>
        </references>
      </pivotArea>
    </format>
    <format dxfId="558">
      <pivotArea field="0" type="button" dataOnly="0" labelOnly="1" outline="0" axis="axisRow" fieldPosition="0"/>
    </format>
    <format dxfId="557">
      <pivotArea field="7" type="button" dataOnly="0" labelOnly="1" outline="0" axis="axisRow" fieldPosition="1"/>
    </format>
    <format dxfId="556">
      <pivotArea field="1" type="button" dataOnly="0" labelOnly="1" outline="0" axis="axisRow" fieldPosition="2"/>
    </format>
    <format dxfId="555">
      <pivotArea field="9" type="button" dataOnly="0" labelOnly="1" outline="0" axis="axisRow" fieldPosition="3"/>
    </format>
    <format dxfId="554">
      <pivotArea field="22" type="button" dataOnly="0" labelOnly="1" outline="0" axis="axisRow" fieldPosition="4"/>
    </format>
    <format dxfId="553">
      <pivotArea dataOnly="0" labelOnly="1" grandCol="1" outline="0" fieldPosition="0"/>
    </format>
    <format dxfId="552">
      <pivotArea dataOnly="0" labelOnly="1" outline="0" fieldPosition="0">
        <references count="2">
          <reference field="26" count="9">
            <x v="0"/>
            <x v="2"/>
            <x v="3"/>
            <x v="5"/>
            <x v="6"/>
            <x v="7"/>
            <x v="8"/>
            <x v="10"/>
            <x v="11"/>
          </reference>
          <reference field="27" count="1" selected="0">
            <x v="0"/>
          </reference>
        </references>
      </pivotArea>
    </format>
    <format dxfId="551">
      <pivotArea dataOnly="0" labelOnly="1" outline="0" fieldPosition="0">
        <references count="2">
          <reference field="26" count="1">
            <x v="23"/>
          </reference>
          <reference field="27" count="1" selected="0">
            <x v="1"/>
          </reference>
        </references>
      </pivotArea>
    </format>
    <format dxfId="550">
      <pivotArea dataOnly="0" labelOnly="1" outline="0" fieldPosition="0">
        <references count="2">
          <reference field="26" count="8">
            <x v="12"/>
            <x v="14"/>
            <x v="15"/>
            <x v="16"/>
            <x v="17"/>
            <x v="18"/>
            <x v="19"/>
            <x v="20"/>
          </reference>
          <reference field="27" count="1" selected="0">
            <x v="2"/>
          </reference>
        </references>
      </pivotArea>
    </format>
    <format dxfId="549">
      <pivotArea dataOnly="0" labelOnly="1" outline="0" fieldPosition="0">
        <references count="2">
          <reference field="26" count="8">
            <x v="12"/>
            <x v="14"/>
            <x v="15"/>
            <x v="16"/>
            <x v="17"/>
            <x v="18"/>
            <x v="19"/>
            <x v="20"/>
          </reference>
          <reference field="27" count="1" selected="0">
            <x v="2"/>
          </reference>
        </references>
      </pivotArea>
    </format>
    <format dxfId="548">
      <pivotArea field="0" type="button" dataOnly="0" labelOnly="1" outline="0" axis="axisRow" fieldPosition="0"/>
    </format>
    <format dxfId="547">
      <pivotArea field="7" type="button" dataOnly="0" labelOnly="1" outline="0" axis="axisRow" fieldPosition="1"/>
    </format>
    <format dxfId="546">
      <pivotArea field="1" type="button" dataOnly="0" labelOnly="1" outline="0" axis="axisRow" fieldPosition="2"/>
    </format>
    <format dxfId="545">
      <pivotArea field="9" type="button" dataOnly="0" labelOnly="1" outline="0" axis="axisRow" fieldPosition="3"/>
    </format>
    <format dxfId="544">
      <pivotArea field="22" type="button" dataOnly="0" labelOnly="1" outline="0" axis="axisRow" fieldPosition="4"/>
    </format>
    <format dxfId="543">
      <pivotArea dataOnly="0" labelOnly="1" grandCol="1" outline="0" fieldPosition="0"/>
    </format>
    <format dxfId="542">
      <pivotArea dataOnly="0" labelOnly="1" outline="0" fieldPosition="0">
        <references count="2">
          <reference field="26" count="9">
            <x v="0"/>
            <x v="2"/>
            <x v="3"/>
            <x v="5"/>
            <x v="6"/>
            <x v="7"/>
            <x v="8"/>
            <x v="10"/>
            <x v="11"/>
          </reference>
          <reference field="27" count="1" selected="0">
            <x v="0"/>
          </reference>
        </references>
      </pivotArea>
    </format>
    <format dxfId="541">
      <pivotArea dataOnly="0" labelOnly="1" outline="0" fieldPosition="0">
        <references count="2">
          <reference field="26" count="1">
            <x v="23"/>
          </reference>
          <reference field="27" count="1" selected="0">
            <x v="1"/>
          </reference>
        </references>
      </pivotArea>
    </format>
    <format dxfId="540">
      <pivotArea dataOnly="0" labelOnly="1" outline="0" fieldPosition="0">
        <references count="2">
          <reference field="26" count="8">
            <x v="12"/>
            <x v="14"/>
            <x v="15"/>
            <x v="16"/>
            <x v="17"/>
            <x v="18"/>
            <x v="19"/>
            <x v="20"/>
          </reference>
          <reference field="27" count="1" selected="0">
            <x v="2"/>
          </reference>
        </references>
      </pivotArea>
    </format>
    <format dxfId="539">
      <pivotArea field="0" type="button" dataOnly="0" labelOnly="1" outline="0" axis="axisRow" fieldPosition="0"/>
    </format>
    <format dxfId="538">
      <pivotArea field="7" type="button" dataOnly="0" labelOnly="1" outline="0" axis="axisRow" fieldPosition="1"/>
    </format>
    <format dxfId="537">
      <pivotArea field="1" type="button" dataOnly="0" labelOnly="1" outline="0" axis="axisRow" fieldPosition="2"/>
    </format>
    <format dxfId="536">
      <pivotArea field="9" type="button" dataOnly="0" labelOnly="1" outline="0" axis="axisRow" fieldPosition="3"/>
    </format>
    <format dxfId="535">
      <pivotArea field="22" type="button" dataOnly="0" labelOnly="1" outline="0" axis="axisRow" fieldPosition="4"/>
    </format>
    <format dxfId="534">
      <pivotArea dataOnly="0" labelOnly="1" grandCol="1" outline="0" fieldPosition="0"/>
    </format>
    <format dxfId="533">
      <pivotArea dataOnly="0" labelOnly="1" outline="0" fieldPosition="0">
        <references count="2">
          <reference field="26" count="10">
            <x v="0"/>
            <x v="2"/>
            <x v="3"/>
            <x v="5"/>
            <x v="6"/>
            <x v="7"/>
            <x v="8"/>
            <x v="9"/>
            <x v="10"/>
            <x v="11"/>
          </reference>
          <reference field="27" count="1" selected="0">
            <x v="0"/>
          </reference>
        </references>
      </pivotArea>
    </format>
    <format dxfId="532">
      <pivotArea dataOnly="0" labelOnly="1" outline="0" fieldPosition="0">
        <references count="2">
          <reference field="26" count="1">
            <x v="23"/>
          </reference>
          <reference field="27" count="1" selected="0">
            <x v="1"/>
          </reference>
        </references>
      </pivotArea>
    </format>
    <format dxfId="531">
      <pivotArea dataOnly="0" labelOnly="1" outline="0" fieldPosition="0">
        <references count="2">
          <reference field="26" count="7">
            <x v="12"/>
            <x v="15"/>
            <x v="16"/>
            <x v="17"/>
            <x v="18"/>
            <x v="19"/>
            <x v="20"/>
          </reference>
          <reference field="27" count="1" selected="0">
            <x v="2"/>
          </reference>
        </references>
      </pivotArea>
    </format>
    <format dxfId="530">
      <pivotArea field="0" type="button" dataOnly="0" labelOnly="1" outline="0" axis="axisRow" fieldPosition="0"/>
    </format>
    <format dxfId="529">
      <pivotArea field="7" type="button" dataOnly="0" labelOnly="1" outline="0" axis="axisRow" fieldPosition="1"/>
    </format>
    <format dxfId="528">
      <pivotArea field="1" type="button" dataOnly="0" labelOnly="1" outline="0" axis="axisRow" fieldPosition="2"/>
    </format>
    <format dxfId="527">
      <pivotArea field="9" type="button" dataOnly="0" labelOnly="1" outline="0" axis="axisRow" fieldPosition="3"/>
    </format>
    <format dxfId="526">
      <pivotArea field="22" type="button" dataOnly="0" labelOnly="1" outline="0" axis="axisRow" fieldPosition="4"/>
    </format>
    <format dxfId="525">
      <pivotArea dataOnly="0" labelOnly="1" grandCol="1" outline="0" fieldPosition="0"/>
    </format>
    <format dxfId="524">
      <pivotArea dataOnly="0" labelOnly="1" outline="0" fieldPosition="0">
        <references count="2">
          <reference field="26" count="10">
            <x v="0"/>
            <x v="2"/>
            <x v="3"/>
            <x v="5"/>
            <x v="6"/>
            <x v="7"/>
            <x v="8"/>
            <x v="9"/>
            <x v="10"/>
            <x v="11"/>
          </reference>
          <reference field="27" count="1" selected="0">
            <x v="0"/>
          </reference>
        </references>
      </pivotArea>
    </format>
    <format dxfId="523">
      <pivotArea dataOnly="0" labelOnly="1" outline="0" fieldPosition="0">
        <references count="2">
          <reference field="26" count="1">
            <x v="23"/>
          </reference>
          <reference field="27" count="1" selected="0">
            <x v="1"/>
          </reference>
        </references>
      </pivotArea>
    </format>
    <format dxfId="522">
      <pivotArea dataOnly="0" labelOnly="1" outline="0" fieldPosition="0">
        <references count="2">
          <reference field="26" count="7">
            <x v="12"/>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7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P27" firstHeaderRow="1" firstDataRow="3" firstDataCol="8"/>
  <pivotFields count="58">
    <pivotField compact="0" outline="0" showAll="0" sumSubtotal="1">
      <items count="6">
        <item x="0"/>
        <item x="1"/>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m="1" x="138"/>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m="1" x="137"/>
        <item x="91"/>
        <item x="92"/>
        <item x="93"/>
        <item x="94"/>
        <item x="95"/>
        <item x="96"/>
        <item x="97"/>
        <item x="98"/>
        <item m="1" x="129"/>
        <item x="100"/>
        <item x="101"/>
        <item x="102"/>
        <item x="2"/>
        <item x="0"/>
        <item x="103"/>
        <item x="104"/>
        <item x="105"/>
        <item x="107"/>
        <item x="109"/>
        <item x="110"/>
        <item m="1" x="136"/>
        <item m="1" x="134"/>
        <item m="1" x="133"/>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compact="0" outline="0" showAll="0" defaultSubtotal="0"/>
    <pivotField axis="axisRow" compact="0" outline="0" showAll="0" sumSubtotal="1">
      <items count="13">
        <item h="1" x="0"/>
        <item x="3"/>
        <item x="4"/>
        <item x="1"/>
        <item h="1" x="2"/>
        <item h="1" x="5"/>
        <item h="1" x="7"/>
        <item h="1" x="9"/>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20">
        <item h="1" x="1"/>
        <item x="2"/>
        <item x="4"/>
        <item x="10"/>
        <item x="8"/>
        <item x="11"/>
        <item x="6"/>
        <item x="9"/>
        <item m="1" x="19"/>
        <item x="5"/>
        <item x="7"/>
        <item h="1" x="3"/>
        <item h="1" x="0"/>
        <item m="1" x="15"/>
        <item m="1" x="18"/>
        <item m="1" x="17"/>
        <item m="1" x="16"/>
        <item x="12"/>
        <item x="13"/>
        <item x="14"/>
      </items>
    </pivotField>
    <pivotField axis="axisRow" compact="0" outline="0" subtotalTop="0" showAll="0" defaultSubtotal="0">
      <items count="24">
        <item x="1"/>
        <item x="2"/>
        <item x="12"/>
        <item x="4"/>
        <item x="13"/>
        <item x="14"/>
        <item x="11"/>
        <item x="8"/>
        <item x="10"/>
        <item x="6"/>
        <item x="15"/>
        <item x="5"/>
        <item m="1" x="23"/>
        <item x="7"/>
        <item x="3"/>
        <item x="0"/>
        <item x="18"/>
        <item m="1" x="22"/>
        <item x="9"/>
        <item m="1" x="21"/>
        <item x="16"/>
        <item x="17"/>
        <item m="1" x="20"/>
        <item x="19"/>
      </items>
    </pivotField>
    <pivotField compact="0" outline="0" subtotalTop="0" showAll="0" defaultSubtotal="0"/>
    <pivotField compact="0" outline="0" subtotalTop="0" showAll="0" defaultSubtotal="0"/>
    <pivotField axis="axisRow" compact="0" outline="0" showAll="0" defaultSubtotal="0">
      <items count="42">
        <item x="6"/>
        <item sd="0"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m="1" x="41"/>
        <item x="37"/>
        <item x="39"/>
        <item x="32"/>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x="1"/>
        <item h="1" m="1" x="6"/>
        <item h="1" x="4"/>
        <item h="1" m="1" x="7"/>
        <item x="2"/>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6">
        <item x="19"/>
        <item x="26"/>
        <item x="30"/>
        <item x="2"/>
        <item m="1" x="52"/>
        <item m="1" x="55"/>
        <item x="0"/>
        <item x="32"/>
        <item x="21"/>
        <item x="3"/>
        <item x="16"/>
        <item x="12"/>
        <item x="35"/>
        <item m="1" x="54"/>
        <item x="24"/>
        <item x="36"/>
        <item x="6"/>
        <item x="39"/>
        <item x="17"/>
        <item x="41"/>
        <item x="31"/>
        <item x="22"/>
        <item x="37"/>
        <item x="7"/>
        <item x="11"/>
        <item x="25"/>
        <item x="46"/>
        <item x="42"/>
        <item x="29"/>
        <item x="18"/>
        <item x="43"/>
        <item x="14"/>
        <item x="44"/>
        <item x="8"/>
        <item x="34"/>
        <item x="10"/>
        <item x="5"/>
        <item x="15"/>
        <item x="13"/>
        <item x="45"/>
        <item x="28"/>
        <item x="38"/>
        <item x="33"/>
        <item m="1" x="53"/>
        <item x="47"/>
        <item x="1"/>
        <item x="4"/>
        <item x="20"/>
        <item x="27"/>
        <item x="40"/>
        <item m="1" x="50"/>
        <item m="1" x="51"/>
        <item x="9"/>
        <item x="48"/>
        <item x="23"/>
        <item x="49"/>
      </items>
    </pivotField>
    <pivotField axis="axisRow" compact="0" outline="0" subtotalTop="0" showAll="0" defaultSubtotal="0">
      <items count="61">
        <item x="17"/>
        <item x="23"/>
        <item x="27"/>
        <item x="2"/>
        <item m="1" x="56"/>
        <item m="1" x="60"/>
        <item x="31"/>
        <item m="1" x="55"/>
        <item x="30"/>
        <item x="38"/>
        <item x="40"/>
        <item x="14"/>
        <item x="33"/>
        <item x="0"/>
        <item x="11"/>
        <item x="3"/>
        <item x="6"/>
        <item x="15"/>
        <item x="25"/>
        <item x="20"/>
        <item x="18"/>
        <item x="36"/>
        <item x="37"/>
        <item x="7"/>
        <item x="34"/>
        <item x="41"/>
        <item x="28"/>
        <item x="35"/>
        <item x="10"/>
        <item x="22"/>
        <item x="16"/>
        <item m="1" x="59"/>
        <item x="45"/>
        <item x="44"/>
        <item x="8"/>
        <item x="12"/>
        <item x="47"/>
        <item x="48"/>
        <item x="32"/>
        <item x="9"/>
        <item x="1"/>
        <item x="5"/>
        <item x="43"/>
        <item m="1" x="58"/>
        <item x="26"/>
        <item x="46"/>
        <item x="39"/>
        <item x="29"/>
        <item m="1" x="57"/>
        <item m="1" x="54"/>
        <item x="4"/>
        <item x="13"/>
        <item x="19"/>
        <item x="24"/>
        <item x="42"/>
        <item x="49"/>
        <item m="1" x="53"/>
        <item x="50"/>
        <item x="51"/>
        <item x="21"/>
        <item x="5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9"/>
    <field x="7"/>
    <field x="1"/>
    <field x="21"/>
    <field x="17"/>
    <field x="18"/>
    <field x="31"/>
    <field x="32"/>
  </rowFields>
  <rowItems count="24">
    <i>
      <x v="1"/>
      <x v="31"/>
      <x v="1"/>
      <x v="8"/>
      <x v="9"/>
      <x v="11"/>
      <x v="18"/>
      <x v="30"/>
    </i>
    <i r="1">
      <x v="53"/>
      <x v="1"/>
      <x v="26"/>
      <x v="4"/>
      <x v="7"/>
      <x v="24"/>
      <x v="26"/>
    </i>
    <i r="1">
      <x v="68"/>
      <x v="1"/>
      <x v="30"/>
      <x v="4"/>
      <x v="6"/>
      <x v="25"/>
      <x v="27"/>
    </i>
    <i r="1">
      <x v="91"/>
      <x v="1"/>
      <x v="13"/>
      <x v="4"/>
      <x v="5"/>
      <x v="27"/>
      <x v="27"/>
    </i>
    <i r="1">
      <x v="92"/>
      <x v="1"/>
      <x v="1"/>
    </i>
    <i r="1">
      <x v="93"/>
      <x v="1"/>
      <x v="22"/>
      <x v="3"/>
      <x v="5"/>
      <x v="36"/>
      <x v="41"/>
    </i>
    <i r="1">
      <x v="97"/>
      <x v="1"/>
      <x v="15"/>
      <x v="17"/>
      <x v="20"/>
      <x v="30"/>
      <x v="34"/>
    </i>
    <i r="1">
      <x v="100"/>
      <x v="1"/>
      <x/>
      <x v="1"/>
      <x v="1"/>
      <x v="27"/>
      <x v="27"/>
    </i>
    <i r="1">
      <x v="117"/>
      <x v="1"/>
      <x v="31"/>
      <x v="4"/>
      <x v="18"/>
      <x v="42"/>
      <x v="47"/>
    </i>
    <i t="sum">
      <x v="1"/>
    </i>
    <i>
      <x v="2"/>
      <x v="113"/>
      <x v="1"/>
      <x v="37"/>
      <x v="7"/>
      <x v="8"/>
      <x v="38"/>
      <x v="35"/>
    </i>
    <i r="6">
      <x v="39"/>
      <x v="37"/>
    </i>
    <i r="1">
      <x v="121"/>
      <x v="1"/>
      <x/>
      <x v="1"/>
      <x v="1"/>
      <x v="33"/>
      <x v="34"/>
    </i>
    <i r="1">
      <x v="134"/>
      <x v="1"/>
      <x v="40"/>
      <x v="18"/>
      <x v="21"/>
      <x v="37"/>
      <x v="55"/>
    </i>
    <i t="sum">
      <x v="2"/>
    </i>
    <i>
      <x v="3"/>
      <x v="5"/>
      <x v="1"/>
      <x v="30"/>
      <x v="2"/>
      <x v="3"/>
      <x v="35"/>
      <x v="40"/>
    </i>
    <i r="1">
      <x v="46"/>
      <x v="1"/>
      <x v="39"/>
      <x v="10"/>
      <x v="13"/>
      <x v="52"/>
      <x v="39"/>
    </i>
    <i r="1">
      <x v="77"/>
      <x v="1"/>
      <x v="1"/>
    </i>
    <i r="1">
      <x v="81"/>
      <x v="1"/>
      <x v="1"/>
    </i>
    <i r="1">
      <x v="90"/>
      <x v="1"/>
      <x v="21"/>
      <x v="1"/>
      <x v="1"/>
      <x v="37"/>
      <x v="42"/>
    </i>
    <i r="1">
      <x v="131"/>
      <x v="1"/>
      <x v="13"/>
      <x v="3"/>
      <x v="16"/>
      <x v="41"/>
      <x v="46"/>
    </i>
    <i r="1">
      <x v="135"/>
      <x v="1"/>
      <x v="25"/>
      <x v="19"/>
      <x v="23"/>
      <x v="53"/>
      <x v="57"/>
    </i>
    <i t="sum">
      <x v="3"/>
    </i>
    <i t="grand">
      <x/>
    </i>
  </rowItems>
  <colFields count="2">
    <field x="26"/>
    <field x="25"/>
  </colFields>
  <colItems count="8">
    <i>
      <x/>
      <x v="10"/>
    </i>
    <i r="1">
      <x v="11"/>
    </i>
    <i>
      <x v="1"/>
      <x v="12"/>
    </i>
    <i r="1">
      <x v="14"/>
    </i>
    <i r="1">
      <x v="15"/>
    </i>
    <i r="1">
      <x v="16"/>
    </i>
    <i r="1">
      <x v="17"/>
    </i>
    <i t="grand">
      <x/>
    </i>
  </colItems>
  <dataFields count="1">
    <dataField name="VALUE" fld="24" baseField="19" baseItem="7" numFmtId="166"/>
  </dataFields>
  <formats count="151">
    <format dxfId="820">
      <pivotArea dataOnly="0" outline="0" fieldPosition="0">
        <references count="1">
          <reference field="9" count="0" sumSubtotal="1"/>
        </references>
      </pivotArea>
    </format>
    <format dxfId="819">
      <pivotArea dataOnly="0" outline="0" fieldPosition="0">
        <references count="1">
          <reference field="9" count="0" sumSubtotal="1"/>
        </references>
      </pivotArea>
    </format>
    <format dxfId="818">
      <pivotArea field="1" type="button" dataOnly="0" labelOnly="1" outline="0" axis="axisRow" fieldPosition="2"/>
    </format>
    <format dxfId="817">
      <pivotArea field="9" type="button" dataOnly="0" labelOnly="1" outline="0" axis="axisRow" fieldPosition="0"/>
    </format>
    <format dxfId="816">
      <pivotArea field="7" type="button" dataOnly="0" labelOnly="1" outline="0" axis="axisRow" fieldPosition="1"/>
    </format>
    <format dxfId="815">
      <pivotArea field="0" type="button" dataOnly="0" labelOnly="1" outline="0"/>
    </format>
    <format dxfId="814">
      <pivotArea dataOnly="0" labelOnly="1" grandCol="1" outline="0" fieldPosition="0"/>
    </format>
    <format dxfId="813">
      <pivotArea field="1" type="button" dataOnly="0" labelOnly="1" outline="0" axis="axisRow" fieldPosition="2"/>
    </format>
    <format dxfId="812">
      <pivotArea field="9" type="button" dataOnly="0" labelOnly="1" outline="0" axis="axisRow" fieldPosition="0"/>
    </format>
    <format dxfId="811">
      <pivotArea field="7" type="button" dataOnly="0" labelOnly="1" outline="0" axis="axisRow" fieldPosition="1"/>
    </format>
    <format dxfId="810">
      <pivotArea field="0" type="button" dataOnly="0" labelOnly="1" outline="0"/>
    </format>
    <format dxfId="809">
      <pivotArea dataOnly="0" labelOnly="1" grandCol="1" outline="0" fieldPosition="0"/>
    </format>
    <format dxfId="808">
      <pivotArea field="1" type="button" dataOnly="0" labelOnly="1" outline="0" axis="axisRow" fieldPosition="2"/>
    </format>
    <format dxfId="807">
      <pivotArea field="9" type="button" dataOnly="0" labelOnly="1" outline="0" axis="axisRow" fieldPosition="0"/>
    </format>
    <format dxfId="806">
      <pivotArea field="7" type="button" dataOnly="0" labelOnly="1" outline="0" axis="axisRow" fieldPosition="1"/>
    </format>
    <format dxfId="805">
      <pivotArea field="0" type="button" dataOnly="0" labelOnly="1" outline="0"/>
    </format>
    <format dxfId="804">
      <pivotArea dataOnly="0" labelOnly="1" grandCol="1" outline="0" fieldPosition="0"/>
    </format>
    <format dxfId="803">
      <pivotArea field="21" type="button" dataOnly="0" labelOnly="1" outline="0" axis="axisRow" fieldPosition="3"/>
    </format>
    <format dxfId="802">
      <pivotArea field="21" type="button" dataOnly="0" labelOnly="1" outline="0" axis="axisRow" fieldPosition="3"/>
    </format>
    <format dxfId="801">
      <pivotArea type="all" dataOnly="0" outline="0" fieldPosition="0"/>
    </format>
    <format dxfId="800">
      <pivotArea type="all" dataOnly="0" outline="0" fieldPosition="0"/>
    </format>
    <format dxfId="799">
      <pivotArea outline="0" collapsedLevelsAreSubtotals="1" fieldPosition="0"/>
    </format>
    <format dxfId="798">
      <pivotArea type="origin" dataOnly="0" labelOnly="1" outline="0" fieldPosition="0"/>
    </format>
    <format dxfId="797">
      <pivotArea type="topRight" dataOnly="0" labelOnly="1" outline="0" fieldPosition="0"/>
    </format>
    <format dxfId="796">
      <pivotArea field="1" type="button" dataOnly="0" labelOnly="1" outline="0" axis="axisRow" fieldPosition="2"/>
    </format>
    <format dxfId="795">
      <pivotArea field="0" type="button" dataOnly="0" labelOnly="1" outline="0"/>
    </format>
    <format dxfId="794">
      <pivotArea field="9" type="button" dataOnly="0" labelOnly="1" outline="0" axis="axisRow" fieldPosition="0"/>
    </format>
    <format dxfId="793">
      <pivotArea field="7" type="button" dataOnly="0" labelOnly="1" outline="0" axis="axisRow" fieldPosition="1"/>
    </format>
    <format dxfId="792">
      <pivotArea field="21" type="button" dataOnly="0" labelOnly="1" outline="0" axis="axisRow" fieldPosition="3"/>
    </format>
    <format dxfId="791">
      <pivotArea dataOnly="0" labelOnly="1" outline="0" fieldPosition="0">
        <references count="1">
          <reference field="1" count="0"/>
        </references>
      </pivotArea>
    </format>
    <format dxfId="790">
      <pivotArea dataOnly="0" labelOnly="1" grandRow="1" outline="0" fieldPosition="0"/>
    </format>
    <format dxfId="789">
      <pivotArea dataOnly="0" labelOnly="1" grandCol="1" outline="0" fieldPosition="0"/>
    </format>
    <format dxfId="788">
      <pivotArea dataOnly="0" outline="0" fieldPosition="0">
        <references count="1">
          <reference field="9" count="0" sumSubtotal="1"/>
        </references>
      </pivotArea>
    </format>
    <format dxfId="787">
      <pivotArea grandCol="1" outline="0" collapsedLevelsAreSubtotals="1" fieldPosition="0"/>
    </format>
    <format dxfId="786">
      <pivotArea field="1" type="button" dataOnly="0" labelOnly="1" outline="0" axis="axisRow" fieldPosition="2"/>
    </format>
    <format dxfId="785">
      <pivotArea field="0" type="button" dataOnly="0" labelOnly="1" outline="0"/>
    </format>
    <format dxfId="784">
      <pivotArea field="9" type="button" dataOnly="0" labelOnly="1" outline="0" axis="axisRow" fieldPosition="0"/>
    </format>
    <format dxfId="783">
      <pivotArea field="7" type="button" dataOnly="0" labelOnly="1" outline="0" axis="axisRow" fieldPosition="1"/>
    </format>
    <format dxfId="782">
      <pivotArea field="21" type="button" dataOnly="0" labelOnly="1" outline="0" axis="axisRow" fieldPosition="3"/>
    </format>
    <format dxfId="781">
      <pivotArea dataOnly="0" labelOnly="1" grandCol="1" outline="0" fieldPosition="0"/>
    </format>
    <format dxfId="780">
      <pivotArea field="1" type="button" dataOnly="0" labelOnly="1" outline="0" axis="axisRow" fieldPosition="2"/>
    </format>
    <format dxfId="779">
      <pivotArea field="0" type="button" dataOnly="0" labelOnly="1" outline="0"/>
    </format>
    <format dxfId="778">
      <pivotArea field="9" type="button" dataOnly="0" labelOnly="1" outline="0" axis="axisRow" fieldPosition="0"/>
    </format>
    <format dxfId="777">
      <pivotArea field="7" type="button" dataOnly="0" labelOnly="1" outline="0" axis="axisRow" fieldPosition="1"/>
    </format>
    <format dxfId="776">
      <pivotArea field="21" type="button" dataOnly="0" labelOnly="1" outline="0" axis="axisRow" fieldPosition="3"/>
    </format>
    <format dxfId="775">
      <pivotArea dataOnly="0" labelOnly="1" grandCol="1" outline="0" fieldPosition="0"/>
    </format>
    <format dxfId="774">
      <pivotArea field="1" type="button" dataOnly="0" labelOnly="1" outline="0" axis="axisRow" fieldPosition="2"/>
    </format>
    <format dxfId="773">
      <pivotArea field="0" type="button" dataOnly="0" labelOnly="1" outline="0"/>
    </format>
    <format dxfId="772">
      <pivotArea field="9" type="button" dataOnly="0" labelOnly="1" outline="0" axis="axisRow" fieldPosition="0"/>
    </format>
    <format dxfId="771">
      <pivotArea field="7" type="button" dataOnly="0" labelOnly="1" outline="0" axis="axisRow" fieldPosition="1"/>
    </format>
    <format dxfId="770">
      <pivotArea field="21" type="button" dataOnly="0" labelOnly="1" outline="0" axis="axisRow" fieldPosition="3"/>
    </format>
    <format dxfId="769">
      <pivotArea dataOnly="0" labelOnly="1" grandCol="1" outline="0" fieldPosition="0"/>
    </format>
    <format dxfId="768">
      <pivotArea field="1" type="button" dataOnly="0" labelOnly="1" outline="0" axis="axisRow" fieldPosition="2"/>
    </format>
    <format dxfId="767">
      <pivotArea field="0" type="button" dataOnly="0" labelOnly="1" outline="0"/>
    </format>
    <format dxfId="766">
      <pivotArea field="9" type="button" dataOnly="0" labelOnly="1" outline="0" axis="axisRow" fieldPosition="0"/>
    </format>
    <format dxfId="765">
      <pivotArea field="7" type="button" dataOnly="0" labelOnly="1" outline="0" axis="axisRow" fieldPosition="1"/>
    </format>
    <format dxfId="764">
      <pivotArea field="21" type="button" dataOnly="0" labelOnly="1" outline="0" axis="axisRow" fieldPosition="3"/>
    </format>
    <format dxfId="763">
      <pivotArea dataOnly="0" labelOnly="1" grandCol="1" outline="0" fieldPosition="0"/>
    </format>
    <format dxfId="762">
      <pivotArea field="1" type="button" dataOnly="0" labelOnly="1" outline="0" axis="axisRow" fieldPosition="2"/>
    </format>
    <format dxfId="761">
      <pivotArea field="0" type="button" dataOnly="0" labelOnly="1" outline="0"/>
    </format>
    <format dxfId="760">
      <pivotArea field="9" type="button" dataOnly="0" labelOnly="1" outline="0" axis="axisRow" fieldPosition="0"/>
    </format>
    <format dxfId="759">
      <pivotArea field="7" type="button" dataOnly="0" labelOnly="1" outline="0" axis="axisRow" fieldPosition="1"/>
    </format>
    <format dxfId="758">
      <pivotArea field="21" type="button" dataOnly="0" labelOnly="1" outline="0" axis="axisRow" fieldPosition="3"/>
    </format>
    <format dxfId="757">
      <pivotArea dataOnly="0" labelOnly="1" grandCol="1" outline="0" fieldPosition="0"/>
    </format>
    <format dxfId="756">
      <pivotArea dataOnly="0" outline="0" fieldPosition="0">
        <references count="1">
          <reference field="9" count="1">
            <x v="0"/>
          </reference>
        </references>
      </pivotArea>
    </format>
    <format dxfId="755">
      <pivotArea dataOnly="0" outline="0" fieldPosition="0">
        <references count="1">
          <reference field="9" count="1">
            <x v="1"/>
          </reference>
        </references>
      </pivotArea>
    </format>
    <format dxfId="754">
      <pivotArea dataOnly="0" outline="0" fieldPosition="0">
        <references count="1">
          <reference field="9" count="1">
            <x v="3"/>
          </reference>
        </references>
      </pivotArea>
    </format>
    <format dxfId="753">
      <pivotArea dataOnly="0" outline="0" fieldPosition="0">
        <references count="1">
          <reference field="9" count="1">
            <x v="2"/>
          </reference>
        </references>
      </pivotArea>
    </format>
    <format dxfId="752">
      <pivotArea dataOnly="0" outline="0" fieldPosition="0">
        <references count="1">
          <reference field="9" count="1">
            <x v="1"/>
          </reference>
        </references>
      </pivotArea>
    </format>
    <format dxfId="751">
      <pivotArea dataOnly="0" outline="0" fieldPosition="0">
        <references count="1">
          <reference field="9" count="1">
            <x v="1"/>
          </reference>
        </references>
      </pivotArea>
    </format>
    <format dxfId="750">
      <pivotArea dataOnly="0" outline="0" fieldPosition="0">
        <references count="1">
          <reference field="9" count="1">
            <x v="2"/>
          </reference>
        </references>
      </pivotArea>
    </format>
    <format dxfId="749">
      <pivotArea dataOnly="0" outline="0" fieldPosition="0">
        <references count="1">
          <reference field="9" count="1">
            <x v="3"/>
          </reference>
        </references>
      </pivotArea>
    </format>
    <format dxfId="748">
      <pivotArea outline="0" fieldPosition="0">
        <references count="1">
          <reference field="4294967294" count="1">
            <x v="0"/>
          </reference>
        </references>
      </pivotArea>
    </format>
    <format dxfId="747">
      <pivotArea field="9" type="button" dataOnly="0" labelOnly="1" outline="0" axis="axisRow" fieldPosition="0"/>
    </format>
    <format dxfId="746">
      <pivotArea field="0" type="button" dataOnly="0" labelOnly="1" outline="0"/>
    </format>
    <format dxfId="745">
      <pivotArea field="7" type="button" dataOnly="0" labelOnly="1" outline="0" axis="axisRow" fieldPosition="1"/>
    </format>
    <format dxfId="744">
      <pivotArea field="1" type="button" dataOnly="0" labelOnly="1" outline="0" axis="axisRow" fieldPosition="2"/>
    </format>
    <format dxfId="743">
      <pivotArea field="21" type="button" dataOnly="0" labelOnly="1" outline="0" axis="axisRow" fieldPosition="3"/>
    </format>
    <format dxfId="742">
      <pivotArea field="17" type="button" dataOnly="0" labelOnly="1" outline="0" axis="axisRow" fieldPosition="4"/>
    </format>
    <format dxfId="741">
      <pivotArea field="18" type="button" dataOnly="0" labelOnly="1" outline="0" axis="axisRow" fieldPosition="5"/>
    </format>
    <format dxfId="740">
      <pivotArea field="31" type="button" dataOnly="0" labelOnly="1" outline="0" axis="axisRow" fieldPosition="6"/>
    </format>
    <format dxfId="739">
      <pivotArea field="32" type="button" dataOnly="0" labelOnly="1" outline="0" axis="axisRow" fieldPosition="7"/>
    </format>
    <format dxfId="738">
      <pivotArea dataOnly="0" labelOnly="1" grandCol="1" outline="0" fieldPosition="0"/>
    </format>
    <format dxfId="737">
      <pivotArea dataOnly="0" labelOnly="1" outline="0" fieldPosition="0">
        <references count="2">
          <reference field="25" count="4">
            <x v="8"/>
            <x v="9"/>
            <x v="10"/>
            <x v="11"/>
          </reference>
          <reference field="26" count="1" selected="0">
            <x v="0"/>
          </reference>
        </references>
      </pivotArea>
    </format>
    <format dxfId="736">
      <pivotArea dataOnly="0" labelOnly="1" outline="0" fieldPosition="0">
        <references count="2">
          <reference field="25" count="5">
            <x v="12"/>
            <x v="16"/>
            <x v="17"/>
            <x v="20"/>
            <x v="21"/>
          </reference>
          <reference field="26" count="1" selected="0">
            <x v="1"/>
          </reference>
        </references>
      </pivotArea>
    </format>
    <format dxfId="735">
      <pivotArea field="9" type="button" dataOnly="0" labelOnly="1" outline="0" axis="axisRow" fieldPosition="0"/>
    </format>
    <format dxfId="734">
      <pivotArea field="0" type="button" dataOnly="0" labelOnly="1" outline="0"/>
    </format>
    <format dxfId="733">
      <pivotArea field="7" type="button" dataOnly="0" labelOnly="1" outline="0" axis="axisRow" fieldPosition="1"/>
    </format>
    <format dxfId="732">
      <pivotArea field="1" type="button" dataOnly="0" labelOnly="1" outline="0" axis="axisRow" fieldPosition="2"/>
    </format>
    <format dxfId="731">
      <pivotArea field="21" type="button" dataOnly="0" labelOnly="1" outline="0" axis="axisRow" fieldPosition="3"/>
    </format>
    <format dxfId="730">
      <pivotArea field="17" type="button" dataOnly="0" labelOnly="1" outline="0" axis="axisRow" fieldPosition="4"/>
    </format>
    <format dxfId="729">
      <pivotArea field="18" type="button" dataOnly="0" labelOnly="1" outline="0" axis="axisRow" fieldPosition="5"/>
    </format>
    <format dxfId="728">
      <pivotArea field="31" type="button" dataOnly="0" labelOnly="1" outline="0" axis="axisRow" fieldPosition="6"/>
    </format>
    <format dxfId="727">
      <pivotArea field="32" type="button" dataOnly="0" labelOnly="1" outline="0" axis="axisRow" fieldPosition="7"/>
    </format>
    <format dxfId="726">
      <pivotArea dataOnly="0" labelOnly="1" grandCol="1" outline="0" fieldPosition="0"/>
    </format>
    <format dxfId="725">
      <pivotArea dataOnly="0" labelOnly="1" outline="0" fieldPosition="0">
        <references count="2">
          <reference field="25" count="4">
            <x v="8"/>
            <x v="9"/>
            <x v="10"/>
            <x v="11"/>
          </reference>
          <reference field="26" count="1" selected="0">
            <x v="0"/>
          </reference>
        </references>
      </pivotArea>
    </format>
    <format dxfId="724">
      <pivotArea dataOnly="0" labelOnly="1" outline="0" fieldPosition="0">
        <references count="2">
          <reference field="25" count="5">
            <x v="12"/>
            <x v="16"/>
            <x v="17"/>
            <x v="20"/>
            <x v="21"/>
          </reference>
          <reference field="26" count="1" selected="0">
            <x v="1"/>
          </reference>
        </references>
      </pivotArea>
    </format>
    <format dxfId="723">
      <pivotArea dataOnly="0" labelOnly="1" outline="0" fieldPosition="0">
        <references count="2">
          <reference field="25" count="4">
            <x v="8"/>
            <x v="9"/>
            <x v="10"/>
            <x v="11"/>
          </reference>
          <reference field="26" count="1" selected="0">
            <x v="0"/>
          </reference>
        </references>
      </pivotArea>
    </format>
    <format dxfId="722">
      <pivotArea dataOnly="0" labelOnly="1" outline="0" fieldPosition="0">
        <references count="2">
          <reference field="25" count="5">
            <x v="12"/>
            <x v="16"/>
            <x v="17"/>
            <x v="20"/>
            <x v="21"/>
          </reference>
          <reference field="26" count="1" selected="0">
            <x v="1"/>
          </reference>
        </references>
      </pivotArea>
    </format>
    <format dxfId="721">
      <pivotArea field="9" type="button" dataOnly="0" labelOnly="1" outline="0" axis="axisRow" fieldPosition="0"/>
    </format>
    <format dxfId="720">
      <pivotArea field="0" type="button" dataOnly="0" labelOnly="1" outline="0"/>
    </format>
    <format dxfId="719">
      <pivotArea field="7" type="button" dataOnly="0" labelOnly="1" outline="0" axis="axisRow" fieldPosition="1"/>
    </format>
    <format dxfId="718">
      <pivotArea field="1" type="button" dataOnly="0" labelOnly="1" outline="0" axis="axisRow" fieldPosition="2"/>
    </format>
    <format dxfId="717">
      <pivotArea field="21" type="button" dataOnly="0" labelOnly="1" outline="0" axis="axisRow" fieldPosition="3"/>
    </format>
    <format dxfId="716">
      <pivotArea field="17" type="button" dataOnly="0" labelOnly="1" outline="0" axis="axisRow" fieldPosition="4"/>
    </format>
    <format dxfId="715">
      <pivotArea field="18" type="button" dataOnly="0" labelOnly="1" outline="0" axis="axisRow" fieldPosition="5"/>
    </format>
    <format dxfId="714">
      <pivotArea field="31" type="button" dataOnly="0" labelOnly="1" outline="0" axis="axisRow" fieldPosition="6"/>
    </format>
    <format dxfId="713">
      <pivotArea field="32" type="button" dataOnly="0" labelOnly="1" outline="0" axis="axisRow" fieldPosition="7"/>
    </format>
    <format dxfId="712">
      <pivotArea dataOnly="0" labelOnly="1" grandCol="1" outline="0" fieldPosition="0"/>
    </format>
    <format dxfId="711">
      <pivotArea dataOnly="0" labelOnly="1" outline="0" fieldPosition="0">
        <references count="2">
          <reference field="25" count="4">
            <x v="8"/>
            <x v="9"/>
            <x v="10"/>
            <x v="11"/>
          </reference>
          <reference field="26" count="1" selected="0">
            <x v="0"/>
          </reference>
        </references>
      </pivotArea>
    </format>
    <format dxfId="710">
      <pivotArea dataOnly="0" labelOnly="1" outline="0" fieldPosition="0">
        <references count="2">
          <reference field="25" count="5">
            <x v="12"/>
            <x v="16"/>
            <x v="17"/>
            <x v="20"/>
            <x v="21"/>
          </reference>
          <reference field="26" count="1" selected="0">
            <x v="1"/>
          </reference>
        </references>
      </pivotArea>
    </format>
    <format dxfId="709">
      <pivotArea dataOnly="0" labelOnly="1" outline="0" fieldPosition="0">
        <references count="2">
          <reference field="25" count="1">
            <x v="14"/>
          </reference>
          <reference field="26" count="1" selected="0">
            <x v="1"/>
          </reference>
        </references>
      </pivotArea>
    </format>
    <format dxfId="708">
      <pivotArea dataOnly="0" labelOnly="1" outline="0" fieldPosition="0">
        <references count="2">
          <reference field="25" count="1">
            <x v="14"/>
          </reference>
          <reference field="26" count="1" selected="0">
            <x v="1"/>
          </reference>
        </references>
      </pivotArea>
    </format>
    <format dxfId="707">
      <pivotArea field="9" type="button" dataOnly="0" labelOnly="1" outline="0" axis="axisRow" fieldPosition="0"/>
    </format>
    <format dxfId="706">
      <pivotArea field="0" type="button" dataOnly="0" labelOnly="1" outline="0"/>
    </format>
    <format dxfId="705">
      <pivotArea field="7" type="button" dataOnly="0" labelOnly="1" outline="0" axis="axisRow" fieldPosition="1"/>
    </format>
    <format dxfId="704">
      <pivotArea field="1" type="button" dataOnly="0" labelOnly="1" outline="0" axis="axisRow" fieldPosition="2"/>
    </format>
    <format dxfId="703">
      <pivotArea field="21" type="button" dataOnly="0" labelOnly="1" outline="0" axis="axisRow" fieldPosition="3"/>
    </format>
    <format dxfId="702">
      <pivotArea field="17" type="button" dataOnly="0" labelOnly="1" outline="0" axis="axisRow" fieldPosition="4"/>
    </format>
    <format dxfId="701">
      <pivotArea field="18" type="button" dataOnly="0" labelOnly="1" outline="0" axis="axisRow" fieldPosition="5"/>
    </format>
    <format dxfId="700">
      <pivotArea field="31" type="button" dataOnly="0" labelOnly="1" outline="0" axis="axisRow" fieldPosition="6"/>
    </format>
    <format dxfId="699">
      <pivotArea field="32" type="button" dataOnly="0" labelOnly="1" outline="0" axis="axisRow" fieldPosition="7"/>
    </format>
    <format dxfId="698">
      <pivotArea dataOnly="0" labelOnly="1" grandCol="1" outline="0" fieldPosition="0"/>
    </format>
    <format dxfId="697">
      <pivotArea dataOnly="0" labelOnly="1" outline="0" fieldPosition="0">
        <references count="2">
          <reference field="25" count="2">
            <x v="10"/>
            <x v="11"/>
          </reference>
          <reference field="26" count="1" selected="0">
            <x v="0"/>
          </reference>
        </references>
      </pivotArea>
    </format>
    <format dxfId="696">
      <pivotArea dataOnly="0" labelOnly="1" outline="0" fieldPosition="0">
        <references count="2">
          <reference field="25" count="5">
            <x v="12"/>
            <x v="14"/>
            <x v="15"/>
            <x v="16"/>
            <x v="17"/>
          </reference>
          <reference field="26" count="1" selected="0">
            <x v="1"/>
          </reference>
        </references>
      </pivotArea>
    </format>
    <format dxfId="695">
      <pivotArea field="9" type="button" dataOnly="0" labelOnly="1" outline="0" axis="axisRow" fieldPosition="0"/>
    </format>
    <format dxfId="694">
      <pivotArea field="0" type="button" dataOnly="0" labelOnly="1" outline="0"/>
    </format>
    <format dxfId="693">
      <pivotArea field="7" type="button" dataOnly="0" labelOnly="1" outline="0" axis="axisRow" fieldPosition="1"/>
    </format>
    <format dxfId="692">
      <pivotArea field="1" type="button" dataOnly="0" labelOnly="1" outline="0" axis="axisRow" fieldPosition="2"/>
    </format>
    <format dxfId="691">
      <pivotArea field="21" type="button" dataOnly="0" labelOnly="1" outline="0" axis="axisRow" fieldPosition="3"/>
    </format>
    <format dxfId="690">
      <pivotArea field="17" type="button" dataOnly="0" labelOnly="1" outline="0" axis="axisRow" fieldPosition="4"/>
    </format>
    <format dxfId="689">
      <pivotArea field="18" type="button" dataOnly="0" labelOnly="1" outline="0" axis="axisRow" fieldPosition="5"/>
    </format>
    <format dxfId="688">
      <pivotArea field="31" type="button" dataOnly="0" labelOnly="1" outline="0" axis="axisRow" fieldPosition="6"/>
    </format>
    <format dxfId="687">
      <pivotArea field="32" type="button" dataOnly="0" labelOnly="1" outline="0" axis="axisRow" fieldPosition="7"/>
    </format>
    <format dxfId="686">
      <pivotArea dataOnly="0" labelOnly="1" grandCol="1" outline="0" fieldPosition="0"/>
    </format>
    <format dxfId="685">
      <pivotArea dataOnly="0" labelOnly="1" outline="0" fieldPosition="0">
        <references count="2">
          <reference field="25" count="2">
            <x v="10"/>
            <x v="11"/>
          </reference>
          <reference field="26" count="1" selected="0">
            <x v="0"/>
          </reference>
        </references>
      </pivotArea>
    </format>
    <format dxfId="684">
      <pivotArea dataOnly="0" labelOnly="1" outline="0" fieldPosition="0">
        <references count="2">
          <reference field="25" count="5">
            <x v="12"/>
            <x v="14"/>
            <x v="15"/>
            <x v="16"/>
            <x v="17"/>
          </reference>
          <reference field="26" count="1" selected="0">
            <x v="1"/>
          </reference>
        </references>
      </pivotArea>
    </format>
    <format dxfId="683">
      <pivotArea dataOnly="0" outline="0" fieldPosition="0">
        <references count="1">
          <reference field="9" count="0" sumSubtotal="1"/>
        </references>
      </pivotArea>
    </format>
    <format dxfId="682">
      <pivotArea dataOnly="0" outline="0" fieldPosition="0">
        <references count="1">
          <reference field="9" count="0" sumSubtotal="1"/>
        </references>
      </pivotArea>
    </format>
    <format dxfId="681">
      <pivotArea dataOnly="0" labelOnly="1" outline="0" fieldPosition="0">
        <references count="2">
          <reference field="7" count="1">
            <x v="113"/>
          </reference>
          <reference field="9" count="1" selected="0">
            <x v="2"/>
          </reference>
        </references>
      </pivotArea>
    </format>
    <format dxfId="680">
      <pivotArea dataOnly="0" labelOnly="1" outline="0" fieldPosition="0">
        <references count="2">
          <reference field="7" count="1">
            <x v="134"/>
          </reference>
          <reference field="9" count="1" selected="0">
            <x v="3"/>
          </reference>
        </references>
      </pivotArea>
    </format>
    <format dxfId="679">
      <pivotArea dataOnly="0" labelOnly="1" outline="0" fieldPosition="0">
        <references count="2">
          <reference field="7" count="1">
            <x v="113"/>
          </reference>
          <reference field="9" count="1" selected="0">
            <x v="2"/>
          </reference>
        </references>
      </pivotArea>
    </format>
    <format dxfId="678">
      <pivotArea dataOnly="0" labelOnly="1" outline="0" fieldPosition="0">
        <references count="2">
          <reference field="7" count="1">
            <x v="134"/>
          </reference>
          <reference field="9" count="1" selected="0">
            <x v="3"/>
          </reference>
        </references>
      </pivotArea>
    </format>
    <format dxfId="677">
      <pivotArea dataOnly="0" labelOnly="1" outline="0" fieldPosition="0">
        <references count="6">
          <reference field="1" count="0" selected="0"/>
          <reference field="7" count="1" selected="0">
            <x v="134"/>
          </reference>
          <reference field="9" count="1" selected="0">
            <x v="3"/>
          </reference>
          <reference field="17" count="1" selected="0">
            <x v="18"/>
          </reference>
          <reference field="18" count="1">
            <x v="21"/>
          </reference>
          <reference field="21" count="1" selected="0">
            <x v="40"/>
          </reference>
        </references>
      </pivotArea>
    </format>
    <format dxfId="676">
      <pivotArea dataOnly="0" labelOnly="1" outline="0" fieldPosition="0">
        <references count="6">
          <reference field="1" count="0" selected="0"/>
          <reference field="7" count="1" selected="0">
            <x v="113"/>
          </reference>
          <reference field="9" count="1" selected="0">
            <x v="2"/>
          </reference>
          <reference field="17" count="1" selected="0">
            <x v="7"/>
          </reference>
          <reference field="18" count="1">
            <x v="8"/>
          </reference>
          <reference field="21" count="1" selected="0">
            <x v="37"/>
          </reference>
        </references>
      </pivotArea>
    </format>
    <format dxfId="675">
      <pivotArea dataOnly="0" labelOnly="1" outline="0" fieldPosition="0">
        <references count="6">
          <reference field="1" count="0" selected="0"/>
          <reference field="7" count="1" selected="0">
            <x v="134"/>
          </reference>
          <reference field="9" count="1" selected="0">
            <x v="3"/>
          </reference>
          <reference field="17" count="1" selected="0">
            <x v="18"/>
          </reference>
          <reference field="18" count="1">
            <x v="21"/>
          </reference>
          <reference field="21" count="1" selected="0">
            <x v="40"/>
          </reference>
        </references>
      </pivotArea>
    </format>
    <format dxfId="674">
      <pivotArea dataOnly="0" labelOnly="1" outline="0" fieldPosition="0">
        <references count="6">
          <reference field="1" count="0" selected="0"/>
          <reference field="7" count="1" selected="0">
            <x v="113"/>
          </reference>
          <reference field="9" count="1" selected="0">
            <x v="2"/>
          </reference>
          <reference field="17" count="1" selected="0">
            <x v="7"/>
          </reference>
          <reference field="18" count="1">
            <x v="8"/>
          </reference>
          <reference field="21" count="1" selected="0">
            <x v="37"/>
          </reference>
        </references>
      </pivotArea>
    </format>
    <format dxfId="673">
      <pivotArea dataOnly="0" labelOnly="1" outline="0" fieldPosition="0">
        <references count="2">
          <reference field="7" count="1">
            <x v="131"/>
          </reference>
          <reference field="9" count="1" selected="0">
            <x v="3"/>
          </reference>
        </references>
      </pivotArea>
    </format>
    <format dxfId="672">
      <pivotArea dataOnly="0" labelOnly="1" outline="0" fieldPosition="0">
        <references count="2">
          <reference field="7" count="1">
            <x v="131"/>
          </reference>
          <reference field="9" count="1" selected="0">
            <x v="3"/>
          </reference>
        </references>
      </pivotArea>
    </format>
    <format dxfId="671">
      <pivotArea dataOnly="0" labelOnly="1" outline="0" fieldPosition="0">
        <references count="2">
          <reference field="7" count="1">
            <x v="135"/>
          </reference>
          <reference field="9" count="1" selected="0">
            <x v="3"/>
          </reference>
        </references>
      </pivotArea>
    </format>
    <format dxfId="670">
      <pivotArea dataOnly="0" labelOnly="1" outline="0" fieldPosition="0">
        <references count="2">
          <reference field="7" count="1">
            <x v="135"/>
          </reference>
          <reference field="9" count="1" selected="0">
            <x v="3"/>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B95D8B-9215-4900-839D-C387901CBCD3}" name="PivotTable6" cacheId="7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6:P25"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x="91"/>
        <item x="92"/>
        <item x="93"/>
        <item x="94"/>
        <item x="95"/>
        <item x="96"/>
        <item x="97"/>
        <item x="98"/>
        <item x="100"/>
        <item x="101"/>
        <item x="102"/>
        <item x="2"/>
        <item x="0"/>
        <item x="103"/>
        <item x="104"/>
        <item x="105"/>
        <item x="107"/>
        <item x="109"/>
        <item x="110"/>
        <item m="1" x="134"/>
        <item m="1" x="133"/>
        <item m="1" x="129"/>
        <item m="1" x="136"/>
        <item m="1" x="137"/>
        <item m="1" x="138"/>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m="1" x="41"/>
        <item x="39"/>
        <item x="32"/>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x="0"/>
        <item h="1" x="2"/>
        <item h="1"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7">
    <i>
      <x/>
      <x v="1"/>
      <x/>
    </i>
    <i r="2">
      <x v="1"/>
    </i>
    <i t="sum">
      <x/>
    </i>
    <i>
      <x v="1"/>
      <x v="1"/>
      <x/>
    </i>
    <i r="2">
      <x v="1"/>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87">
    <format dxfId="348">
      <pivotArea dataOnly="0" outline="0" fieldPosition="0">
        <references count="1">
          <reference field="9" count="0" sumSubtotal="1"/>
        </references>
      </pivotArea>
    </format>
    <format dxfId="347">
      <pivotArea dataOnly="0" outline="0" fieldPosition="0">
        <references count="1">
          <reference field="9" count="0" sumSubtotal="1"/>
        </references>
      </pivotArea>
    </format>
    <format dxfId="346">
      <pivotArea field="1" type="button" dataOnly="0" labelOnly="1" outline="0" axis="axisRow" fieldPosition="1"/>
    </format>
    <format dxfId="345">
      <pivotArea field="9" type="button" dataOnly="0" labelOnly="1" outline="0" axis="axisRow" fieldPosition="2"/>
    </format>
    <format dxfId="344">
      <pivotArea field="7" type="button" dataOnly="0" labelOnly="1" outline="0"/>
    </format>
    <format dxfId="343">
      <pivotArea field="0" type="button" dataOnly="0" labelOnly="1" outline="0" axis="axisRow" fieldPosition="0"/>
    </format>
    <format dxfId="342">
      <pivotArea dataOnly="0" labelOnly="1" grandCol="1" outline="0" fieldPosition="0"/>
    </format>
    <format dxfId="341">
      <pivotArea field="1" type="button" dataOnly="0" labelOnly="1" outline="0" axis="axisRow" fieldPosition="1"/>
    </format>
    <format dxfId="340">
      <pivotArea field="9" type="button" dataOnly="0" labelOnly="1" outline="0" axis="axisRow" fieldPosition="2"/>
    </format>
    <format dxfId="339">
      <pivotArea field="7" type="button" dataOnly="0" labelOnly="1" outline="0"/>
    </format>
    <format dxfId="338">
      <pivotArea field="0" type="button" dataOnly="0" labelOnly="1" outline="0" axis="axisRow" fieldPosition="0"/>
    </format>
    <format dxfId="337">
      <pivotArea dataOnly="0" labelOnly="1" grandCol="1" outline="0" fieldPosition="0"/>
    </format>
    <format dxfId="336">
      <pivotArea field="1" type="button" dataOnly="0" labelOnly="1" outline="0" axis="axisRow" fieldPosition="1"/>
    </format>
    <format dxfId="335">
      <pivotArea field="9" type="button" dataOnly="0" labelOnly="1" outline="0" axis="axisRow" fieldPosition="2"/>
    </format>
    <format dxfId="334">
      <pivotArea field="7" type="button" dataOnly="0" labelOnly="1" outline="0"/>
    </format>
    <format dxfId="333">
      <pivotArea field="0" type="button" dataOnly="0" labelOnly="1" outline="0" axis="axisRow" fieldPosition="0"/>
    </format>
    <format dxfId="332">
      <pivotArea dataOnly="0" labelOnly="1" grandCol="1" outline="0" fieldPosition="0"/>
    </format>
    <format dxfId="331">
      <pivotArea field="21" type="button" dataOnly="0" labelOnly="1" outline="0"/>
    </format>
    <format dxfId="330">
      <pivotArea field="21" type="button" dataOnly="0" labelOnly="1" outline="0"/>
    </format>
    <format dxfId="329">
      <pivotArea type="all" dataOnly="0" outline="0" fieldPosition="0"/>
    </format>
    <format dxfId="328">
      <pivotArea type="all" dataOnly="0" outline="0" fieldPosition="0"/>
    </format>
    <format dxfId="327">
      <pivotArea outline="0" collapsedLevelsAreSubtotals="1" fieldPosition="0"/>
    </format>
    <format dxfId="326">
      <pivotArea type="origin" dataOnly="0" labelOnly="1" outline="0" fieldPosition="0"/>
    </format>
    <format dxfId="325">
      <pivotArea type="topRight" dataOnly="0" labelOnly="1" outline="0" fieldPosition="0"/>
    </format>
    <format dxfId="324">
      <pivotArea field="1" type="button" dataOnly="0" labelOnly="1" outline="0" axis="axisRow" fieldPosition="1"/>
    </format>
    <format dxfId="323">
      <pivotArea field="0" type="button" dataOnly="0" labelOnly="1" outline="0" axis="axisRow" fieldPosition="0"/>
    </format>
    <format dxfId="322">
      <pivotArea field="9" type="button" dataOnly="0" labelOnly="1" outline="0" axis="axisRow" fieldPosition="2"/>
    </format>
    <format dxfId="321">
      <pivotArea field="7" type="button" dataOnly="0" labelOnly="1" outline="0"/>
    </format>
    <format dxfId="320">
      <pivotArea field="21" type="button" dataOnly="0" labelOnly="1" outline="0"/>
    </format>
    <format dxfId="319">
      <pivotArea dataOnly="0" labelOnly="1" outline="0" fieldPosition="0">
        <references count="1">
          <reference field="1" count="0"/>
        </references>
      </pivotArea>
    </format>
    <format dxfId="318">
      <pivotArea dataOnly="0" labelOnly="1" grandRow="1" outline="0" fieldPosition="0"/>
    </format>
    <format dxfId="317">
      <pivotArea dataOnly="0" labelOnly="1" outline="0" fieldPosition="0">
        <references count="2">
          <reference field="0" count="0"/>
          <reference field="1" count="0" selected="0"/>
        </references>
      </pivotArea>
    </format>
    <format dxfId="316">
      <pivotArea dataOnly="0" labelOnly="1" outline="0" fieldPosition="0">
        <references count="2">
          <reference field="0" count="0" sumSubtotal="1"/>
          <reference field="1" count="0" selected="0"/>
        </references>
      </pivotArea>
    </format>
    <format dxfId="315">
      <pivotArea dataOnly="0" labelOnly="1" outline="0" fieldPosition="0">
        <references count="3">
          <reference field="0" count="1" selected="0">
            <x v="1"/>
          </reference>
          <reference field="1" count="0" selected="0"/>
          <reference field="9" count="0"/>
        </references>
      </pivotArea>
    </format>
    <format dxfId="314">
      <pivotArea dataOnly="0" labelOnly="1" grandCol="1" outline="0" fieldPosition="0"/>
    </format>
    <format dxfId="313">
      <pivotArea dataOnly="0" outline="0" fieldPosition="0">
        <references count="1">
          <reference field="9" count="0" sumSubtotal="1"/>
        </references>
      </pivotArea>
    </format>
    <format dxfId="312">
      <pivotArea grandCol="1" outline="0" collapsedLevelsAreSubtotals="1" fieldPosition="0"/>
    </format>
    <format dxfId="311">
      <pivotArea field="1" type="button" dataOnly="0" labelOnly="1" outline="0" axis="axisRow" fieldPosition="1"/>
    </format>
    <format dxfId="310">
      <pivotArea field="0" type="button" dataOnly="0" labelOnly="1" outline="0" axis="axisRow" fieldPosition="0"/>
    </format>
    <format dxfId="309">
      <pivotArea field="9" type="button" dataOnly="0" labelOnly="1" outline="0" axis="axisRow" fieldPosition="2"/>
    </format>
    <format dxfId="308">
      <pivotArea field="7" type="button" dataOnly="0" labelOnly="1" outline="0"/>
    </format>
    <format dxfId="307">
      <pivotArea field="21" type="button" dataOnly="0" labelOnly="1" outline="0"/>
    </format>
    <format dxfId="306">
      <pivotArea dataOnly="0" labelOnly="1" grandCol="1" outline="0" fieldPosition="0"/>
    </format>
    <format dxfId="305">
      <pivotArea field="1" type="button" dataOnly="0" labelOnly="1" outline="0" axis="axisRow" fieldPosition="1"/>
    </format>
    <format dxfId="304">
      <pivotArea field="0" type="button" dataOnly="0" labelOnly="1" outline="0" axis="axisRow" fieldPosition="0"/>
    </format>
    <format dxfId="303">
      <pivotArea field="9" type="button" dataOnly="0" labelOnly="1" outline="0" axis="axisRow" fieldPosition="2"/>
    </format>
    <format dxfId="302">
      <pivotArea field="7" type="button" dataOnly="0" labelOnly="1" outline="0"/>
    </format>
    <format dxfId="301">
      <pivotArea field="21" type="button" dataOnly="0" labelOnly="1" outline="0"/>
    </format>
    <format dxfId="300">
      <pivotArea dataOnly="0" labelOnly="1" grandCol="1" outline="0" fieldPosition="0"/>
    </format>
    <format dxfId="299">
      <pivotArea field="1" type="button" dataOnly="0" labelOnly="1" outline="0" axis="axisRow" fieldPosition="1"/>
    </format>
    <format dxfId="298">
      <pivotArea field="0" type="button" dataOnly="0" labelOnly="1" outline="0" axis="axisRow" fieldPosition="0"/>
    </format>
    <format dxfId="297">
      <pivotArea field="9" type="button" dataOnly="0" labelOnly="1" outline="0" axis="axisRow" fieldPosition="2"/>
    </format>
    <format dxfId="296">
      <pivotArea field="7" type="button" dataOnly="0" labelOnly="1" outline="0"/>
    </format>
    <format dxfId="295">
      <pivotArea field="21" type="button" dataOnly="0" labelOnly="1" outline="0"/>
    </format>
    <format dxfId="294">
      <pivotArea dataOnly="0" labelOnly="1" grandCol="1" outline="0" fieldPosition="0"/>
    </format>
    <format dxfId="293">
      <pivotArea field="1" type="button" dataOnly="0" labelOnly="1" outline="0" axis="axisRow" fieldPosition="1"/>
    </format>
    <format dxfId="292">
      <pivotArea field="0" type="button" dataOnly="0" labelOnly="1" outline="0" axis="axisRow" fieldPosition="0"/>
    </format>
    <format dxfId="291">
      <pivotArea field="9" type="button" dataOnly="0" labelOnly="1" outline="0" axis="axisRow" fieldPosition="2"/>
    </format>
    <format dxfId="290">
      <pivotArea field="7" type="button" dataOnly="0" labelOnly="1" outline="0"/>
    </format>
    <format dxfId="289">
      <pivotArea field="21" type="button" dataOnly="0" labelOnly="1" outline="0"/>
    </format>
    <format dxfId="288">
      <pivotArea dataOnly="0" labelOnly="1" grandCol="1" outline="0" fieldPosition="0"/>
    </format>
    <format dxfId="287">
      <pivotArea field="1" type="button" dataOnly="0" labelOnly="1" outline="0" axis="axisRow" fieldPosition="1"/>
    </format>
    <format dxfId="286">
      <pivotArea field="0" type="button" dataOnly="0" labelOnly="1" outline="0" axis="axisRow" fieldPosition="0"/>
    </format>
    <format dxfId="285">
      <pivotArea field="9" type="button" dataOnly="0" labelOnly="1" outline="0" axis="axisRow" fieldPosition="2"/>
    </format>
    <format dxfId="284">
      <pivotArea field="7" type="button" dataOnly="0" labelOnly="1" outline="0"/>
    </format>
    <format dxfId="283">
      <pivotArea field="21" type="button" dataOnly="0" labelOnly="1" outline="0"/>
    </format>
    <format dxfId="282">
      <pivotArea dataOnly="0" labelOnly="1" grandCol="1" outline="0" fieldPosition="0"/>
    </format>
    <format dxfId="281">
      <pivotArea outline="0" fieldPosition="0">
        <references count="1">
          <reference field="4294967294" count="1">
            <x v="0"/>
          </reference>
        </references>
      </pivotArea>
    </format>
    <format dxfId="280">
      <pivotArea dataOnly="0" outline="0" fieldPosition="0">
        <references count="1">
          <reference field="9" count="1">
            <x v="0"/>
          </reference>
        </references>
      </pivotArea>
    </format>
    <format dxfId="279">
      <pivotArea dataOnly="0" outline="0" fieldPosition="0">
        <references count="1">
          <reference field="9" count="1">
            <x v="1"/>
          </reference>
        </references>
      </pivotArea>
    </format>
    <format dxfId="278">
      <pivotArea dataOnly="0" outline="0" fieldPosition="0">
        <references count="1">
          <reference field="9" count="1">
            <x v="3"/>
          </reference>
        </references>
      </pivotArea>
    </format>
    <format dxfId="277">
      <pivotArea dataOnly="0" outline="0" fieldPosition="0">
        <references count="1">
          <reference field="9" count="1">
            <x v="2"/>
          </reference>
        </references>
      </pivotArea>
    </format>
    <format dxfId="276">
      <pivotArea dataOnly="0" labelOnly="1" outline="0" offset="IV7:IV11" fieldPosition="0">
        <references count="1">
          <reference field="0" count="1">
            <x v="0"/>
          </reference>
        </references>
      </pivotArea>
    </format>
    <format dxfId="275">
      <pivotArea field="0" grandCol="1" outline="0" axis="axisRow" fieldPosition="0">
        <references count="1">
          <reference field="0" count="1" selected="0" sumSubtotal="1">
            <x v="0"/>
          </reference>
        </references>
      </pivotArea>
    </format>
    <format dxfId="274">
      <pivotArea field="0" grandCol="1" outline="0" axis="axisRow" fieldPosition="0">
        <references count="1">
          <reference field="0" count="1" selected="0" sumSubtotal="1">
            <x v="0"/>
          </reference>
        </references>
      </pivotArea>
    </format>
    <format dxfId="273">
      <pivotArea outline="0" fieldPosition="0">
        <references count="1">
          <reference field="0" count="1" selected="0" sumSubtotal="1">
            <x v="0"/>
          </reference>
        </references>
      </pivotArea>
    </format>
    <format dxfId="272">
      <pivotArea outline="0" fieldPosition="0">
        <references count="1">
          <reference field="0" count="1" selected="0" sumSubtotal="1">
            <x v="0"/>
          </reference>
        </references>
      </pivotArea>
    </format>
    <format dxfId="271">
      <pivotArea field="0" grandCol="1" outline="0" axis="axisRow" fieldPosition="0">
        <references count="1">
          <reference field="0" count="1" selected="0" sumSubtotal="1">
            <x v="1"/>
          </reference>
        </references>
      </pivotArea>
    </format>
    <format dxfId="270">
      <pivotArea field="0" grandCol="1" outline="0" axis="axisRow" fieldPosition="0">
        <references count="1">
          <reference field="0" count="1" selected="0" sumSubtotal="1">
            <x v="1"/>
          </reference>
        </references>
      </pivotArea>
    </format>
    <format dxfId="269">
      <pivotArea dataOnly="0" outline="0" fieldPosition="0">
        <references count="1">
          <reference field="9" count="1">
            <x v="1"/>
          </reference>
        </references>
      </pivotArea>
    </format>
    <format dxfId="268">
      <pivotArea dataOnly="0" outline="0" fieldPosition="0">
        <references count="1">
          <reference field="9" count="1">
            <x v="1"/>
          </reference>
        </references>
      </pivotArea>
    </format>
    <format dxfId="267">
      <pivotArea dataOnly="0" outline="0" fieldPosition="0">
        <references count="1">
          <reference field="9" count="1">
            <x v="2"/>
          </reference>
        </references>
      </pivotArea>
    </format>
    <format dxfId="266">
      <pivotArea dataOnly="0" outline="0" fieldPosition="0">
        <references count="1">
          <reference field="9" count="1">
            <x v="3"/>
          </reference>
        </references>
      </pivotArea>
    </format>
    <format dxfId="265">
      <pivotArea field="0" grandCol="1" outline="0" axis="axisRow" fieldPosition="0">
        <references count="1">
          <reference field="0" count="1" selected="0" sumSubtotal="1">
            <x v="0"/>
          </reference>
        </references>
      </pivotArea>
    </format>
    <format dxfId="264">
      <pivotArea field="0" grandCol="1" outline="0" axis="axisRow" fieldPosition="0">
        <references count="1">
          <reference field="0" count="1" selected="0" sumSubtotal="1">
            <x v="1"/>
          </reference>
        </references>
      </pivotArea>
    </format>
    <format dxfId="263">
      <pivotArea field="0" grandCol="1" outline="0" axis="axisRow" fieldPosition="0">
        <references count="1">
          <reference field="0" count="1" selected="0" sumSubtotal="1">
            <x v="1"/>
          </reference>
        </references>
      </pivotArea>
    </format>
    <format dxfId="262">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22A73B-71BC-45CA-9A7F-278F1AB2A640}" name="PivotTable5" cacheId="7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2"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x="91"/>
        <item x="92"/>
        <item x="93"/>
        <item x="94"/>
        <item x="95"/>
        <item x="96"/>
        <item x="97"/>
        <item x="98"/>
        <item x="100"/>
        <item x="101"/>
        <item x="102"/>
        <item x="2"/>
        <item x="0"/>
        <item x="103"/>
        <item x="104"/>
        <item x="105"/>
        <item x="107"/>
        <item x="109"/>
        <item x="110"/>
        <item m="1" x="134"/>
        <item m="1" x="133"/>
        <item m="1" x="129"/>
        <item m="1" x="136"/>
        <item m="1" x="137"/>
        <item m="1" x="138"/>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m="1" x="41"/>
        <item x="39"/>
        <item x="32"/>
        <item x="38"/>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9">
    <i>
      <x/>
      <x v="1"/>
      <x v="1"/>
    </i>
    <i r="2">
      <x v="2"/>
    </i>
    <i r="2">
      <x v="3"/>
    </i>
    <i t="sum">
      <x/>
    </i>
    <i>
      <x v="1"/>
      <x v="1"/>
      <x v="1"/>
    </i>
    <i r="2">
      <x v="2"/>
    </i>
    <i r="2">
      <x v="3"/>
    </i>
    <i t="sum">
      <x v="1"/>
    </i>
    <i t="grand">
      <x/>
    </i>
  </rowItems>
  <colFields count="2">
    <field x="26"/>
    <field x="25"/>
  </colFields>
  <colItems count="10">
    <i>
      <x v="2"/>
      <x v="12"/>
    </i>
    <i r="1">
      <x v="14"/>
    </i>
    <i r="1">
      <x v="15"/>
    </i>
    <i r="1">
      <x v="16"/>
    </i>
    <i r="1">
      <x v="17"/>
    </i>
    <i r="1">
      <x v="18"/>
    </i>
    <i r="1">
      <x v="19"/>
    </i>
    <i r="1">
      <x v="20"/>
    </i>
    <i r="1">
      <x v="21"/>
    </i>
    <i t="grand">
      <x/>
    </i>
  </colItems>
  <dataFields count="1">
    <dataField name="VALUE" fld="24" baseField="20" baseItem="10" numFmtId="166"/>
  </dataFields>
  <formats count="87">
    <format dxfId="435">
      <pivotArea dataOnly="0" outline="0" fieldPosition="0">
        <references count="1">
          <reference field="9" count="0" sumSubtotal="1"/>
        </references>
      </pivotArea>
    </format>
    <format dxfId="434">
      <pivotArea dataOnly="0" outline="0" fieldPosition="0">
        <references count="1">
          <reference field="9" count="0" sumSubtotal="1"/>
        </references>
      </pivotArea>
    </format>
    <format dxfId="433">
      <pivotArea field="1" type="button" dataOnly="0" labelOnly="1" outline="0" axis="axisRow" fieldPosition="1"/>
    </format>
    <format dxfId="432">
      <pivotArea field="9" type="button" dataOnly="0" labelOnly="1" outline="0" axis="axisRow" fieldPosition="2"/>
    </format>
    <format dxfId="431">
      <pivotArea field="7" type="button" dataOnly="0" labelOnly="1" outline="0"/>
    </format>
    <format dxfId="430">
      <pivotArea field="0" type="button" dataOnly="0" labelOnly="1" outline="0" axis="axisRow" fieldPosition="0"/>
    </format>
    <format dxfId="429">
      <pivotArea dataOnly="0" labelOnly="1" grandCol="1" outline="0" fieldPosition="0"/>
    </format>
    <format dxfId="428">
      <pivotArea field="1" type="button" dataOnly="0" labelOnly="1" outline="0" axis="axisRow" fieldPosition="1"/>
    </format>
    <format dxfId="427">
      <pivotArea field="9" type="button" dataOnly="0" labelOnly="1" outline="0" axis="axisRow" fieldPosition="2"/>
    </format>
    <format dxfId="426">
      <pivotArea field="7" type="button" dataOnly="0" labelOnly="1" outline="0"/>
    </format>
    <format dxfId="425">
      <pivotArea field="0" type="button" dataOnly="0" labelOnly="1" outline="0" axis="axisRow" fieldPosition="0"/>
    </format>
    <format dxfId="424">
      <pivotArea dataOnly="0" labelOnly="1" grandCol="1" outline="0" fieldPosition="0"/>
    </format>
    <format dxfId="423">
      <pivotArea field="1" type="button" dataOnly="0" labelOnly="1" outline="0" axis="axisRow" fieldPosition="1"/>
    </format>
    <format dxfId="422">
      <pivotArea field="9" type="button" dataOnly="0" labelOnly="1" outline="0" axis="axisRow" fieldPosition="2"/>
    </format>
    <format dxfId="421">
      <pivotArea field="7" type="button" dataOnly="0" labelOnly="1" outline="0"/>
    </format>
    <format dxfId="420">
      <pivotArea field="0" type="button" dataOnly="0" labelOnly="1" outline="0" axis="axisRow" fieldPosition="0"/>
    </format>
    <format dxfId="419">
      <pivotArea dataOnly="0" labelOnly="1" grandCol="1" outline="0" fieldPosition="0"/>
    </format>
    <format dxfId="418">
      <pivotArea field="21" type="button" dataOnly="0" labelOnly="1" outline="0"/>
    </format>
    <format dxfId="417">
      <pivotArea field="21" type="button" dataOnly="0" labelOnly="1" outline="0"/>
    </format>
    <format dxfId="416">
      <pivotArea type="all" dataOnly="0" outline="0" fieldPosition="0"/>
    </format>
    <format dxfId="415">
      <pivotArea type="all" dataOnly="0" outline="0" fieldPosition="0"/>
    </format>
    <format dxfId="414">
      <pivotArea outline="0" collapsedLevelsAreSubtotals="1" fieldPosition="0"/>
    </format>
    <format dxfId="413">
      <pivotArea type="origin" dataOnly="0" labelOnly="1" outline="0" fieldPosition="0"/>
    </format>
    <format dxfId="412">
      <pivotArea type="topRight" dataOnly="0" labelOnly="1" outline="0" fieldPosition="0"/>
    </format>
    <format dxfId="411">
      <pivotArea field="1" type="button" dataOnly="0" labelOnly="1" outline="0" axis="axisRow" fieldPosition="1"/>
    </format>
    <format dxfId="410">
      <pivotArea field="0" type="button" dataOnly="0" labelOnly="1" outline="0" axis="axisRow" fieldPosition="0"/>
    </format>
    <format dxfId="409">
      <pivotArea field="9" type="button" dataOnly="0" labelOnly="1" outline="0" axis="axisRow" fieldPosition="2"/>
    </format>
    <format dxfId="408">
      <pivotArea field="7" type="button" dataOnly="0" labelOnly="1" outline="0"/>
    </format>
    <format dxfId="407">
      <pivotArea field="21" type="button" dataOnly="0" labelOnly="1" outline="0"/>
    </format>
    <format dxfId="406">
      <pivotArea dataOnly="0" labelOnly="1" outline="0" fieldPosition="0">
        <references count="1">
          <reference field="1" count="0"/>
        </references>
      </pivotArea>
    </format>
    <format dxfId="405">
      <pivotArea dataOnly="0" labelOnly="1" grandRow="1" outline="0" fieldPosition="0"/>
    </format>
    <format dxfId="404">
      <pivotArea dataOnly="0" labelOnly="1" outline="0" fieldPosition="0">
        <references count="2">
          <reference field="0" count="0"/>
          <reference field="1" count="0" selected="0"/>
        </references>
      </pivotArea>
    </format>
    <format dxfId="403">
      <pivotArea dataOnly="0" labelOnly="1" outline="0" fieldPosition="0">
        <references count="2">
          <reference field="0" count="0" sumSubtotal="1"/>
          <reference field="1" count="0" selected="0"/>
        </references>
      </pivotArea>
    </format>
    <format dxfId="402">
      <pivotArea dataOnly="0" labelOnly="1" outline="0" fieldPosition="0">
        <references count="3">
          <reference field="0" count="1" selected="0">
            <x v="1"/>
          </reference>
          <reference field="1" count="0" selected="0"/>
          <reference field="9" count="0"/>
        </references>
      </pivotArea>
    </format>
    <format dxfId="401">
      <pivotArea dataOnly="0" labelOnly="1" grandCol="1" outline="0" fieldPosition="0"/>
    </format>
    <format dxfId="400">
      <pivotArea dataOnly="0" outline="0" fieldPosition="0">
        <references count="1">
          <reference field="9" count="0" sumSubtotal="1"/>
        </references>
      </pivotArea>
    </format>
    <format dxfId="399">
      <pivotArea grandCol="1" outline="0" collapsedLevelsAreSubtotals="1" fieldPosition="0"/>
    </format>
    <format dxfId="398">
      <pivotArea field="1" type="button" dataOnly="0" labelOnly="1" outline="0" axis="axisRow" fieldPosition="1"/>
    </format>
    <format dxfId="397">
      <pivotArea field="0" type="button" dataOnly="0" labelOnly="1" outline="0" axis="axisRow" fieldPosition="0"/>
    </format>
    <format dxfId="396">
      <pivotArea field="9" type="button" dataOnly="0" labelOnly="1" outline="0" axis="axisRow" fieldPosition="2"/>
    </format>
    <format dxfId="395">
      <pivotArea field="7" type="button" dataOnly="0" labelOnly="1" outline="0"/>
    </format>
    <format dxfId="394">
      <pivotArea field="21" type="button" dataOnly="0" labelOnly="1" outline="0"/>
    </format>
    <format dxfId="393">
      <pivotArea dataOnly="0" labelOnly="1" grandCol="1" outline="0" fieldPosition="0"/>
    </format>
    <format dxfId="392">
      <pivotArea field="1" type="button" dataOnly="0" labelOnly="1" outline="0" axis="axisRow" fieldPosition="1"/>
    </format>
    <format dxfId="391">
      <pivotArea field="0" type="button" dataOnly="0" labelOnly="1" outline="0" axis="axisRow" fieldPosition="0"/>
    </format>
    <format dxfId="390">
      <pivotArea field="9" type="button" dataOnly="0" labelOnly="1" outline="0" axis="axisRow" fieldPosition="2"/>
    </format>
    <format dxfId="389">
      <pivotArea field="7" type="button" dataOnly="0" labelOnly="1" outline="0"/>
    </format>
    <format dxfId="388">
      <pivotArea field="21" type="button" dataOnly="0" labelOnly="1" outline="0"/>
    </format>
    <format dxfId="387">
      <pivotArea dataOnly="0" labelOnly="1" grandCol="1" outline="0" fieldPosition="0"/>
    </format>
    <format dxfId="386">
      <pivotArea field="1" type="button" dataOnly="0" labelOnly="1" outline="0" axis="axisRow" fieldPosition="1"/>
    </format>
    <format dxfId="385">
      <pivotArea field="0" type="button" dataOnly="0" labelOnly="1" outline="0" axis="axisRow" fieldPosition="0"/>
    </format>
    <format dxfId="384">
      <pivotArea field="9" type="button" dataOnly="0" labelOnly="1" outline="0" axis="axisRow" fieldPosition="2"/>
    </format>
    <format dxfId="383">
      <pivotArea field="7" type="button" dataOnly="0" labelOnly="1" outline="0"/>
    </format>
    <format dxfId="382">
      <pivotArea field="21" type="button" dataOnly="0" labelOnly="1" outline="0"/>
    </format>
    <format dxfId="381">
      <pivotArea dataOnly="0" labelOnly="1" grandCol="1" outline="0" fieldPosition="0"/>
    </format>
    <format dxfId="380">
      <pivotArea field="1" type="button" dataOnly="0" labelOnly="1" outline="0" axis="axisRow" fieldPosition="1"/>
    </format>
    <format dxfId="379">
      <pivotArea field="0" type="button" dataOnly="0" labelOnly="1" outline="0" axis="axisRow" fieldPosition="0"/>
    </format>
    <format dxfId="378">
      <pivotArea field="9" type="button" dataOnly="0" labelOnly="1" outline="0" axis="axisRow" fieldPosition="2"/>
    </format>
    <format dxfId="377">
      <pivotArea field="7" type="button" dataOnly="0" labelOnly="1" outline="0"/>
    </format>
    <format dxfId="376">
      <pivotArea field="21" type="button" dataOnly="0" labelOnly="1" outline="0"/>
    </format>
    <format dxfId="375">
      <pivotArea dataOnly="0" labelOnly="1" grandCol="1" outline="0" fieldPosition="0"/>
    </format>
    <format dxfId="374">
      <pivotArea field="1" type="button" dataOnly="0" labelOnly="1" outline="0" axis="axisRow" fieldPosition="1"/>
    </format>
    <format dxfId="373">
      <pivotArea field="0" type="button" dataOnly="0" labelOnly="1" outline="0" axis="axisRow" fieldPosition="0"/>
    </format>
    <format dxfId="372">
      <pivotArea field="9" type="button" dataOnly="0" labelOnly="1" outline="0" axis="axisRow" fieldPosition="2"/>
    </format>
    <format dxfId="371">
      <pivotArea field="7" type="button" dataOnly="0" labelOnly="1" outline="0"/>
    </format>
    <format dxfId="370">
      <pivotArea field="21" type="button" dataOnly="0" labelOnly="1" outline="0"/>
    </format>
    <format dxfId="369">
      <pivotArea dataOnly="0" labelOnly="1" grandCol="1" outline="0" fieldPosition="0"/>
    </format>
    <format dxfId="368">
      <pivotArea outline="0" fieldPosition="0">
        <references count="1">
          <reference field="4294967294" count="1">
            <x v="0"/>
          </reference>
        </references>
      </pivotArea>
    </format>
    <format dxfId="367">
      <pivotArea dataOnly="0" outline="0" fieldPosition="0">
        <references count="1">
          <reference field="9" count="1">
            <x v="0"/>
          </reference>
        </references>
      </pivotArea>
    </format>
    <format dxfId="366">
      <pivotArea dataOnly="0" outline="0" fieldPosition="0">
        <references count="1">
          <reference field="9" count="1">
            <x v="1"/>
          </reference>
        </references>
      </pivotArea>
    </format>
    <format dxfId="365">
      <pivotArea dataOnly="0" outline="0" fieldPosition="0">
        <references count="1">
          <reference field="9" count="1">
            <x v="3"/>
          </reference>
        </references>
      </pivotArea>
    </format>
    <format dxfId="364">
      <pivotArea dataOnly="0" outline="0" fieldPosition="0">
        <references count="1">
          <reference field="9" count="1">
            <x v="2"/>
          </reference>
        </references>
      </pivotArea>
    </format>
    <format dxfId="363">
      <pivotArea dataOnly="0" labelOnly="1" outline="0" offset="IV7:IV11" fieldPosition="0">
        <references count="1">
          <reference field="0" count="1">
            <x v="0"/>
          </reference>
        </references>
      </pivotArea>
    </format>
    <format dxfId="362">
      <pivotArea field="0" grandCol="1" outline="0" axis="axisRow" fieldPosition="0">
        <references count="1">
          <reference field="0" count="1" selected="0" sumSubtotal="1">
            <x v="0"/>
          </reference>
        </references>
      </pivotArea>
    </format>
    <format dxfId="361">
      <pivotArea field="0" grandCol="1" outline="0" axis="axisRow" fieldPosition="0">
        <references count="1">
          <reference field="0" count="1" selected="0" sumSubtotal="1">
            <x v="0"/>
          </reference>
        </references>
      </pivotArea>
    </format>
    <format dxfId="360">
      <pivotArea outline="0" fieldPosition="0">
        <references count="1">
          <reference field="0" count="1" selected="0" sumSubtotal="1">
            <x v="0"/>
          </reference>
        </references>
      </pivotArea>
    </format>
    <format dxfId="359">
      <pivotArea outline="0" fieldPosition="0">
        <references count="1">
          <reference field="0" count="1" selected="0" sumSubtotal="1">
            <x v="0"/>
          </reference>
        </references>
      </pivotArea>
    </format>
    <format dxfId="358">
      <pivotArea field="0" grandCol="1" outline="0" axis="axisRow" fieldPosition="0">
        <references count="1">
          <reference field="0" count="1" selected="0" sumSubtotal="1">
            <x v="1"/>
          </reference>
        </references>
      </pivotArea>
    </format>
    <format dxfId="357">
      <pivotArea field="0" grandCol="1" outline="0" axis="axisRow" fieldPosition="0">
        <references count="1">
          <reference field="0" count="1" selected="0" sumSubtotal="1">
            <x v="1"/>
          </reference>
        </references>
      </pivotArea>
    </format>
    <format dxfId="356">
      <pivotArea dataOnly="0" outline="0" fieldPosition="0">
        <references count="1">
          <reference field="9" count="1">
            <x v="1"/>
          </reference>
        </references>
      </pivotArea>
    </format>
    <format dxfId="355">
      <pivotArea dataOnly="0" outline="0" fieldPosition="0">
        <references count="1">
          <reference field="9" count="1">
            <x v="1"/>
          </reference>
        </references>
      </pivotArea>
    </format>
    <format dxfId="354">
      <pivotArea dataOnly="0" outline="0" fieldPosition="0">
        <references count="1">
          <reference field="9" count="1">
            <x v="2"/>
          </reference>
        </references>
      </pivotArea>
    </format>
    <format dxfId="353">
      <pivotArea dataOnly="0" outline="0" fieldPosition="0">
        <references count="1">
          <reference field="9" count="1">
            <x v="3"/>
          </reference>
        </references>
      </pivotArea>
    </format>
    <format dxfId="352">
      <pivotArea field="0" grandCol="1" outline="0" axis="axisRow" fieldPosition="0">
        <references count="1">
          <reference field="0" count="1" selected="0" sumSubtotal="1">
            <x v="0"/>
          </reference>
        </references>
      </pivotArea>
    </format>
    <format dxfId="351">
      <pivotArea field="0" grandCol="1" outline="0" axis="axisRow" fieldPosition="0">
        <references count="1">
          <reference field="0" count="1" selected="0" sumSubtotal="1">
            <x v="1"/>
          </reference>
        </references>
      </pivotArea>
    </format>
    <format dxfId="350">
      <pivotArea field="0" grandCol="1" outline="0" axis="axisRow" fieldPosition="0">
        <references count="1">
          <reference field="0" count="1" selected="0" sumSubtotal="1">
            <x v="1"/>
          </reference>
        </references>
      </pivotArea>
    </format>
    <format dxfId="349">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DF0DEA4-3EE1-436B-B2BC-81600D75B55F}" name="PivotTable3" cacheId="7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R1:W20" firstHeaderRow="1" firstDataRow="1" firstDataCol="5"/>
  <pivotFields count="58">
    <pivotField axis="axisRow" compact="0" outline="0" showAll="0" sumSubtotal="1">
      <items count="6">
        <item h="1" x="1"/>
        <item x="0"/>
        <item h="1" x="4"/>
        <item h="1" x="2"/>
        <item h="1"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9">
        <item x="1"/>
        <item x="15"/>
        <item x="3"/>
        <item x="4"/>
        <item x="24"/>
        <item x="16"/>
        <item x="19"/>
        <item x="13"/>
        <item x="5"/>
        <item x="10"/>
        <item x="8"/>
        <item x="12"/>
        <item x="18"/>
        <item x="22"/>
        <item x="23"/>
        <item x="58"/>
        <item x="6"/>
        <item x="21"/>
        <item x="7"/>
        <item x="25"/>
        <item x="26"/>
        <item x="27"/>
        <item x="28"/>
        <item x="29"/>
        <item x="30"/>
        <item x="31"/>
        <item x="61"/>
        <item x="33"/>
        <item m="1" x="126"/>
        <item x="37"/>
        <item x="32"/>
        <item x="34"/>
        <item x="38"/>
        <item x="39"/>
        <item x="40"/>
        <item x="41"/>
        <item x="63"/>
        <item x="42"/>
        <item x="43"/>
        <item x="44"/>
        <item x="45"/>
        <item x="46"/>
        <item x="47"/>
        <item x="48"/>
        <item x="49"/>
        <item x="50"/>
        <item x="52"/>
        <item x="53"/>
        <item x="54"/>
        <item x="55"/>
        <item x="56"/>
        <item x="57"/>
        <item x="59"/>
        <item x="60"/>
        <item x="65"/>
        <item x="66"/>
        <item x="67"/>
        <item x="68"/>
        <item x="69"/>
        <item x="70"/>
        <item m="1" x="131"/>
        <item x="72"/>
        <item x="73"/>
        <item x="74"/>
        <item x="17"/>
        <item x="51"/>
        <item x="75"/>
        <item x="76"/>
        <item x="77"/>
        <item x="14"/>
        <item x="64"/>
        <item x="78"/>
        <item x="79"/>
        <item x="80"/>
        <item x="81"/>
        <item x="82"/>
        <item x="83"/>
        <item x="84"/>
        <item m="1" x="132"/>
        <item x="86"/>
        <item x="87"/>
        <item x="88"/>
        <item x="89"/>
        <item x="90"/>
        <item x="91"/>
        <item x="92"/>
        <item x="93"/>
        <item x="94"/>
        <item x="95"/>
        <item x="96"/>
        <item x="97"/>
        <item x="98"/>
        <item x="100"/>
        <item x="101"/>
        <item x="102"/>
        <item x="2"/>
        <item x="0"/>
        <item x="103"/>
        <item x="104"/>
        <item x="105"/>
        <item x="107"/>
        <item x="109"/>
        <item x="110"/>
        <item m="1" x="134"/>
        <item m="1" x="133"/>
        <item m="1" x="129"/>
        <item m="1" x="136"/>
        <item m="1" x="137"/>
        <item m="1" x="138"/>
        <item x="112"/>
        <item m="1" x="130"/>
        <item m="1" x="135"/>
        <item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dataField="1"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2">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40"/>
        <item x="10"/>
        <item x="31"/>
        <item x="37"/>
        <item m="1" x="41"/>
        <item x="39"/>
        <item x="32"/>
        <item x="38"/>
        <item x="1"/>
      </items>
    </pivotField>
    <pivotField compact="0" outline="0" subtotalTop="0" showAll="0" defaultSubtotal="0"/>
    <pivotField compact="0" outline="0" showAll="0" defaultSubtotal="0"/>
    <pivotField compact="0" outline="0" subtotalTop="0" showAll="0" defaultSubtotal="0"/>
    <pivotField name="SM" axis="axisRow"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Row"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1"/>
    <field x="9"/>
    <field x="25"/>
    <field x="26"/>
  </rowFields>
  <rowItems count="19">
    <i>
      <x v="1"/>
      <x/>
      <x v="1"/>
      <x v="9"/>
      <x/>
    </i>
    <i r="3">
      <x v="10"/>
      <x/>
    </i>
    <i t="sum" r="1">
      <x/>
    </i>
    <i r="1">
      <x v="1"/>
      <x v="1"/>
      <x v="9"/>
      <x/>
    </i>
    <i r="3">
      <x v="10"/>
      <x/>
    </i>
    <i r="3">
      <x v="11"/>
      <x/>
    </i>
    <i r="3">
      <x v="12"/>
      <x v="2"/>
    </i>
    <i r="3">
      <x v="15"/>
      <x v="2"/>
    </i>
    <i r="2">
      <x v="2"/>
      <x v="12"/>
      <x v="2"/>
    </i>
    <i r="2">
      <x v="3"/>
      <x v="12"/>
      <x v="2"/>
    </i>
    <i r="3">
      <x v="15"/>
      <x v="2"/>
    </i>
    <i r="3">
      <x v="16"/>
      <x v="2"/>
    </i>
    <i r="3">
      <x v="17"/>
      <x v="2"/>
    </i>
    <i r="3">
      <x v="18"/>
      <x v="2"/>
    </i>
    <i r="3">
      <x v="19"/>
      <x v="2"/>
    </i>
    <i r="3">
      <x v="20"/>
      <x v="2"/>
    </i>
    <i t="sum" r="1">
      <x v="1"/>
    </i>
    <i t="sum">
      <x v="1"/>
    </i>
    <i t="grand">
      <x/>
    </i>
  </rowItems>
  <colItems count="1">
    <i/>
  </colItems>
  <dataFields count="1">
    <dataField name="Sum of COUNT" fld="8" baseField="0" baseItem="0"/>
  </dataFields>
  <formats count="86">
    <format dxfId="521">
      <pivotArea dataOnly="0" outline="0" fieldPosition="0">
        <references count="1">
          <reference field="9" count="0" sumSubtotal="1"/>
        </references>
      </pivotArea>
    </format>
    <format dxfId="520">
      <pivotArea dataOnly="0" outline="0" fieldPosition="0">
        <references count="1">
          <reference field="9" count="0" sumSubtotal="1"/>
        </references>
      </pivotArea>
    </format>
    <format dxfId="519">
      <pivotArea field="1" type="button" dataOnly="0" labelOnly="1" outline="0" axis="axisRow" fieldPosition="1"/>
    </format>
    <format dxfId="518">
      <pivotArea field="9" type="button" dataOnly="0" labelOnly="1" outline="0" axis="axisRow" fieldPosition="2"/>
    </format>
    <format dxfId="517">
      <pivotArea field="7" type="button" dataOnly="0" labelOnly="1" outline="0"/>
    </format>
    <format dxfId="516">
      <pivotArea field="0" type="button" dataOnly="0" labelOnly="1" outline="0" axis="axisRow" fieldPosition="0"/>
    </format>
    <format dxfId="515">
      <pivotArea dataOnly="0" labelOnly="1" grandCol="1" outline="0" fieldPosition="0"/>
    </format>
    <format dxfId="514">
      <pivotArea field="1" type="button" dataOnly="0" labelOnly="1" outline="0" axis="axisRow" fieldPosition="1"/>
    </format>
    <format dxfId="513">
      <pivotArea field="9" type="button" dataOnly="0" labelOnly="1" outline="0" axis="axisRow" fieldPosition="2"/>
    </format>
    <format dxfId="512">
      <pivotArea field="7" type="button" dataOnly="0" labelOnly="1" outline="0"/>
    </format>
    <format dxfId="511">
      <pivotArea field="0" type="button" dataOnly="0" labelOnly="1" outline="0" axis="axisRow" fieldPosition="0"/>
    </format>
    <format dxfId="510">
      <pivotArea dataOnly="0" labelOnly="1" grandCol="1" outline="0" fieldPosition="0"/>
    </format>
    <format dxfId="509">
      <pivotArea field="1" type="button" dataOnly="0" labelOnly="1" outline="0" axis="axisRow" fieldPosition="1"/>
    </format>
    <format dxfId="508">
      <pivotArea field="9" type="button" dataOnly="0" labelOnly="1" outline="0" axis="axisRow" fieldPosition="2"/>
    </format>
    <format dxfId="507">
      <pivotArea field="7" type="button" dataOnly="0" labelOnly="1" outline="0"/>
    </format>
    <format dxfId="506">
      <pivotArea field="0" type="button" dataOnly="0" labelOnly="1" outline="0" axis="axisRow" fieldPosition="0"/>
    </format>
    <format dxfId="505">
      <pivotArea dataOnly="0" labelOnly="1" grandCol="1" outline="0" fieldPosition="0"/>
    </format>
    <format dxfId="504">
      <pivotArea field="21" type="button" dataOnly="0" labelOnly="1" outline="0"/>
    </format>
    <format dxfId="503">
      <pivotArea field="21" type="button" dataOnly="0" labelOnly="1" outline="0"/>
    </format>
    <format dxfId="502">
      <pivotArea type="all" dataOnly="0" outline="0" fieldPosition="0"/>
    </format>
    <format dxfId="501">
      <pivotArea type="all" dataOnly="0" outline="0" fieldPosition="0"/>
    </format>
    <format dxfId="500">
      <pivotArea outline="0" collapsedLevelsAreSubtotals="1" fieldPosition="0"/>
    </format>
    <format dxfId="499">
      <pivotArea type="origin" dataOnly="0" labelOnly="1" outline="0" fieldPosition="0"/>
    </format>
    <format dxfId="498">
      <pivotArea type="topRight" dataOnly="0" labelOnly="1" outline="0" fieldPosition="0"/>
    </format>
    <format dxfId="497">
      <pivotArea field="1" type="button" dataOnly="0" labelOnly="1" outline="0" axis="axisRow" fieldPosition="1"/>
    </format>
    <format dxfId="496">
      <pivotArea field="0" type="button" dataOnly="0" labelOnly="1" outline="0" axis="axisRow" fieldPosition="0"/>
    </format>
    <format dxfId="495">
      <pivotArea field="9" type="button" dataOnly="0" labelOnly="1" outline="0" axis="axisRow" fieldPosition="2"/>
    </format>
    <format dxfId="494">
      <pivotArea field="7" type="button" dataOnly="0" labelOnly="1" outline="0"/>
    </format>
    <format dxfId="493">
      <pivotArea field="21" type="button" dataOnly="0" labelOnly="1" outline="0"/>
    </format>
    <format dxfId="492">
      <pivotArea dataOnly="0" labelOnly="1" outline="0" fieldPosition="0">
        <references count="1">
          <reference field="1" count="0"/>
        </references>
      </pivotArea>
    </format>
    <format dxfId="491">
      <pivotArea dataOnly="0" labelOnly="1" grandRow="1" outline="0" fieldPosition="0"/>
    </format>
    <format dxfId="490">
      <pivotArea dataOnly="0" labelOnly="1" outline="0" fieldPosition="0">
        <references count="2">
          <reference field="0" count="0"/>
          <reference field="1" count="0" selected="0"/>
        </references>
      </pivotArea>
    </format>
    <format dxfId="489">
      <pivotArea dataOnly="0" labelOnly="1" outline="0" fieldPosition="0">
        <references count="2">
          <reference field="0" count="0" sumSubtotal="1"/>
          <reference field="1" count="0" selected="0"/>
        </references>
      </pivotArea>
    </format>
    <format dxfId="488">
      <pivotArea dataOnly="0" labelOnly="1" outline="0" fieldPosition="0">
        <references count="3">
          <reference field="0" count="1" selected="0">
            <x v="1"/>
          </reference>
          <reference field="1" count="0" selected="0"/>
          <reference field="9" count="0"/>
        </references>
      </pivotArea>
    </format>
    <format dxfId="487">
      <pivotArea dataOnly="0" labelOnly="1" grandCol="1" outline="0" fieldPosition="0"/>
    </format>
    <format dxfId="486">
      <pivotArea dataOnly="0" outline="0" fieldPosition="0">
        <references count="1">
          <reference field="9" count="0" sumSubtotal="1"/>
        </references>
      </pivotArea>
    </format>
    <format dxfId="485">
      <pivotArea grandCol="1" outline="0" collapsedLevelsAreSubtotals="1" fieldPosition="0"/>
    </format>
    <format dxfId="484">
      <pivotArea field="1" type="button" dataOnly="0" labelOnly="1" outline="0" axis="axisRow" fieldPosition="1"/>
    </format>
    <format dxfId="483">
      <pivotArea field="0" type="button" dataOnly="0" labelOnly="1" outline="0" axis="axisRow" fieldPosition="0"/>
    </format>
    <format dxfId="482">
      <pivotArea field="9" type="button" dataOnly="0" labelOnly="1" outline="0" axis="axisRow" fieldPosition="2"/>
    </format>
    <format dxfId="481">
      <pivotArea field="7" type="button" dataOnly="0" labelOnly="1" outline="0"/>
    </format>
    <format dxfId="480">
      <pivotArea field="21" type="button" dataOnly="0" labelOnly="1" outline="0"/>
    </format>
    <format dxfId="479">
      <pivotArea dataOnly="0" labelOnly="1" grandCol="1" outline="0" fieldPosition="0"/>
    </format>
    <format dxfId="478">
      <pivotArea field="1" type="button" dataOnly="0" labelOnly="1" outline="0" axis="axisRow" fieldPosition="1"/>
    </format>
    <format dxfId="477">
      <pivotArea field="0" type="button" dataOnly="0" labelOnly="1" outline="0" axis="axisRow" fieldPosition="0"/>
    </format>
    <format dxfId="476">
      <pivotArea field="9" type="button" dataOnly="0" labelOnly="1" outline="0" axis="axisRow" fieldPosition="2"/>
    </format>
    <format dxfId="475">
      <pivotArea field="7" type="button" dataOnly="0" labelOnly="1" outline="0"/>
    </format>
    <format dxfId="474">
      <pivotArea field="21" type="button" dataOnly="0" labelOnly="1" outline="0"/>
    </format>
    <format dxfId="473">
      <pivotArea dataOnly="0" labelOnly="1" grandCol="1" outline="0" fieldPosition="0"/>
    </format>
    <format dxfId="472">
      <pivotArea field="1" type="button" dataOnly="0" labelOnly="1" outline="0" axis="axisRow" fieldPosition="1"/>
    </format>
    <format dxfId="471">
      <pivotArea field="0" type="button" dataOnly="0" labelOnly="1" outline="0" axis="axisRow" fieldPosition="0"/>
    </format>
    <format dxfId="470">
      <pivotArea field="9" type="button" dataOnly="0" labelOnly="1" outline="0" axis="axisRow" fieldPosition="2"/>
    </format>
    <format dxfId="469">
      <pivotArea field="7" type="button" dataOnly="0" labelOnly="1" outline="0"/>
    </format>
    <format dxfId="468">
      <pivotArea field="21" type="button" dataOnly="0" labelOnly="1" outline="0"/>
    </format>
    <format dxfId="467">
      <pivotArea dataOnly="0" labelOnly="1" grandCol="1" outline="0" fieldPosition="0"/>
    </format>
    <format dxfId="466">
      <pivotArea field="1" type="button" dataOnly="0" labelOnly="1" outline="0" axis="axisRow" fieldPosition="1"/>
    </format>
    <format dxfId="465">
      <pivotArea field="0" type="button" dataOnly="0" labelOnly="1" outline="0" axis="axisRow" fieldPosition="0"/>
    </format>
    <format dxfId="464">
      <pivotArea field="9" type="button" dataOnly="0" labelOnly="1" outline="0" axis="axisRow" fieldPosition="2"/>
    </format>
    <format dxfId="463">
      <pivotArea field="7" type="button" dataOnly="0" labelOnly="1" outline="0"/>
    </format>
    <format dxfId="462">
      <pivotArea field="21" type="button" dataOnly="0" labelOnly="1" outline="0"/>
    </format>
    <format dxfId="461">
      <pivotArea dataOnly="0" labelOnly="1" grandCol="1" outline="0" fieldPosition="0"/>
    </format>
    <format dxfId="460">
      <pivotArea field="1" type="button" dataOnly="0" labelOnly="1" outline="0" axis="axisRow" fieldPosition="1"/>
    </format>
    <format dxfId="459">
      <pivotArea field="0" type="button" dataOnly="0" labelOnly="1" outline="0" axis="axisRow" fieldPosition="0"/>
    </format>
    <format dxfId="458">
      <pivotArea field="9" type="button" dataOnly="0" labelOnly="1" outline="0" axis="axisRow" fieldPosition="2"/>
    </format>
    <format dxfId="457">
      <pivotArea field="7" type="button" dataOnly="0" labelOnly="1" outline="0"/>
    </format>
    <format dxfId="456">
      <pivotArea field="21" type="button" dataOnly="0" labelOnly="1" outline="0"/>
    </format>
    <format dxfId="455">
      <pivotArea dataOnly="0" labelOnly="1" grandCol="1" outline="0" fieldPosition="0"/>
    </format>
    <format dxfId="454">
      <pivotArea dataOnly="0" outline="0" fieldPosition="0">
        <references count="1">
          <reference field="9" count="1">
            <x v="0"/>
          </reference>
        </references>
      </pivotArea>
    </format>
    <format dxfId="453">
      <pivotArea dataOnly="0" outline="0" fieldPosition="0">
        <references count="1">
          <reference field="9" count="1">
            <x v="1"/>
          </reference>
        </references>
      </pivotArea>
    </format>
    <format dxfId="452">
      <pivotArea dataOnly="0" outline="0" fieldPosition="0">
        <references count="1">
          <reference field="9" count="1">
            <x v="3"/>
          </reference>
        </references>
      </pivotArea>
    </format>
    <format dxfId="451">
      <pivotArea dataOnly="0" outline="0" fieldPosition="0">
        <references count="1">
          <reference field="9" count="1">
            <x v="2"/>
          </reference>
        </references>
      </pivotArea>
    </format>
    <format dxfId="450">
      <pivotArea dataOnly="0" labelOnly="1" outline="0" offset="IV7:IV11" fieldPosition="0">
        <references count="1">
          <reference field="0" count="1">
            <x v="0"/>
          </reference>
        </references>
      </pivotArea>
    </format>
    <format dxfId="449">
      <pivotArea field="0" grandCol="1" outline="0" axis="axisRow" fieldPosition="0">
        <references count="1">
          <reference field="0" count="1" selected="0" sumSubtotal="1">
            <x v="0"/>
          </reference>
        </references>
      </pivotArea>
    </format>
    <format dxfId="448">
      <pivotArea field="0" grandCol="1" outline="0" axis="axisRow" fieldPosition="0">
        <references count="1">
          <reference field="0" count="1" selected="0" sumSubtotal="1">
            <x v="0"/>
          </reference>
        </references>
      </pivotArea>
    </format>
    <format dxfId="447">
      <pivotArea outline="0" fieldPosition="0">
        <references count="1">
          <reference field="0" count="1" selected="0" sumSubtotal="1">
            <x v="0"/>
          </reference>
        </references>
      </pivotArea>
    </format>
    <format dxfId="446">
      <pivotArea outline="0" fieldPosition="0">
        <references count="1">
          <reference field="0" count="1" selected="0" sumSubtotal="1">
            <x v="0"/>
          </reference>
        </references>
      </pivotArea>
    </format>
    <format dxfId="445">
      <pivotArea field="0" grandCol="1" outline="0" axis="axisRow" fieldPosition="0">
        <references count="1">
          <reference field="0" count="1" selected="0" sumSubtotal="1">
            <x v="1"/>
          </reference>
        </references>
      </pivotArea>
    </format>
    <format dxfId="444">
      <pivotArea field="0" grandCol="1" outline="0" axis="axisRow" fieldPosition="0">
        <references count="1">
          <reference field="0" count="1" selected="0" sumSubtotal="1">
            <x v="1"/>
          </reference>
        </references>
      </pivotArea>
    </format>
    <format dxfId="443">
      <pivotArea dataOnly="0" outline="0" fieldPosition="0">
        <references count="1">
          <reference field="9" count="1">
            <x v="1"/>
          </reference>
        </references>
      </pivotArea>
    </format>
    <format dxfId="442">
      <pivotArea dataOnly="0" outline="0" fieldPosition="0">
        <references count="1">
          <reference field="9" count="1">
            <x v="1"/>
          </reference>
        </references>
      </pivotArea>
    </format>
    <format dxfId="441">
      <pivotArea dataOnly="0" outline="0" fieldPosition="0">
        <references count="1">
          <reference field="9" count="1">
            <x v="2"/>
          </reference>
        </references>
      </pivotArea>
    </format>
    <format dxfId="440">
      <pivotArea dataOnly="0" outline="0" fieldPosition="0">
        <references count="1">
          <reference field="9" count="1">
            <x v="3"/>
          </reference>
        </references>
      </pivotArea>
    </format>
    <format dxfId="439">
      <pivotArea field="0" grandCol="1" outline="0" axis="axisRow" fieldPosition="0">
        <references count="1">
          <reference field="0" count="1" selected="0" sumSubtotal="1">
            <x v="0"/>
          </reference>
        </references>
      </pivotArea>
    </format>
    <format dxfId="438">
      <pivotArea field="0" grandCol="1" outline="0" axis="axisRow" fieldPosition="0">
        <references count="1">
          <reference field="0" count="1" selected="0" sumSubtotal="1">
            <x v="1"/>
          </reference>
        </references>
      </pivotArea>
    </format>
    <format dxfId="437">
      <pivotArea field="0" grandCol="1" outline="0" axis="axisRow" fieldPosition="0">
        <references count="1">
          <reference field="0" count="1" selected="0" sumSubtotal="1">
            <x v="1"/>
          </reference>
        </references>
      </pivotArea>
    </format>
    <format dxfId="436">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7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67"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9">
        <item m="1" x="129"/>
        <item x="24"/>
        <item x="15"/>
        <item x="28"/>
        <item x="30"/>
        <item x="46"/>
        <item x="32"/>
        <item x="34"/>
        <item x="40"/>
        <item x="38"/>
        <item x="41"/>
        <item x="6"/>
        <item x="3"/>
        <item x="5"/>
        <item x="4"/>
        <item x="14"/>
        <item x="18"/>
        <item x="21"/>
        <item x="96"/>
        <item x="97"/>
        <item x="98"/>
        <item x="49"/>
        <item sd="0" x="50"/>
        <item x="80"/>
        <item x="101"/>
        <item x="102"/>
        <item x="45"/>
        <item x="65"/>
        <item x="88"/>
        <item x="25"/>
        <item x="57"/>
        <item x="92"/>
        <item x="75"/>
        <item x="29"/>
        <item x="60"/>
        <item x="70"/>
        <item x="59"/>
        <item x="69"/>
        <item m="1" x="137"/>
        <item x="74"/>
        <item x="78"/>
        <item x="61"/>
        <item x="33"/>
        <item x="26"/>
        <item x="27"/>
        <item x="47"/>
        <item x="76"/>
        <item x="37"/>
        <item sd="0" x="39"/>
        <item x="63"/>
        <item x="94"/>
        <item x="93"/>
        <item x="100"/>
        <item x="58"/>
        <item x="79"/>
        <item x="82"/>
        <item x="7"/>
        <item x="68"/>
        <item x="87"/>
        <item x="66"/>
        <item x="89"/>
        <item x="90"/>
        <item x="83"/>
        <item x="86"/>
        <item x="1"/>
        <item x="0"/>
        <item x="2"/>
        <item x="67"/>
        <item x="8"/>
        <item x="77"/>
        <item m="1" x="132"/>
        <item x="23"/>
        <item x="73"/>
        <item x="84"/>
        <item x="10"/>
        <item x="12"/>
        <item x="53"/>
        <item x="64"/>
        <item x="13"/>
        <item x="16"/>
        <item sd="0" x="91"/>
        <item x="22"/>
        <item x="17"/>
        <item x="19"/>
        <item m="1" x="131"/>
        <item x="54"/>
        <item x="43"/>
        <item x="95"/>
        <item x="42"/>
        <item x="48"/>
        <item x="56"/>
        <item x="31"/>
        <item x="72"/>
        <item x="52"/>
        <item x="44"/>
        <item x="51"/>
        <item m="1" x="126"/>
        <item x="81"/>
        <item m="1" x="138"/>
        <item x="55"/>
        <item sd="0" x="103"/>
        <item x="104"/>
        <item x="105"/>
        <item x="107"/>
        <item sd="0" x="109"/>
        <item x="110"/>
        <item m="1" x="136"/>
        <item m="1" x="134"/>
        <item m="1" x="133"/>
        <item x="112"/>
        <item sd="0" m="1" x="130"/>
        <item m="1" x="135"/>
        <item sd="0" x="99"/>
        <item x="113"/>
        <item x="111"/>
        <item x="85"/>
        <item x="115"/>
        <item x="71"/>
        <item x="116"/>
        <item x="106"/>
        <item x="108"/>
        <item x="11"/>
        <item x="9"/>
        <item x="35"/>
        <item x="117"/>
        <item m="1" x="127"/>
        <item x="119"/>
        <item x="120"/>
        <item x="121"/>
        <item m="1" x="128"/>
        <item x="125"/>
        <item x="118"/>
        <item x="122"/>
        <item x="36"/>
        <item x="114"/>
        <item x="123"/>
        <item x="62"/>
        <item x="124"/>
        <item x="20"/>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42">
        <item x="6"/>
        <item x="4"/>
        <item x="21"/>
        <item x="28"/>
        <item x="30"/>
        <item x="9"/>
        <item x="19"/>
        <item x="29"/>
        <item x="3"/>
        <item x="7"/>
        <item x="5"/>
        <item x="24"/>
        <item x="12"/>
        <item x="35"/>
        <item x="16"/>
        <item x="14"/>
        <item x="13"/>
        <item x="27"/>
        <item x="31"/>
        <item x="15"/>
        <item m="1" x="40"/>
        <item x="8"/>
        <item x="17"/>
        <item x="0"/>
        <item x="37"/>
        <item x="23"/>
        <item x="20"/>
        <item x="36"/>
        <item x="22"/>
        <item x="11"/>
        <item m="1" x="41"/>
        <item x="10"/>
        <item x="26"/>
        <item x="2"/>
        <item x="34"/>
        <item x="18"/>
        <item x="25"/>
        <item x="33"/>
        <item x="39"/>
        <item x="32"/>
        <item x="38"/>
        <item x="1"/>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66">
    <i>
      <x v="1"/>
      <x/>
      <x v="2"/>
      <x v="22"/>
    </i>
    <i r="3">
      <x v="23"/>
      <x v="2"/>
    </i>
    <i r="2">
      <x v="4"/>
      <x v="128"/>
      <x v="2"/>
    </i>
    <i r="3">
      <x v="132"/>
      <x v="9"/>
    </i>
    <i r="1">
      <x v="2"/>
      <x v="2"/>
      <x v="16"/>
      <x v="31"/>
    </i>
    <i r="3">
      <x v="17"/>
      <x v="29"/>
    </i>
    <i r="2">
      <x v="4"/>
      <x v="5"/>
      <x v="10"/>
    </i>
    <i r="3">
      <x v="21"/>
      <x v="8"/>
    </i>
    <i r="3">
      <x v="22"/>
    </i>
    <i r="3">
      <x v="66"/>
      <x v="41"/>
    </i>
    <i r="2">
      <x v="6"/>
      <x v="97"/>
      <x v="15"/>
    </i>
    <i r="3">
      <x v="127"/>
      <x v="2"/>
    </i>
    <i t="sum">
      <x v="1"/>
    </i>
    <i>
      <x v="2"/>
      <x/>
      <x v="2"/>
      <x v="61"/>
      <x v="13"/>
    </i>
    <i r="1">
      <x v="2"/>
      <x v="2"/>
      <x v="25"/>
      <x v="28"/>
    </i>
    <i r="3">
      <x v="39"/>
      <x v="4"/>
    </i>
    <i r="3">
      <x v="46"/>
      <x v="21"/>
    </i>
    <i r="2">
      <x v="3"/>
      <x v="113"/>
      <x v="24"/>
    </i>
    <i r="3">
      <x v="134"/>
      <x v="40"/>
    </i>
    <i r="2">
      <x v="4"/>
      <x v="56"/>
      <x v="10"/>
    </i>
    <i r="3">
      <x v="61"/>
      <x v="10"/>
    </i>
    <i r="3">
      <x v="89"/>
      <x v="3"/>
    </i>
    <i r="3">
      <x v="90"/>
      <x v="26"/>
    </i>
    <i r="3">
      <x v="131"/>
      <x v="6"/>
    </i>
    <i t="sum">
      <x v="2"/>
    </i>
    <i>
      <x v="4"/>
      <x/>
      <x v="2"/>
      <x v="60"/>
      <x v="15"/>
    </i>
    <i r="3">
      <x v="67"/>
      <x v="1"/>
    </i>
    <i r="1">
      <x v="2"/>
      <x v="2"/>
      <x v="74"/>
      <x v="9"/>
    </i>
    <i r="3">
      <x v="115"/>
      <x v="1"/>
    </i>
    <i r="3">
      <x v="116"/>
      <x/>
    </i>
    <i r="3">
      <x v="122"/>
      <x/>
    </i>
    <i r="3">
      <x v="138"/>
      <x/>
    </i>
    <i r="2">
      <x v="3"/>
      <x v="121"/>
      <x/>
    </i>
    <i r="2">
      <x v="4"/>
      <x v="52"/>
      <x v="37"/>
    </i>
    <i r="3">
      <x v="58"/>
      <x v="1"/>
    </i>
    <i r="3">
      <x v="60"/>
      <x v="16"/>
    </i>
    <i r="3">
      <x v="62"/>
      <x v="1"/>
    </i>
    <i r="3">
      <x v="81"/>
      <x v="12"/>
    </i>
    <i r="2">
      <x v="6"/>
      <x v="112"/>
    </i>
    <i t="sum">
      <x v="4"/>
    </i>
    <i>
      <x v="10"/>
      <x v="2"/>
      <x v="2"/>
      <x v="36"/>
      <x v="13"/>
    </i>
    <i r="2">
      <x v="6"/>
      <x v="37"/>
      <x v="11"/>
    </i>
    <i r="3">
      <x v="93"/>
      <x v="37"/>
    </i>
    <i t="sum">
      <x v="10"/>
    </i>
    <i>
      <x v="11"/>
      <x/>
      <x v="2"/>
      <x v="104"/>
    </i>
    <i r="2">
      <x v="4"/>
      <x v="137"/>
      <x v="1"/>
    </i>
    <i r="1">
      <x v="2"/>
      <x v="2"/>
      <x v="18"/>
      <x v="6"/>
    </i>
    <i r="3">
      <x v="19"/>
      <x v="1"/>
    </i>
    <i r="3">
      <x v="20"/>
      <x v="4"/>
    </i>
    <i r="3">
      <x v="50"/>
      <x/>
    </i>
    <i r="3">
      <x v="100"/>
    </i>
    <i r="2">
      <x v="3"/>
      <x v="105"/>
      <x/>
    </i>
    <i r="3">
      <x v="126"/>
      <x v="1"/>
    </i>
    <i r="2">
      <x v="4"/>
      <x v="137"/>
      <x v="1"/>
    </i>
    <i r="2">
      <x v="6"/>
      <x v="80"/>
    </i>
    <i t="sum">
      <x v="11"/>
    </i>
    <i>
      <x v="16"/>
      <x/>
      <x v="2"/>
      <x v="87"/>
      <x/>
    </i>
    <i r="2">
      <x v="4"/>
      <x v="118"/>
      <x/>
    </i>
    <i r="1">
      <x v="2"/>
      <x v="2"/>
      <x v="7"/>
      <x v="33"/>
    </i>
    <i r="3">
      <x v="117"/>
      <x v="7"/>
    </i>
    <i r="3">
      <x v="123"/>
      <x v="2"/>
    </i>
    <i r="2">
      <x v="3"/>
      <x v="136"/>
      <x/>
    </i>
    <i r="2">
      <x v="4"/>
      <x v="87"/>
      <x v="3"/>
    </i>
    <i r="3">
      <x v="124"/>
      <x v="38"/>
    </i>
    <i t="sum">
      <x v="16"/>
    </i>
    <i t="grand">
      <x/>
    </i>
  </rowItems>
  <colItems count="1">
    <i/>
  </colItems>
  <dataFields count="1">
    <dataField name="Sum of COUNT" fld="8" baseField="0" baseItem="0"/>
  </dataFields>
  <formats count="77">
    <format dxfId="261">
      <pivotArea dataOnly="0" outline="0" fieldPosition="0">
        <references count="1">
          <reference field="2" count="0" sumSubtotal="1"/>
        </references>
      </pivotArea>
    </format>
    <format dxfId="260">
      <pivotArea dataOnly="0" outline="0" fieldPosition="0">
        <references count="1">
          <reference field="2" count="0" sumSubtotal="1"/>
        </references>
      </pivotArea>
    </format>
    <format dxfId="259">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258">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257">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256">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255">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254">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253">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252">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251">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250">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249">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248">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247">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246">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245">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244">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243">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242">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241">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240">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239">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238">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237">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236">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235">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234">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233">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232">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231">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230">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229">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228">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227">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226">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225">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224">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223">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222">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221">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220">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219">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218">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217">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216">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215">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214">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213">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212">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211">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210">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209">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208">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207">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206">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205">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204">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203">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202">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201">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200">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199">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198">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197">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196">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195">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194">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193">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192">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191">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190">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189">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188">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187">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186">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185">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7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3"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9">
        <item m="1" x="129"/>
        <item x="24"/>
        <item x="15"/>
        <item x="28"/>
        <item x="30"/>
        <item x="46"/>
        <item x="32"/>
        <item x="34"/>
        <item x="40"/>
        <item x="38"/>
        <item x="41"/>
        <item x="6"/>
        <item x="3"/>
        <item x="5"/>
        <item x="4"/>
        <item x="14"/>
        <item x="18"/>
        <item x="21"/>
        <item x="96"/>
        <item x="97"/>
        <item x="98"/>
        <item x="36"/>
        <item x="49"/>
        <item x="50"/>
        <item x="108"/>
        <item x="107"/>
        <item x="105"/>
        <item x="106"/>
        <item x="119"/>
        <item x="110"/>
        <item x="80"/>
        <item x="124"/>
        <item x="101"/>
        <item x="102"/>
        <item x="109"/>
        <item x="45"/>
        <item x="65"/>
        <item x="88"/>
        <item x="25"/>
        <item x="121"/>
        <item x="57"/>
        <item x="92"/>
        <item x="75"/>
        <item x="29"/>
        <item x="60"/>
        <item x="103"/>
        <item x="70"/>
        <item x="59"/>
        <item x="69"/>
        <item m="1" x="137"/>
        <item x="74"/>
        <item x="78"/>
        <item x="61"/>
        <item x="62"/>
        <item x="35"/>
        <item x="33"/>
        <item x="26"/>
        <item x="27"/>
        <item x="47"/>
        <item x="76"/>
        <item x="37"/>
        <item m="1" x="136"/>
        <item x="111"/>
        <item m="1" x="135"/>
        <item m="1" x="133"/>
        <item x="39"/>
        <item x="122"/>
        <item x="113"/>
        <item x="114"/>
        <item x="63"/>
        <item x="117"/>
        <item x="94"/>
        <item x="93"/>
        <item x="100"/>
        <item m="1" x="134"/>
        <item x="58"/>
        <item x="79"/>
        <item x="123"/>
        <item x="82"/>
        <item x="7"/>
        <item x="68"/>
        <item x="87"/>
        <item x="66"/>
        <item x="89"/>
        <item x="99"/>
        <item x="90"/>
        <item x="104"/>
        <item x="83"/>
        <item x="86"/>
        <item x="1"/>
        <item x="0"/>
        <item x="2"/>
        <item x="67"/>
        <item x="8"/>
        <item x="9"/>
        <item x="77"/>
        <item x="118"/>
        <item x="85"/>
        <item m="1" x="132"/>
        <item x="23"/>
        <item x="115"/>
        <item x="73"/>
        <item x="84"/>
        <item x="10"/>
        <item x="11"/>
        <item x="112"/>
        <item x="12"/>
        <item x="53"/>
        <item x="64"/>
        <item x="13"/>
        <item x="16"/>
        <item x="91"/>
        <item x="22"/>
        <item x="17"/>
        <item x="19"/>
        <item x="20"/>
        <item x="71"/>
        <item m="1" x="131"/>
        <item x="54"/>
        <item x="43"/>
        <item x="95"/>
        <item x="42"/>
        <item x="48"/>
        <item x="56"/>
        <item x="116"/>
        <item x="31"/>
        <item x="72"/>
        <item x="52"/>
        <item x="44"/>
        <item x="51"/>
        <item m="1" x="126"/>
        <item x="81"/>
        <item m="1" x="138"/>
        <item x="120"/>
        <item x="55"/>
        <item m="1" x="128"/>
        <item m="1" x="127"/>
        <item m="1" x="130"/>
        <item x="125"/>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2">
        <item x="6"/>
        <item x="4"/>
        <item x="28"/>
        <item x="30"/>
        <item x="9"/>
        <item x="19"/>
        <item x="3"/>
        <item x="7"/>
        <item x="5"/>
        <item x="12"/>
        <item x="14"/>
        <item x="13"/>
        <item x="27"/>
        <item x="0"/>
        <item x="23"/>
        <item x="20"/>
        <item x="22"/>
        <item m="1" x="41"/>
        <item x="2"/>
        <item x="25"/>
        <item n="-" x="33"/>
        <item x="34"/>
        <item x="21"/>
        <item x="35"/>
        <item x="26"/>
        <item x="18"/>
        <item x="24"/>
        <item x="15"/>
        <item x="16"/>
        <item x="17"/>
        <item x="36"/>
        <item x="8"/>
        <item x="29"/>
        <item x="11"/>
        <item m="1" x="40"/>
        <item x="10"/>
        <item x="31"/>
        <item x="37"/>
        <item x="39"/>
        <item x="32"/>
        <item x="38"/>
        <item x="1"/>
      </items>
    </pivotField>
    <pivotField axis="axisRow" compact="0" outline="0" subtotalTop="0" showAll="0" defaultSubtotal="0">
      <items count="51">
        <item x="5"/>
        <item x="16"/>
        <item x="20"/>
        <item x="9"/>
        <item x="25"/>
        <item x="26"/>
        <item x="21"/>
        <item x="10"/>
        <item x="34"/>
        <item x="39"/>
        <item x="32"/>
        <item x="13"/>
        <item x="22"/>
        <item x="2"/>
        <item x="19"/>
        <item x="11"/>
        <item x="17"/>
        <item x="33"/>
        <item x="24"/>
        <item x="31"/>
        <item x="36"/>
        <item x="28"/>
        <item m="1" x="47"/>
        <item x="14"/>
        <item x="37"/>
        <item x="30"/>
        <item x="29"/>
        <item m="1" x="46"/>
        <item m="1" x="50"/>
        <item x="3"/>
        <item m="1" x="49"/>
        <item x="27"/>
        <item x="23"/>
        <item x="35"/>
        <item n="-" x="0"/>
        <item x="4"/>
        <item x="6"/>
        <item x="7"/>
        <item x="15"/>
        <item x="8"/>
        <item m="1" x="48"/>
        <item x="41"/>
        <item x="42"/>
        <item x="43"/>
        <item x="12"/>
        <item x="38"/>
        <item x="1"/>
        <item x="18"/>
        <item x="40"/>
        <item x="44"/>
        <item x="45"/>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8">
        <item h="1" x="4"/>
        <item x="0"/>
        <item x="1"/>
        <item h="1" m="1" x="6"/>
        <item h="1" x="2"/>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6">
        <item x="19"/>
        <item x="26"/>
        <item x="38"/>
        <item x="30"/>
        <item x="2"/>
        <item m="1" x="52"/>
        <item m="1" x="55"/>
        <item x="0"/>
        <item x="32"/>
        <item x="21"/>
        <item x="3"/>
        <item x="16"/>
        <item x="12"/>
        <item x="35"/>
        <item m="1" x="54"/>
        <item x="24"/>
        <item x="36"/>
        <item x="6"/>
        <item x="39"/>
        <item x="17"/>
        <item x="41"/>
        <item x="31"/>
        <item x="22"/>
        <item x="37"/>
        <item x="7"/>
        <item x="11"/>
        <item x="25"/>
        <item x="5"/>
        <item x="46"/>
        <item x="42"/>
        <item x="29"/>
        <item x="18"/>
        <item x="43"/>
        <item x="14"/>
        <item x="44"/>
        <item x="8"/>
        <item x="45"/>
        <item x="34"/>
        <item x="33"/>
        <item x="15"/>
        <item x="10"/>
        <item x="28"/>
        <item x="9"/>
        <item x="13"/>
        <item m="1" x="53"/>
        <item x="47"/>
        <item x="1"/>
        <item x="4"/>
        <item x="20"/>
        <item x="27"/>
        <item x="40"/>
        <item m="1" x="50"/>
        <item m="1" x="51"/>
        <item x="48"/>
        <item x="23"/>
        <item x="49"/>
      </items>
    </pivotField>
    <pivotField axis="axisRow" compact="0" outline="0" subtotalTop="0" showAll="0" defaultSubtotal="0">
      <items count="61">
        <item x="17"/>
        <item x="23"/>
        <item x="39"/>
        <item x="27"/>
        <item x="2"/>
        <item m="1" x="56"/>
        <item m="1" x="60"/>
        <item x="31"/>
        <item m="1" x="55"/>
        <item x="30"/>
        <item x="38"/>
        <item x="40"/>
        <item x="14"/>
        <item x="33"/>
        <item x="0"/>
        <item x="11"/>
        <item x="3"/>
        <item x="6"/>
        <item x="15"/>
        <item x="25"/>
        <item x="20"/>
        <item x="18"/>
        <item x="36"/>
        <item x="37"/>
        <item x="7"/>
        <item x="34"/>
        <item x="41"/>
        <item x="5"/>
        <item x="28"/>
        <item x="35"/>
        <item x="10"/>
        <item x="22"/>
        <item x="16"/>
        <item m="1" x="59"/>
        <item x="45"/>
        <item x="44"/>
        <item x="8"/>
        <item x="12"/>
        <item x="47"/>
        <item x="46"/>
        <item m="1" x="58"/>
        <item x="48"/>
        <item x="32"/>
        <item x="43"/>
        <item x="1"/>
        <item x="26"/>
        <item x="9"/>
        <item x="29"/>
        <item m="1" x="57"/>
        <item m="1" x="54"/>
        <item x="4"/>
        <item x="13"/>
        <item x="19"/>
        <item x="24"/>
        <item x="42"/>
        <item x="49"/>
        <item m="1" x="53"/>
        <item x="50"/>
        <item x="51"/>
        <item x="21"/>
        <item x="5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20">
    <i>
      <x v="5"/>
      <x v="1"/>
      <x v="1"/>
      <x v="16"/>
      <x v="35"/>
      <x v="36"/>
      <x v="25"/>
      <x v="30"/>
    </i>
    <i r="3">
      <x v="17"/>
      <x v="33"/>
      <x v="37"/>
      <x v="33"/>
      <x v="37"/>
    </i>
    <i r="3">
      <x v="71"/>
      <x/>
      <x v="5"/>
      <x v="29"/>
      <x v="29"/>
    </i>
    <i r="3">
      <x v="94"/>
      <x/>
      <x v="13"/>
      <x v="27"/>
      <x v="27"/>
    </i>
    <i r="3">
      <x v="97"/>
      <x v="1"/>
      <x v="38"/>
      <x v="2"/>
      <x v="2"/>
    </i>
    <i r="3">
      <x v="100"/>
      <x/>
      <x v="9"/>
      <x v="27"/>
      <x v="27"/>
    </i>
    <i r="3">
      <x v="103"/>
      <x v="7"/>
      <x v="35"/>
      <x v="24"/>
      <x v="24"/>
    </i>
    <i r="3">
      <x v="115"/>
      <x/>
      <x/>
      <x v="43"/>
      <x v="37"/>
    </i>
    <i r="3">
      <x v="116"/>
      <x v="32"/>
      <x v="47"/>
      <x v="38"/>
      <x v="47"/>
    </i>
    <i t="sum" r="2">
      <x v="1"/>
    </i>
    <i r="2">
      <x v="2"/>
      <x v="104"/>
      <x/>
      <x/>
      <x v="35"/>
      <x v="36"/>
    </i>
    <i t="sum" r="2">
      <x v="2"/>
    </i>
    <i t="sum" r="1">
      <x v="1"/>
    </i>
    <i r="1">
      <x v="2"/>
      <x v="1"/>
      <x v="83"/>
      <x v="10"/>
      <x v="16"/>
      <x v="23"/>
      <x v="23"/>
    </i>
    <i r="3">
      <x v="85"/>
      <x v="23"/>
      <x v="18"/>
      <x v="26"/>
      <x v="26"/>
    </i>
    <i r="3">
      <x v="92"/>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184">
      <pivotArea dataOnly="0" outline="0" fieldPosition="0">
        <references count="1">
          <reference field="9" count="0" sumSubtotal="1"/>
        </references>
      </pivotArea>
    </format>
    <format dxfId="183">
      <pivotArea dataOnly="0" outline="0" fieldPosition="0">
        <references count="1">
          <reference field="9" count="0" sumSubtotal="1"/>
        </references>
      </pivotArea>
    </format>
    <format dxfId="182">
      <pivotArea field="1" type="button" dataOnly="0" labelOnly="1" outline="0" axis="axisRow" fieldPosition="1"/>
    </format>
    <format dxfId="181">
      <pivotArea field="9" type="button" dataOnly="0" labelOnly="1" outline="0" axis="axisRow" fieldPosition="2"/>
    </format>
    <format dxfId="180">
      <pivotArea field="7" type="button" dataOnly="0" labelOnly="1" outline="0" axis="axisRow" fieldPosition="3"/>
    </format>
    <format dxfId="179">
      <pivotArea field="0" type="button" dataOnly="0" labelOnly="1" outline="0"/>
    </format>
    <format dxfId="178">
      <pivotArea dataOnly="0" labelOnly="1" grandCol="1" outline="0" fieldPosition="0"/>
    </format>
    <format dxfId="177">
      <pivotArea field="1" type="button" dataOnly="0" labelOnly="1" outline="0" axis="axisRow" fieldPosition="1"/>
    </format>
    <format dxfId="176">
      <pivotArea field="9" type="button" dataOnly="0" labelOnly="1" outline="0" axis="axisRow" fieldPosition="2"/>
    </format>
    <format dxfId="175">
      <pivotArea field="7" type="button" dataOnly="0" labelOnly="1" outline="0" axis="axisRow" fieldPosition="3"/>
    </format>
    <format dxfId="174">
      <pivotArea field="0" type="button" dataOnly="0" labelOnly="1" outline="0"/>
    </format>
    <format dxfId="173">
      <pivotArea dataOnly="0" labelOnly="1" grandCol="1" outline="0" fieldPosition="0"/>
    </format>
    <format dxfId="172">
      <pivotArea field="21" type="button" dataOnly="0" labelOnly="1" outline="0" axis="axisRow" fieldPosition="4"/>
    </format>
    <format dxfId="171">
      <pivotArea field="21" type="button" dataOnly="0" labelOnly="1" outline="0" axis="axisRow" fieldPosition="4"/>
    </format>
    <format dxfId="170">
      <pivotArea field="1" type="button" dataOnly="0" labelOnly="1" outline="0" axis="axisRow" fieldPosition="1"/>
    </format>
    <format dxfId="169">
      <pivotArea field="9" type="button" dataOnly="0" labelOnly="1" outline="0" axis="axisRow" fieldPosition="2"/>
    </format>
    <format dxfId="168">
      <pivotArea field="7" type="button" dataOnly="0" labelOnly="1" outline="0" axis="axisRow" fieldPosition="3"/>
    </format>
    <format dxfId="167">
      <pivotArea field="0" type="button" dataOnly="0" labelOnly="1" outline="0"/>
    </format>
    <format dxfId="166">
      <pivotArea field="21" type="button" dataOnly="0" labelOnly="1" outline="0" axis="axisRow" fieldPosition="4"/>
    </format>
    <format dxfId="165">
      <pivotArea dataOnly="0" labelOnly="1" grandCol="1" outline="0" fieldPosition="0"/>
    </format>
    <format dxfId="164">
      <pivotArea field="1" type="button" dataOnly="0" labelOnly="1" outline="0" axis="axisRow" fieldPosition="1"/>
    </format>
    <format dxfId="163">
      <pivotArea field="9" type="button" dataOnly="0" labelOnly="1" outline="0" axis="axisRow" fieldPosition="2"/>
    </format>
    <format dxfId="162">
      <pivotArea field="7" type="button" dataOnly="0" labelOnly="1" outline="0" axis="axisRow" fieldPosition="3"/>
    </format>
    <format dxfId="161">
      <pivotArea field="0" type="button" dataOnly="0" labelOnly="1" outline="0"/>
    </format>
    <format dxfId="160">
      <pivotArea field="21" type="button" dataOnly="0" labelOnly="1" outline="0" axis="axisRow" fieldPosition="4"/>
    </format>
    <format dxfId="159">
      <pivotArea dataOnly="0" labelOnly="1" grandCol="1" outline="0" fieldPosition="0"/>
    </format>
    <format dxfId="158">
      <pivotArea field="1" type="button" dataOnly="0" labelOnly="1" outline="0" axis="axisRow" fieldPosition="1"/>
    </format>
    <format dxfId="157">
      <pivotArea field="9" type="button" dataOnly="0" labelOnly="1" outline="0" axis="axisRow" fieldPosition="2"/>
    </format>
    <format dxfId="156">
      <pivotArea field="7" type="button" dataOnly="0" labelOnly="1" outline="0" axis="axisRow" fieldPosition="3"/>
    </format>
    <format dxfId="155">
      <pivotArea field="0" type="button" dataOnly="0" labelOnly="1" outline="0"/>
    </format>
    <format dxfId="154">
      <pivotArea field="21" type="button" dataOnly="0" labelOnly="1" outline="0" axis="axisRow" fieldPosition="4"/>
    </format>
    <format dxfId="153">
      <pivotArea dataOnly="0" labelOnly="1" grandCol="1" outline="0" fieldPosition="0"/>
    </format>
    <format dxfId="152">
      <pivotArea field="1" type="button" dataOnly="0" labelOnly="1" outline="0" axis="axisRow" fieldPosition="1"/>
    </format>
    <format dxfId="151">
      <pivotArea field="9" type="button" dataOnly="0" labelOnly="1" outline="0" axis="axisRow" fieldPosition="2"/>
    </format>
    <format dxfId="150">
      <pivotArea field="7" type="button" dataOnly="0" labelOnly="1" outline="0" axis="axisRow" fieldPosition="3"/>
    </format>
    <format dxfId="149">
      <pivotArea field="0" type="button" dataOnly="0" labelOnly="1" outline="0"/>
    </format>
    <format dxfId="148">
      <pivotArea field="21" type="button" dataOnly="0" labelOnly="1" outline="0" axis="axisRow" fieldPosition="4"/>
    </format>
    <format dxfId="147">
      <pivotArea dataOnly="0" labelOnly="1" grandCol="1" outline="0" fieldPosition="0"/>
    </format>
    <format dxfId="146">
      <pivotArea outline="0" fieldPosition="0">
        <references count="1">
          <reference field="4294967294" count="1">
            <x v="1"/>
          </reference>
        </references>
      </pivotArea>
    </format>
    <format dxfId="145">
      <pivotArea dataOnly="0" outline="0" fieldPosition="0">
        <references count="1">
          <reference field="9" count="0" sumSubtotal="1"/>
        </references>
      </pivotArea>
    </format>
    <format dxfId="144">
      <pivotArea dataOnly="0" outline="0" fieldPosition="0">
        <references count="1">
          <reference field="4" count="0" sumSubtotal="1"/>
        </references>
      </pivotArea>
    </format>
    <format dxfId="143">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10" totalsRowCount="1" headerRowDxfId="1394" dataDxfId="1393" totalsRowDxfId="1392">
  <autoFilter ref="A2:BF209" xr:uid="{A9129949-AAF4-4BA0-8FE3-9FA801245404}"/>
  <tableColumns count="58">
    <tableColumn id="1" xr3:uid="{1236F968-AA5D-418A-85E7-64848F8B24A5}" name="PROJECT TYPE" dataDxfId="1391" totalsRowDxfId="57">
      <calculatedColumnFormula>IFERROR(VLOOKUP(E3,'Customer '!$A$4:$D$23,3,FALSE),"")</calculatedColumnFormula>
    </tableColumn>
    <tableColumn id="2" xr3:uid="{85B6C244-38FA-46C1-9124-E75F2C293C93}" name="STAGE" dataDxfId="1390" totalsRowDxfId="56"/>
    <tableColumn id="3" xr3:uid="{EE02E691-A7B4-4A0C-AF6A-1AF333E6BC53}" name="PIC" dataDxfId="1389" totalsRowDxfId="55"/>
    <tableColumn id="54" xr3:uid="{66E16675-3203-4282-9498-D64F3A093714}" name="CUSTOMER PIC" dataDxfId="1388" totalsRowDxfId="54"/>
    <tableColumn id="4" xr3:uid="{AD29E244-D348-4C21-BD80-370A13948394}" name="CUSTOMER NAME" dataDxfId="1387" totalsRowDxfId="53"/>
    <tableColumn id="5" xr3:uid="{4447212E-723A-4A12-A6D9-3BADB8557197}" name="CUSTOMER SHORTEN NAME" dataDxfId="1386" totalsRowDxfId="52">
      <calculatedColumnFormula>IFERROR(VLOOKUP(E3,'Customer '!$A$4:$D$28,2,FALSE),"")</calculatedColumnFormula>
    </tableColumn>
    <tableColumn id="6" xr3:uid="{012B8FF5-9A74-40BA-8E9B-DD654D4D9A2E}" name="PROJECT NAME (SHORT)" dataDxfId="1385" totalsRowDxfId="51"/>
    <tableColumn id="7" xr3:uid="{425BDBDC-DFB9-442F-9FF0-D52FDEE94953}" name="PROJECT NAME" dataDxfId="1384" totalsRowDxfId="50">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1383" totalsRowDxfId="49">
      <calculatedColumnFormula>IF(OR($H3="",$B3=""),0,--(COUNTIFS($H$3:$H3,$H3,$B$3:$B3,$B3)=1))</calculatedColumnFormula>
    </tableColumn>
    <tableColumn id="9" xr3:uid="{01053D1F-114C-4345-A727-4C9FEEA02FAA}" name="STATUS" dataDxfId="1382" totalsRowDxfId="48"/>
    <tableColumn id="10" xr3:uid="{C69AD309-6F14-44B0-B878-437E6B818168}" name="POOL" dataDxfId="1381" totalsRowDxfId="47"/>
    <tableColumn id="11" xr3:uid="{FD996047-5452-4989-92FA-63D8311854E1}" name="NPD/NPI_x000a_STAGE" dataDxfId="1380" totalsRowDxfId="46"/>
    <tableColumn id="12" xr3:uid="{A2026481-9F4F-456D-BD74-D5F18B5BDFC3}" name="BOQ DATE" dataDxfId="1379" totalsRowDxfId="45"/>
    <tableColumn id="13" xr3:uid="{9B7F0E7C-5A61-478B-8252-83ECAFC9EC14}" name="PO RECEIVED_x000a_DATE" dataDxfId="1378" totalsRowDxfId="44"/>
    <tableColumn id="14" xr3:uid="{B4562FDC-BE5D-4F53-98B8-21C1F0A37FCE}" name="DEPOSIT_x000a_RECEIVED DATE" dataDxfId="1377" totalsRowDxfId="43"/>
    <tableColumn id="16" xr3:uid="{D35090BA-5E69-4F0E-BB11-2E800D88C71B}" name="MARKET" dataDxfId="1376" totalsRowDxfId="42"/>
    <tableColumn id="17" xr3:uid="{F0DD032B-0F5B-4392-9152-233AC9F419C8}" name="MARKET STATE (US ONLY)" dataDxfId="1375" totalsRowDxfId="41"/>
    <tableColumn id="46" xr3:uid="{FA044D98-3C66-4D38-B81B-96A3128BC847}" name="BE SKU" dataDxfId="1374" totalsRowDxfId="40"/>
    <tableColumn id="45" xr3:uid="{3B0DCADF-4163-48E7-B354-7D7E6735D07F}" name="BE QTY" dataDxfId="1373" totalsRowDxfId="39"/>
    <tableColumn id="59" xr3:uid="{4B79D79E-3CD4-49D7-9A60-D7A202009657}" name="CG QTY" dataDxfId="1372" totalsRowDxfId="38"/>
    <tableColumn id="58" xr3:uid="{4E59DA61-3FE7-4E32-A9CA-DB33EBB38011}" name="UPH QTY" dataDxfId="1371" totalsRowDxfId="37"/>
    <tableColumn id="18" xr3:uid="{0A38C9F7-07C4-45DB-A4E2-7657EC8C1DC3}" name="PROJECT SKU" dataDxfId="1370" totalsRowDxfId="36"/>
    <tableColumn id="57" xr3:uid="{0D5CB214-E6D0-45D0-A2F1-78DBE17DDFAA}" name="PROJECT QTY" dataDxfId="1369" totalsRowDxfId="35"/>
    <tableColumn id="19" xr3:uid="{72A7125A-CA1D-4B32-86D9-9C6B605A31CF}" name="PROJECT VALUE $" dataDxfId="1368" totalsRowDxfId="34"/>
    <tableColumn id="20" xr3:uid="{15792116-35F2-437C-9F2E-D13B4BF87AF6}" name="PROJECT BREAK VALUE" dataDxfId="1367" totalsRowDxfId="33"/>
    <tableColumn id="21" xr3:uid="{EB4CF741-3504-4C29-9529-CB9CA6CF50A8}" name="SHIP MONTH FC" dataDxfId="1366" totalsRowDxfId="32"/>
    <tableColumn id="22" xr3:uid="{E248C66D-E807-4DA5-8910-F49D953169A8}" name="SHIP YEAR" dataDxfId="1365" totalsRowDxfId="31">
      <calculatedColumnFormula>IF(Z3="","",IF(OR(Z3="TBC",Z3="Removed"),Z3,LEFT(Z3,4)))</calculatedColumnFormula>
    </tableColumn>
    <tableColumn id="23" xr3:uid="{112E5FEA-B304-42B6-8AD7-F665064C89F1}" name=" REQUESTED FIRST SD" dataDxfId="1364" totalsRowDxfId="30"/>
    <tableColumn id="24" xr3:uid="{8765A6EF-39B3-4C33-99EC-75ACCF3E9D90}" name=" REQUESTED LAST SD" dataDxfId="1363" totalsRowDxfId="29"/>
    <tableColumn id="25" xr3:uid="{5B9F2253-6429-4BC7-BE17-F802B321435F}" name="CONFIRMED FIRST SD" dataDxfId="1362" totalsRowDxfId="28"/>
    <tableColumn id="26" xr3:uid="{3A72F606-D2C6-42B5-9E97-06DC763A8752}" name="CONFIRMED LAST SD" dataDxfId="1361" totalsRowDxfId="27"/>
    <tableColumn id="27" xr3:uid="{1D854710-7B1D-40A6-9CA1-E806CAB5DAD4}" name="CONFIRMED FIRST SW" totalsRowFunction="custom" dataDxfId="1360" totalsRowDxfId="26">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IF(AD210="","",IF(ISNUMBER(AD210),IF(AND(AD210&gt;='2026 Calendar'!$C$4,AD210&lt;='2026 Calendar'!$E$107),LOOKUP(AD210,'2026 Calendar'!$C$4:$C$107,'2026 Calendar'!$A$4:$A$107),YEAR(AD210-WEEKDAY(AD210,2)+4)&amp;"/W"&amp;TEXT(WEEKNUM(AD210,21),"00")),IF(IFERROR(ISNUMBER(SEARCH("/W",AD210)),FALSE),IF(IFERROR(ISNUMBER(SEARCH("-",AD210)),FALSE),LEFT(AD210,SEARCH("-",AD210)-1),AD210),AD210)))</totalsRowFormula>
    </tableColumn>
    <tableColumn id="28" xr3:uid="{B388222D-0D5D-494E-9FEF-0D90F7643B9D}" name="CONFIRMED LAST SW" totalsRowFunction="custom" dataDxfId="1359" totalsRowDxfId="25">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IF(AE210="","",IF(ISNUMBER(AE210),IF(AND(AE210&gt;='2026 Calendar'!$C$4,AE210&lt;='2026 Calendar'!$E$107),LOOKUP(AE210,'2026 Calendar'!$C$4:$C$107,'2026 Calendar'!$A$4:$A$107),YEAR(AE210-WEEKDAY(AE210,2)+4)&amp;"/W"&amp;TEXT(WEEKNUM(AE210,21),"00")),IF(IFERROR(ISNUMBER(SEARCH("/W",AE210)),FALSE),IF(IFERROR(ISNUMBER(SEARCH("-",AE210)),FALSE),MID(AE210,SEARCH("-",AE210)+1,100),AE210),AE210)))</totalsRowFormula>
    </tableColumn>
    <tableColumn id="29" xr3:uid="{808896CD-C1EE-443F-8FA6-799E19277D11}" name="DRAWING_x000a_STATUS" dataDxfId="1358" totalsRowDxfId="24"/>
    <tableColumn id="56" xr3:uid="{D10A0744-277E-4BC5-AD2C-C452FBA64B74}" name="DRAWING_x000a_PLAN/DUE DATE" dataDxfId="1357" totalsRowDxfId="23"/>
    <tableColumn id="30" xr3:uid="{DD778B6F-D13E-49B5-8A89-7A3294D59E31}" name="DRAWING_x000a_APPROVED DATE" dataDxfId="1356" totalsRowDxfId="22"/>
    <tableColumn id="31" xr3:uid="{A34BCC1B-E356-4EF9-B3E3-661C4D8682BC}" name="VENEER/WOOD_x000a_STATUS" dataDxfId="1355" totalsRowDxfId="21"/>
    <tableColumn id="55" xr3:uid="{560144A2-764E-4A55-896B-FF09E53507B8}" name="VENEER/WOOD_x000a_PLAN/DUE DATE" dataDxfId="1354" totalsRowDxfId="20"/>
    <tableColumn id="32" xr3:uid="{030C8624-889B-4AA8-BA98-D25E7B69B9B4}" name="VENEER/WOOD_x000a_APPROVED DATE" dataDxfId="1353" totalsRowDxfId="19"/>
    <tableColumn id="33" xr3:uid="{5BB251E4-897E-4CD9-B7A6-F4E30A066EDE}" name="MARBLE_x000a_STATUS" dataDxfId="1352" totalsRowDxfId="18"/>
    <tableColumn id="53" xr3:uid="{8490E297-C8B3-42FF-8D5A-70B1A7F15327}" name="MARBLE_x000a_PLAN/DUE DATE" dataDxfId="1351" totalsRowDxfId="17"/>
    <tableColumn id="34" xr3:uid="{3C57AE32-C394-41F8-8D49-BE85213EE2F3}" name="MARBLE_x000a_APPROVED DATE" dataDxfId="1350" totalsRowDxfId="16"/>
    <tableColumn id="35" xr3:uid="{61F3FD3D-3ADC-4CA7-A0FE-9106E5981DB1}" name="METAL_x000a_STATUS" dataDxfId="1349" totalsRowDxfId="15"/>
    <tableColumn id="50" xr3:uid="{7F94A0DA-A663-4092-9D8B-F27F71B32F50}" name="METAL_x000a_PLAN/DUE DATE" dataDxfId="1348" totalsRowDxfId="14"/>
    <tableColumn id="36" xr3:uid="{D8834684-FE1D-4B28-A197-8AE95D351D30}" name="METAL_x000a_APPROVED DATE" dataDxfId="1347" totalsRowDxfId="13"/>
    <tableColumn id="37" xr3:uid="{A2150081-3D7A-4D4B-8C76-92DFB3A17CB1}" name="MIRROR_x000a_STATUS" dataDxfId="1346" totalsRowDxfId="12"/>
    <tableColumn id="49" xr3:uid="{5FA0819F-756C-456C-8D72-02813705B792}" name="MIRROR_x000a_PLAN/DUE DATE" dataDxfId="1345" totalsRowDxfId="11"/>
    <tableColumn id="38" xr3:uid="{37DEC2C9-4117-42AA-A74B-BA1B2F10A25A}" name="MIRROR_x000a_APPROVED DATE" dataDxfId="1344" totalsRowDxfId="10"/>
    <tableColumn id="39" xr3:uid="{835E81C0-7A04-4B2E-B05A-BB3596F76ACF}" name="ELECTRICAL_x000a_STATUS" dataDxfId="1343" totalsRowDxfId="9"/>
    <tableColumn id="48" xr3:uid="{637419CC-E5E8-4F77-9B4C-2104E9E63C05}" name="ELECTRICAL_x000a_PLAN/DUE DATE" dataDxfId="1342" totalsRowDxfId="8"/>
    <tableColumn id="40" xr3:uid="{BC599A7A-B50E-4521-8151-7F45E20D0CA2}" name="ELECTRICAL_x000a_APPROVED DATE" dataDxfId="1341" totalsRowDxfId="7"/>
    <tableColumn id="41" xr3:uid="{1876BA19-F13E-4A07-A9E0-563D3011567B}" name="FABRIC_x000a_STATUS" dataDxfId="1340" totalsRowDxfId="6"/>
    <tableColumn id="47" xr3:uid="{337F25C1-A977-424C-ACEB-6109006BF6A7}" name="FABRIC_x000a_PLAN/DUE DATE" dataDxfId="1339" totalsRowDxfId="5"/>
    <tableColumn id="42" xr3:uid="{98C7AB76-36CE-43DD-871D-97FD9BE5380A}" name="FABRIC_x000a_DUE DATE" dataDxfId="1338" totalsRowDxfId="4"/>
    <tableColumn id="51" xr3:uid="{188F057E-B138-48F0-808F-86BA565E431A}" name="LIFECYCLE" dataDxfId="1337" totalsRowDxfId="3">
      <calculatedColumnFormula>IF(J3="","",IF(OR(J3="OB",J3="NOR",J3="FC",J3="PIPELINE"),"Active","Complete"))</calculatedColumnFormula>
    </tableColumn>
    <tableColumn id="43" xr3:uid="{8A3D1BB0-4D94-4A1E-95F7-D11628A15803}" name="CPSC + TSCA" dataDxfId="1336" totalsRowDxfId="2"/>
    <tableColumn id="44" xr3:uid="{EAE92F07-55E3-48AA-A97D-16B692EDFD72}" name="DEVELOPMENT STATUS" dataDxfId="1335" totalsRowDxfId="1">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1334" totalsRow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8CD4A1-048B-4B97-8CE8-500C927E2107}" name="NPDConversionDetail" displayName="NPDConversionDetail" ref="A17:I53" totalsRowShown="0" headerRowDxfId="142" dataDxfId="141">
  <autoFilter ref="A17:I53" xr:uid="{738CD4A1-048B-4B97-8CE8-500C927E2107}"/>
  <sortState xmlns:xlrd2="http://schemas.microsoft.com/office/spreadsheetml/2017/richdata2" ref="A18:I52">
    <sortCondition descending="1" ref="G17:G52"/>
  </sortState>
  <tableColumns count="9">
    <tableColumn id="1" xr3:uid="{4311EF2C-FE56-40D7-88F0-C4E0339EE02D}" name="Project Name (Short)" dataDxfId="140"/>
    <tableColumn id="2" xr3:uid="{19F18AC1-75AB-47C9-A0FF-C82D2A0FFBF1}" name="Project Type" dataDxfId="139"/>
    <tableColumn id="3" xr3:uid="{CBB1A0A4-07A7-448F-8C21-0F3465D2531C}" name="Customer" dataDxfId="138"/>
    <tableColumn id="4" xr3:uid="{A636025F-8838-46A4-BF2A-0524B24ED409}" name="PIC" dataDxfId="137"/>
    <tableColumn id="5" xr3:uid="{A5B122AD-0B80-45D4-A777-419DBDC7E4DF}" name="NPD Status" dataDxfId="136">
      <calculatedColumnFormula array="1">IFERROR(_xlfn.TEXTJOIN(", ",TRUE,_xlfn.UNIQUE(_xlfn._xlws.FILTER(DetailTracker[STATUS],(TRIM(DetailTracker[PROJECT NAME (SHORT)])=TRIM(A18))*(DetailTracker[STAGE]="NPD")*(DetailTracker[STATUS]&lt;&gt;"REJECTED")*(DetailTracker[STATUS]&lt;&gt;"REJECT")))),"")</calculatedColumnFormula>
    </tableColumn>
    <tableColumn id="6" xr3:uid="{479DCE8B-67F4-4714-B8E7-321D174C517C}" name="NPI Status" dataDxfId="135">
      <calculatedColumnFormula array="1">IFERROR(_xlfn.TEXTJOIN(", ",TRUE,_xlfn.UNIQUE(_xlfn._xlws.FILTER(DetailTracker[STATUS],(TRIM(DetailTracker[PROJECT NAME (SHORT)])=TRIM(A18))*(DetailTracker[STAGE]="NPI")))),"No NPI yet")</calculatedColumnFormula>
    </tableColumn>
    <tableColumn id="7" xr3:uid="{12A6A1D4-EE2D-4D3C-B09A-CDC62E44A6C6}" name="Outcome" dataDxfId="134">
      <calculatedColumnFormula>_xlfn.LET(_xlpm.n,UPPER(F18),_xlpm.d,UPPER(E18),_xlpm.fail,OR(ISNUMBER(SEARCH("DROPPED",_xlpm.n&amp;","&amp;_xlpm.d)),ISNUMBER(SEARCH("CANCELLED",_xlpm.n&amp;","&amp;_xlpm.d))),_xlpm.win,OR(ISNUMBER(SEARCH("FC",_xlpm.n)),ISNUMBER(SEARCH("NOR",_xlpm.n)),ISNUMBER(SEARCH("OB",_xlpm.n)),ISNUMBER(SEARCH("SHIPPED",_xlpm.n))),IF(_xlpm.fail,"Lost",IF(_xlpm.win,"Won","In Progress")))</calculatedColumnFormula>
    </tableColumn>
    <tableColumn id="8" xr3:uid="{B24E1AE3-90E2-4E65-8B21-A53E50EA7C2D}" name="NPD Prototype Value" dataDxfId="133">
      <calculatedColumnFormula array="1">IFERROR(SUM(_xlfn._xlws.FILTER(DetailTracker[PROJECT BREAK VALUE],(TRIM(DetailTracker[PROJECT NAME (SHORT)])=TRIM(A18))*(DetailTracker[STAGE]="NPD")*(DetailTracker[STATUS]&lt;&gt;"REJECTED")*(DetailTracker[STATUS]&lt;&gt;"REJECT"))),0)</calculatedColumnFormula>
    </tableColumn>
    <tableColumn id="9" xr3:uid="{38225182-7B20-446B-9421-D185AF359E0A}" name="Total NPI Break Value" dataDxfId="132">
      <calculatedColumnFormula array="1">IFERROR(SUM(_xlfn._xlws.FILTER(DetailTracker[PROJECT BREAK VALUE],(TRIM(DetailTracker[PROJECT NAME (SHORT)])=TRIM(A18))*(DetailTracker[STAGE]="NPI"))),0)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131">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130"/>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topRight" activeCell="H1" sqref="H1"/>
      <selection pane="bottomLeft" activeCell="A3" sqref="A3"/>
      <selection pane="bottomRight" activeCell="AF44" sqref="AF44:AL44"/>
    </sheetView>
  </sheetViews>
  <sheetFormatPr defaultColWidth="9.44140625" defaultRowHeight="15" customHeight="1" outlineLevelCol="2"/>
  <cols>
    <col min="1" max="1" width="4.5546875" style="4" customWidth="1"/>
    <col min="2" max="2" width="11.5546875" style="4" customWidth="1"/>
    <col min="3" max="3" width="18.44140625" style="4" customWidth="1"/>
    <col min="4" max="4" width="13" style="2" customWidth="1"/>
    <col min="5" max="5" width="15" style="2" customWidth="1"/>
    <col min="6" max="6" width="29.44140625" style="2" customWidth="1"/>
    <col min="7" max="7" width="33.44140625" style="2" bestFit="1" customWidth="1"/>
    <col min="8" max="9" width="14" style="2" customWidth="1"/>
    <col min="10" max="10" width="10.44140625" style="2" customWidth="1"/>
    <col min="11" max="11" width="17.44140625" style="2" bestFit="1" customWidth="1"/>
    <col min="12" max="12" width="12.44140625" style="2" customWidth="1"/>
    <col min="13" max="13" width="16" style="2" customWidth="1"/>
    <col min="14" max="14" width="17" style="89" customWidth="1"/>
    <col min="15" max="15" width="17" style="2" customWidth="1"/>
    <col min="16" max="16" width="17" style="89" customWidth="1"/>
    <col min="17" max="17" width="13.44140625" style="2" customWidth="1"/>
    <col min="18" max="18" width="14.5546875" style="2" customWidth="1"/>
    <col min="19" max="20" width="13.44140625" style="2" customWidth="1"/>
    <col min="21" max="21" width="13.44140625" style="105" customWidth="1"/>
    <col min="22" max="22" width="13.44140625" style="93" customWidth="1"/>
    <col min="23" max="24" width="13.44140625" style="2" customWidth="1"/>
    <col min="25" max="25" width="13.44140625" style="32" customWidth="1"/>
    <col min="26" max="30" width="13.44140625" style="105" customWidth="1"/>
    <col min="31" max="31" width="28.44140625" style="105" customWidth="1"/>
    <col min="32" max="32" width="17.44140625" style="2" customWidth="1"/>
    <col min="33" max="33" width="15.5546875" style="2" customWidth="1"/>
    <col min="34" max="34" width="16" style="2" customWidth="1"/>
    <col min="35" max="35" width="14.5546875" style="2" customWidth="1"/>
    <col min="36" max="36" width="17.5546875" style="2" customWidth="1"/>
    <col min="37" max="37" width="14.5546875" style="2" customWidth="1"/>
    <col min="38" max="38" width="12.5546875" style="2" customWidth="1"/>
    <col min="39" max="39" width="57.5546875" style="2" customWidth="1"/>
    <col min="40" max="40" width="30.44140625" style="2" customWidth="1" outlineLevel="1"/>
    <col min="41" max="42" width="13.44140625" style="2" customWidth="1" outlineLevel="1"/>
    <col min="43" max="43" width="16.5546875" style="2" customWidth="1" outlineLevel="1"/>
    <col min="44" max="44" width="14.44140625" style="2" customWidth="1" outlineLevel="2"/>
    <col min="47" max="16384" width="9.44140625" style="2"/>
  </cols>
  <sheetData>
    <row r="1" spans="1:44" ht="14.4">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85" customHeight="1">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 customHeight="1">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125" priority="4" operator="containsText" text="Grey">
      <formula>NOT(ISERROR(SEARCH("Grey",B9)))</formula>
    </cfRule>
  </conditionalFormatting>
  <conditionalFormatting sqref="B12:E12">
    <cfRule type="containsText" dxfId="124" priority="2" operator="containsText" text="Grey">
      <formula>NOT(ISERROR(SEARCH("Grey",B12)))</formula>
    </cfRule>
  </conditionalFormatting>
  <conditionalFormatting sqref="B14:E14">
    <cfRule type="containsText" dxfId="123"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24"/>
  <sheetViews>
    <sheetView zoomScale="70" zoomScaleNormal="70" workbookViewId="0">
      <pane xSplit="21" ySplit="2" topLeftCell="V195" activePane="bottomRight" state="frozen"/>
      <selection pane="topRight" activeCell="W1" sqref="W1"/>
      <selection pane="bottomLeft" activeCell="A3" sqref="A3"/>
      <selection pane="bottomRight" activeCell="Y214" sqref="Y214"/>
    </sheetView>
  </sheetViews>
  <sheetFormatPr defaultColWidth="8.6640625" defaultRowHeight="14.4" outlineLevelCol="2"/>
  <cols>
    <col min="1" max="1" width="10.44140625" style="2" customWidth="1"/>
    <col min="2" max="2" width="12.44140625" style="2" customWidth="1"/>
    <col min="3" max="3" width="12.5546875" style="2" customWidth="1"/>
    <col min="4" max="4" width="14.6640625" style="2" customWidth="1"/>
    <col min="5" max="5" width="26.44140625" style="2" hidden="1" customWidth="1" outlineLevel="1"/>
    <col min="6" max="6" width="13" style="2" hidden="1" customWidth="1" outlineLevel="2"/>
    <col min="7" max="7" width="43.5546875" style="2" hidden="1" customWidth="1" outlineLevel="2"/>
    <col min="8" max="8" width="46.109375" style="2" customWidth="1" collapsed="1"/>
    <col min="9" max="9" width="10.44140625" style="2" customWidth="1"/>
    <col min="10" max="10" width="11.5546875" style="2" customWidth="1"/>
    <col min="11" max="11" width="9.5546875" style="2" customWidth="1"/>
    <col min="12" max="12" width="24.33203125" style="119" customWidth="1"/>
    <col min="13" max="14" width="15" style="2" hidden="1" customWidth="1" outlineLevel="1"/>
    <col min="15" max="15" width="15" style="4" hidden="1" customWidth="1" outlineLevel="1"/>
    <col min="16" max="16" width="12.33203125" style="2" hidden="1" customWidth="1" outlineLevel="1" collapsed="1"/>
    <col min="17" max="17" width="19.33203125" style="2" hidden="1" customWidth="1" outlineLevel="1"/>
    <col min="18" max="18" width="9" style="2" customWidth="1" collapsed="1"/>
    <col min="19" max="19" width="9" style="2" customWidth="1"/>
    <col min="20" max="21" width="9" style="2" hidden="1" customWidth="1" outlineLevel="1"/>
    <col min="22" max="22" width="12.44140625" style="274" customWidth="1" collapsed="1"/>
    <col min="23" max="23" width="11.5546875" style="274" customWidth="1"/>
    <col min="24" max="26" width="15.5546875" style="2" customWidth="1"/>
    <col min="27" max="27" width="8.6640625" style="2" customWidth="1"/>
    <col min="28" max="29" width="16.33203125" style="2" hidden="1" customWidth="1" outlineLevel="1"/>
    <col min="30" max="30" width="12.5546875" style="275" customWidth="1" collapsed="1"/>
    <col min="31" max="33" width="12.5546875" style="2" customWidth="1"/>
    <col min="34" max="34" width="17.6640625" style="2" customWidth="1"/>
    <col min="35" max="35" width="15.5546875" style="2" customWidth="1"/>
    <col min="36" max="36" width="20.6640625" style="2" customWidth="1"/>
    <col min="37" max="54" width="15.5546875" style="2" customWidth="1"/>
    <col min="55" max="55" width="16.33203125" style="2" bestFit="1" customWidth="1"/>
    <col min="56" max="56" width="16.33203125" style="2" customWidth="1"/>
    <col min="57" max="57" width="58.5546875" style="2" customWidth="1"/>
    <col min="58" max="58" width="52.44140625" style="2" customWidth="1"/>
    <col min="59" max="16384" width="8.6640625" style="2"/>
  </cols>
  <sheetData>
    <row r="1" spans="1:58" ht="16.2" thickBot="1">
      <c r="A1" s="271" t="s">
        <v>206</v>
      </c>
      <c r="B1" s="272" t="s">
        <v>207</v>
      </c>
      <c r="C1" s="273" t="s">
        <v>208</v>
      </c>
      <c r="D1" s="290"/>
      <c r="H1" s="2" t="s">
        <v>209</v>
      </c>
      <c r="X1" s="317"/>
    </row>
    <row r="2" spans="1:58" s="289" customFormat="1" ht="41.4">
      <c r="A2" s="284" t="s">
        <v>210</v>
      </c>
      <c r="B2" s="285" t="s">
        <v>211</v>
      </c>
      <c r="C2" s="285" t="s">
        <v>7</v>
      </c>
      <c r="D2" s="291" t="s">
        <v>212</v>
      </c>
      <c r="E2" s="285" t="s">
        <v>213</v>
      </c>
      <c r="F2" s="284" t="s">
        <v>214</v>
      </c>
      <c r="G2" s="286" t="s">
        <v>215</v>
      </c>
      <c r="H2" s="284" t="s">
        <v>216</v>
      </c>
      <c r="I2" s="284" t="s">
        <v>217</v>
      </c>
      <c r="J2" s="285" t="s">
        <v>218</v>
      </c>
      <c r="K2" s="285" t="s">
        <v>219</v>
      </c>
      <c r="L2" s="285" t="s">
        <v>220</v>
      </c>
      <c r="M2" s="286" t="s">
        <v>221</v>
      </c>
      <c r="N2" s="286" t="s">
        <v>222</v>
      </c>
      <c r="O2" s="286" t="s">
        <v>223</v>
      </c>
      <c r="P2" s="286" t="s">
        <v>224</v>
      </c>
      <c r="Q2" s="286" t="s">
        <v>225</v>
      </c>
      <c r="R2" s="286" t="s">
        <v>226</v>
      </c>
      <c r="S2" s="286" t="s">
        <v>227</v>
      </c>
      <c r="T2" s="286" t="s">
        <v>228</v>
      </c>
      <c r="U2" s="286" t="s">
        <v>229</v>
      </c>
      <c r="V2" s="287" t="s">
        <v>230</v>
      </c>
      <c r="W2" s="287" t="s">
        <v>231</v>
      </c>
      <c r="X2" s="286" t="s">
        <v>232</v>
      </c>
      <c r="Y2" s="286" t="s">
        <v>233</v>
      </c>
      <c r="Z2" s="286" t="s">
        <v>234</v>
      </c>
      <c r="AA2" s="284" t="s">
        <v>235</v>
      </c>
      <c r="AB2" s="286" t="s">
        <v>236</v>
      </c>
      <c r="AC2" s="286" t="s">
        <v>237</v>
      </c>
      <c r="AD2" s="288" t="s">
        <v>238</v>
      </c>
      <c r="AE2" s="286" t="s">
        <v>239</v>
      </c>
      <c r="AF2" s="284" t="s">
        <v>240</v>
      </c>
      <c r="AG2" s="284" t="s">
        <v>241</v>
      </c>
      <c r="AH2" s="285" t="s">
        <v>242</v>
      </c>
      <c r="AI2" s="286" t="s">
        <v>243</v>
      </c>
      <c r="AJ2" s="286" t="s">
        <v>244</v>
      </c>
      <c r="AK2" s="285" t="s">
        <v>245</v>
      </c>
      <c r="AL2" s="286" t="s">
        <v>246</v>
      </c>
      <c r="AM2" s="286" t="s">
        <v>247</v>
      </c>
      <c r="AN2" s="285" t="s">
        <v>248</v>
      </c>
      <c r="AO2" s="286" t="s">
        <v>249</v>
      </c>
      <c r="AP2" s="286" t="s">
        <v>250</v>
      </c>
      <c r="AQ2" s="285" t="s">
        <v>251</v>
      </c>
      <c r="AR2" s="286" t="s">
        <v>252</v>
      </c>
      <c r="AS2" s="286" t="s">
        <v>253</v>
      </c>
      <c r="AT2" s="285" t="s">
        <v>254</v>
      </c>
      <c r="AU2" s="286" t="s">
        <v>255</v>
      </c>
      <c r="AV2" s="286" t="s">
        <v>256</v>
      </c>
      <c r="AW2" s="285" t="s">
        <v>257</v>
      </c>
      <c r="AX2" s="286" t="s">
        <v>258</v>
      </c>
      <c r="AY2" s="286" t="s">
        <v>259</v>
      </c>
      <c r="AZ2" s="285" t="s">
        <v>260</v>
      </c>
      <c r="BA2" s="286" t="s">
        <v>261</v>
      </c>
      <c r="BB2" s="286" t="s">
        <v>262</v>
      </c>
      <c r="BC2" s="284" t="s">
        <v>263</v>
      </c>
      <c r="BD2" s="284" t="s">
        <v>264</v>
      </c>
      <c r="BE2" s="284" t="s">
        <v>265</v>
      </c>
      <c r="BF2" s="286" t="s">
        <v>266</v>
      </c>
    </row>
    <row r="3" spans="1:58">
      <c r="A3" s="2" t="str">
        <f>IFERROR(VLOOKUP(E3,'Customer '!$A$4:$D$23,3,FALSE),"")</f>
        <v>RH</v>
      </c>
      <c r="B3" s="2" t="s">
        <v>267</v>
      </c>
      <c r="C3" s="2" t="s">
        <v>268</v>
      </c>
      <c r="D3" s="2" t="s">
        <v>269</v>
      </c>
      <c r="E3" s="2" t="s">
        <v>61</v>
      </c>
      <c r="F3" s="2" t="str">
        <f>IFERROR(VLOOKUP(E3,'Customer '!$A$4:$D$28,2,FALSE),"")</f>
        <v>RH</v>
      </c>
      <c r="G3" s="2" t="s">
        <v>270</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271</v>
      </c>
      <c r="K3" s="2" t="s">
        <v>272</v>
      </c>
      <c r="L3" s="119" t="s">
        <v>273</v>
      </c>
      <c r="M3" s="276">
        <v>46033</v>
      </c>
      <c r="N3" s="276">
        <v>46098</v>
      </c>
      <c r="O3" s="277"/>
      <c r="P3" s="2" t="s">
        <v>274</v>
      </c>
      <c r="Q3" s="2" t="s">
        <v>275</v>
      </c>
      <c r="V3" s="274">
        <v>26</v>
      </c>
      <c r="X3" s="278">
        <v>2454228</v>
      </c>
      <c r="Y3" s="278">
        <v>153379</v>
      </c>
      <c r="Z3" s="2" t="s">
        <v>276</v>
      </c>
      <c r="AA3" s="2" t="str">
        <f t="shared" ref="AA3:AA78" si="0">IF(Z3="","",IF(OR(Z3="TBC",Z3="Removed"),Z3,LEFT(Z3,4)))</f>
        <v>2026</v>
      </c>
      <c r="AB3" s="276">
        <v>46167</v>
      </c>
      <c r="AC3" s="276">
        <v>46201</v>
      </c>
      <c r="AD3" s="275">
        <v>46173</v>
      </c>
      <c r="AE3" s="276">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6"/>
      <c r="AJ3" s="276"/>
      <c r="AK3" s="2" t="s">
        <v>56</v>
      </c>
      <c r="AL3" s="276"/>
      <c r="AM3" s="276"/>
      <c r="AN3" s="2" t="s">
        <v>56</v>
      </c>
      <c r="AO3" s="276"/>
      <c r="AP3" s="276"/>
      <c r="AQ3" s="2" t="s">
        <v>56</v>
      </c>
      <c r="AR3" s="276"/>
      <c r="AS3" s="276"/>
      <c r="AT3" s="2" t="s">
        <v>73</v>
      </c>
      <c r="AU3" s="276"/>
      <c r="AV3" s="276"/>
      <c r="AW3" s="2" t="s">
        <v>56</v>
      </c>
      <c r="AX3" s="276"/>
      <c r="AY3" s="276"/>
      <c r="AZ3" s="2" t="s">
        <v>277</v>
      </c>
      <c r="BA3" s="276"/>
      <c r="BB3" s="276"/>
      <c r="BC3" s="2" t="str">
        <f t="shared" ref="BC3:BC35" si="1">IF(J3="","",IF(OR(J3="OB",J3="NOR",J3="FC",J3="PIPELINE"),"Active","Complete"))</f>
        <v>Complete</v>
      </c>
      <c r="BD3" s="2" t="s">
        <v>278</v>
      </c>
      <c r="BE3" s="119" t="str">
        <f t="shared" ref="BE3:BE35"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c r="A4" s="2" t="str">
        <f>IFERROR(VLOOKUP(E4,'Customer '!$A$4:$D$23,3,FALSE),"")</f>
        <v>RH</v>
      </c>
      <c r="B4" s="2" t="s">
        <v>267</v>
      </c>
      <c r="C4" s="2" t="s">
        <v>268</v>
      </c>
      <c r="D4" s="2" t="s">
        <v>269</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271</v>
      </c>
      <c r="K4" s="2" t="s">
        <v>272</v>
      </c>
      <c r="L4" s="119" t="s">
        <v>273</v>
      </c>
      <c r="M4" s="276">
        <v>46033</v>
      </c>
      <c r="N4" s="276">
        <v>46098</v>
      </c>
      <c r="O4" s="277"/>
      <c r="P4" s="2" t="s">
        <v>274</v>
      </c>
      <c r="Q4" s="2" t="s">
        <v>275</v>
      </c>
      <c r="V4" s="274">
        <v>26</v>
      </c>
      <c r="X4" s="278">
        <v>2454228</v>
      </c>
      <c r="Y4" s="278">
        <v>1004676</v>
      </c>
      <c r="Z4" s="2" t="s">
        <v>279</v>
      </c>
      <c r="AA4" s="2" t="str">
        <f t="shared" si="0"/>
        <v>2026</v>
      </c>
      <c r="AB4" s="276">
        <v>46167</v>
      </c>
      <c r="AC4" s="276">
        <v>46201</v>
      </c>
      <c r="AD4" s="275">
        <v>46173</v>
      </c>
      <c r="AE4" s="276">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6"/>
      <c r="AJ4" s="276"/>
      <c r="AK4" s="2" t="s">
        <v>56</v>
      </c>
      <c r="AL4" s="276"/>
      <c r="AM4" s="276"/>
      <c r="AN4" s="2" t="s">
        <v>56</v>
      </c>
      <c r="AO4" s="276"/>
      <c r="AP4" s="276"/>
      <c r="AQ4" s="2" t="s">
        <v>56</v>
      </c>
      <c r="AR4" s="276"/>
      <c r="AS4" s="276"/>
      <c r="AT4" s="2" t="s">
        <v>73</v>
      </c>
      <c r="AU4" s="276"/>
      <c r="AV4" s="276"/>
      <c r="AW4" s="2" t="s">
        <v>56</v>
      </c>
      <c r="AX4" s="276"/>
      <c r="AY4" s="276"/>
      <c r="AZ4" s="2" t="s">
        <v>277</v>
      </c>
      <c r="BA4" s="276"/>
      <c r="BB4" s="276"/>
      <c r="BC4" s="2" t="str">
        <f t="shared" si="1"/>
        <v>Complete</v>
      </c>
      <c r="BD4" s="2" t="s">
        <v>278</v>
      </c>
      <c r="BE4" s="119" t="str">
        <f t="shared" si="2"/>
        <v>READY</v>
      </c>
    </row>
    <row r="5" spans="1:58">
      <c r="A5" s="2" t="str">
        <f>IFERROR(VLOOKUP(E5,'Customer '!$A$4:$D$23,3,FALSE),"")</f>
        <v>RH</v>
      </c>
      <c r="B5" s="2" t="s">
        <v>267</v>
      </c>
      <c r="C5" s="2" t="s">
        <v>268</v>
      </c>
      <c r="D5" s="2" t="s">
        <v>269</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271</v>
      </c>
      <c r="K5" s="2" t="s">
        <v>272</v>
      </c>
      <c r="L5" s="119" t="s">
        <v>273</v>
      </c>
      <c r="M5" s="276">
        <v>46033</v>
      </c>
      <c r="N5" s="276">
        <v>46098</v>
      </c>
      <c r="O5" s="277"/>
      <c r="P5" s="2" t="s">
        <v>274</v>
      </c>
      <c r="Q5" s="2" t="s">
        <v>275</v>
      </c>
      <c r="V5" s="274">
        <v>26</v>
      </c>
      <c r="X5" s="278">
        <v>2454228</v>
      </c>
      <c r="Y5" s="278">
        <v>969712.83000000007</v>
      </c>
      <c r="Z5" s="2" t="s">
        <v>280</v>
      </c>
      <c r="AA5" s="2" t="str">
        <f t="shared" si="0"/>
        <v>2026</v>
      </c>
      <c r="AB5" s="276">
        <v>46167</v>
      </c>
      <c r="AC5" s="276">
        <v>46201</v>
      </c>
      <c r="AD5" s="275">
        <v>46173</v>
      </c>
      <c r="AE5" s="276">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6"/>
      <c r="AJ5" s="276"/>
      <c r="AK5" s="2" t="s">
        <v>56</v>
      </c>
      <c r="AL5" s="276"/>
      <c r="AM5" s="276"/>
      <c r="AN5" s="2" t="s">
        <v>56</v>
      </c>
      <c r="AO5" s="276"/>
      <c r="AP5" s="276"/>
      <c r="AQ5" s="2" t="s">
        <v>56</v>
      </c>
      <c r="AR5" s="276"/>
      <c r="AS5" s="276"/>
      <c r="AT5" s="2" t="s">
        <v>73</v>
      </c>
      <c r="AU5" s="276"/>
      <c r="AV5" s="276"/>
      <c r="AW5" s="2" t="s">
        <v>56</v>
      </c>
      <c r="AX5" s="276"/>
      <c r="AY5" s="276"/>
      <c r="AZ5" s="2" t="s">
        <v>277</v>
      </c>
      <c r="BA5" s="276"/>
      <c r="BB5" s="276"/>
      <c r="BC5" s="2" t="str">
        <f t="shared" si="1"/>
        <v>Complete</v>
      </c>
      <c r="BD5" s="2" t="s">
        <v>278</v>
      </c>
      <c r="BE5" s="119" t="str">
        <f t="shared" si="2"/>
        <v>READY</v>
      </c>
    </row>
    <row r="6" spans="1:58">
      <c r="A6" s="2" t="str">
        <f>IFERROR(VLOOKUP(E6,'Customer '!$A$4:$D$23,3,FALSE),"")</f>
        <v>RH</v>
      </c>
      <c r="B6" s="2" t="s">
        <v>267</v>
      </c>
      <c r="C6" s="2" t="s">
        <v>268</v>
      </c>
      <c r="D6" s="2" t="s">
        <v>269</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271</v>
      </c>
      <c r="K6" s="2" t="s">
        <v>272</v>
      </c>
      <c r="L6" s="119" t="s">
        <v>273</v>
      </c>
      <c r="M6" s="276">
        <v>46033</v>
      </c>
      <c r="N6" s="276">
        <v>46098</v>
      </c>
      <c r="O6" s="277"/>
      <c r="P6" s="2" t="s">
        <v>274</v>
      </c>
      <c r="Q6" s="2" t="s">
        <v>275</v>
      </c>
      <c r="V6" s="274">
        <v>26</v>
      </c>
      <c r="X6" s="278">
        <v>2454228</v>
      </c>
      <c r="Y6" s="278">
        <v>308393</v>
      </c>
      <c r="Z6" s="2" t="s">
        <v>281</v>
      </c>
      <c r="AA6" s="2" t="str">
        <f t="shared" ref="AA6" si="3">IF(Z6="","",IF(OR(Z6="TBC",Z6="Removed"),Z6,LEFT(Z6,4)))</f>
        <v>2026</v>
      </c>
      <c r="AB6" s="276">
        <v>46167</v>
      </c>
      <c r="AC6" s="276">
        <v>46201</v>
      </c>
      <c r="AD6" s="275">
        <v>46173</v>
      </c>
      <c r="AE6" s="276">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6"/>
      <c r="AJ6" s="276"/>
      <c r="AK6" s="2" t="s">
        <v>56</v>
      </c>
      <c r="AL6" s="276"/>
      <c r="AM6" s="276"/>
      <c r="AN6" s="2" t="s">
        <v>56</v>
      </c>
      <c r="AO6" s="276"/>
      <c r="AP6" s="276"/>
      <c r="AQ6" s="2" t="s">
        <v>56</v>
      </c>
      <c r="AR6" s="276"/>
      <c r="AS6" s="276"/>
      <c r="AT6" s="2" t="s">
        <v>73</v>
      </c>
      <c r="AU6" s="276"/>
      <c r="AV6" s="276"/>
      <c r="AW6" s="2" t="s">
        <v>56</v>
      </c>
      <c r="AX6" s="276"/>
      <c r="AY6" s="276"/>
      <c r="AZ6" s="2" t="s">
        <v>277</v>
      </c>
      <c r="BA6" s="276"/>
      <c r="BB6" s="276"/>
      <c r="BC6" s="2" t="str">
        <f t="shared" si="1"/>
        <v>Complete</v>
      </c>
      <c r="BD6" s="2" t="s">
        <v>278</v>
      </c>
      <c r="BE6" s="119" t="str">
        <f t="shared" si="2"/>
        <v>READY</v>
      </c>
    </row>
    <row r="7" spans="1:58">
      <c r="A7" s="2" t="str">
        <f>IFERROR(VLOOKUP(E7,'Customer '!$A$4:$D$23,3,FALSE),"")</f>
        <v>RH</v>
      </c>
      <c r="B7" s="2" t="s">
        <v>267</v>
      </c>
      <c r="C7" s="2" t="s">
        <v>268</v>
      </c>
      <c r="D7" s="2" t="s">
        <v>269</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271</v>
      </c>
      <c r="K7" s="2" t="s">
        <v>272</v>
      </c>
      <c r="L7" s="119" t="s">
        <v>273</v>
      </c>
      <c r="M7" s="276">
        <v>46033</v>
      </c>
      <c r="N7" s="276">
        <v>46098</v>
      </c>
      <c r="O7" s="277"/>
      <c r="P7" s="2" t="s">
        <v>274</v>
      </c>
      <c r="Q7" s="2" t="s">
        <v>275</v>
      </c>
      <c r="R7" s="2">
        <v>0</v>
      </c>
      <c r="S7" s="2">
        <v>0</v>
      </c>
      <c r="V7" s="274">
        <v>26</v>
      </c>
      <c r="X7" s="278">
        <v>2454228</v>
      </c>
      <c r="Y7" s="278">
        <v>18067</v>
      </c>
      <c r="Z7" s="2" t="s">
        <v>281</v>
      </c>
      <c r="AA7" s="2" t="str">
        <f t="shared" si="0"/>
        <v>2026</v>
      </c>
      <c r="AB7" s="276">
        <v>46167</v>
      </c>
      <c r="AC7" s="276">
        <v>46201</v>
      </c>
      <c r="AD7" s="275">
        <v>46173</v>
      </c>
      <c r="AE7" s="276">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6"/>
      <c r="AJ7" s="276"/>
      <c r="AK7" s="2" t="s">
        <v>56</v>
      </c>
      <c r="AL7" s="276"/>
      <c r="AM7" s="276"/>
      <c r="AN7" s="2" t="s">
        <v>56</v>
      </c>
      <c r="AO7" s="276"/>
      <c r="AP7" s="276"/>
      <c r="AQ7" s="2" t="s">
        <v>56</v>
      </c>
      <c r="AR7" s="276"/>
      <c r="AS7" s="276"/>
      <c r="AT7" s="2" t="s">
        <v>73</v>
      </c>
      <c r="AU7" s="276"/>
      <c r="AV7" s="276"/>
      <c r="AW7" s="2" t="s">
        <v>56</v>
      </c>
      <c r="AX7" s="276"/>
      <c r="AY7" s="276"/>
      <c r="AZ7" s="2" t="s">
        <v>277</v>
      </c>
      <c r="BA7" s="276"/>
      <c r="BB7" s="276"/>
      <c r="BC7" s="2" t="str">
        <f t="shared" si="1"/>
        <v>Complete</v>
      </c>
      <c r="BD7" s="2" t="s">
        <v>278</v>
      </c>
      <c r="BE7" s="119" t="str">
        <f t="shared" si="2"/>
        <v>READY</v>
      </c>
    </row>
    <row r="8" spans="1:58" ht="28.8">
      <c r="A8" s="2" t="str">
        <f>IFERROR(VLOOKUP(E8,'Customer '!$A$4:$D$23,3,FALSE),"")</f>
        <v>RH</v>
      </c>
      <c r="B8" s="2" t="s">
        <v>267</v>
      </c>
      <c r="C8" s="2" t="s">
        <v>282</v>
      </c>
      <c r="D8" s="2" t="s">
        <v>269</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272</v>
      </c>
      <c r="L8" s="119" t="s">
        <v>380</v>
      </c>
      <c r="M8" s="276">
        <v>46309</v>
      </c>
      <c r="N8" s="276"/>
      <c r="O8" s="277"/>
      <c r="P8" s="2" t="s">
        <v>274</v>
      </c>
      <c r="Q8" s="2" t="s">
        <v>275</v>
      </c>
      <c r="R8" s="2">
        <v>0</v>
      </c>
      <c r="S8" s="2">
        <v>0</v>
      </c>
      <c r="V8" s="274">
        <v>31</v>
      </c>
      <c r="W8" s="274">
        <v>5736</v>
      </c>
      <c r="X8" s="278">
        <v>2935981.5199999996</v>
      </c>
      <c r="Y8" s="278">
        <v>1000000</v>
      </c>
      <c r="Z8" s="2" t="s">
        <v>337</v>
      </c>
      <c r="AA8" s="2" t="str">
        <f t="shared" si="0"/>
        <v>2027</v>
      </c>
      <c r="AB8" s="276"/>
      <c r="AC8" s="276"/>
      <c r="AD8" s="275">
        <v>46493</v>
      </c>
      <c r="AE8" s="276">
        <v>46564</v>
      </c>
      <c r="AF8" s="2" t="str">
        <f>IF(AD8="","",IF(ISNUMBER(AD8),IF(AND(AD8&gt;='2026 Calendar'!$C$4,AD8&lt;='2026 Calendar'!$E$107),LOOKUP(AD8,'2026 Calendar'!$C$4:$C$107,'2026 Calendar'!$A$4:$A$107),YEAR(AD8-WEEKDAY(AD8,2)+4)&amp;"/W"&amp;TEXT(WEEKNUM(AD8,21),"00")),IF(IFERROR(ISNUMBER(SEARCH("/W",AD8)),FALSE),IF(IFERROR(ISNUMBER(SEARCH("-",AD8)),FALSE),LEFT(AD8,SEARCH("-",AD8)-1),AD8),AD8)))</f>
        <v>2027/W16</v>
      </c>
      <c r="AG8" s="2" t="str">
        <f>IF(AE8="","",IF(ISNUMBER(AE8),IF(AND(AE8&gt;='2026 Calendar'!$C$4,AE8&lt;='2026 Calendar'!$E$107),LOOKUP(AE8,'2026 Calendar'!$C$4:$C$107,'2026 Calendar'!$A$4:$A$107),YEAR(AE8-WEEKDAY(AE8,2)+4)&amp;"/W"&amp;TEXT(WEEKNUM(AE8,21),"00")),IF(IFERROR(ISNUMBER(SEARCH("/W",AE8)),FALSE),IF(IFERROR(ISNUMBER(SEARCH("-",AE8)),FALSE),MID(AE8,SEARCH("-",AE8)+1,100),AE8),AE8)))</f>
        <v>2027/W26</v>
      </c>
      <c r="AH8" s="2" t="s">
        <v>304</v>
      </c>
      <c r="AI8" s="276"/>
      <c r="AJ8" s="276"/>
      <c r="AK8" s="2" t="s">
        <v>304</v>
      </c>
      <c r="AL8" s="276"/>
      <c r="AM8" s="276"/>
      <c r="AN8" s="2" t="s">
        <v>287</v>
      </c>
      <c r="AO8" s="276"/>
      <c r="AP8" s="276"/>
      <c r="AQ8" s="2" t="s">
        <v>287</v>
      </c>
      <c r="AR8" s="276"/>
      <c r="AS8" s="276"/>
      <c r="AT8" s="2" t="s">
        <v>73</v>
      </c>
      <c r="AU8" s="276"/>
      <c r="AV8" s="276"/>
      <c r="AW8" s="2" t="s">
        <v>287</v>
      </c>
      <c r="AX8" s="276"/>
      <c r="AY8" s="276"/>
      <c r="AZ8" s="2" t="s">
        <v>287</v>
      </c>
      <c r="BA8" s="276"/>
      <c r="BB8" s="276"/>
      <c r="BC8" s="2" t="str">
        <f t="shared" si="1"/>
        <v>Active</v>
      </c>
      <c r="BD8" s="2" t="s">
        <v>278</v>
      </c>
      <c r="BE8" s="119" t="str">
        <f t="shared" si="2"/>
        <v>NPI: In progress: Drawing, Veneer/Wood; Not started: Marble, Metal, Electrical, Fabric for SW26</v>
      </c>
    </row>
    <row r="9" spans="1:58" ht="28.8">
      <c r="A9" s="2" t="str">
        <f>IFERROR(VLOOKUP(E9,'Customer '!$A$4:$D$23,3,FALSE),"")</f>
        <v>RH</v>
      </c>
      <c r="B9" s="2" t="s">
        <v>267</v>
      </c>
      <c r="C9" s="2" t="s">
        <v>282</v>
      </c>
      <c r="D9" s="2" t="s">
        <v>269</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272</v>
      </c>
      <c r="L9" s="119" t="s">
        <v>380</v>
      </c>
      <c r="M9" s="276">
        <v>46309</v>
      </c>
      <c r="N9" s="276"/>
      <c r="O9" s="277"/>
      <c r="P9" s="2" t="s">
        <v>274</v>
      </c>
      <c r="Q9" s="2" t="s">
        <v>275</v>
      </c>
      <c r="R9" s="2">
        <v>0</v>
      </c>
      <c r="S9" s="2">
        <v>0</v>
      </c>
      <c r="V9" s="274">
        <v>31</v>
      </c>
      <c r="W9" s="274">
        <v>5736</v>
      </c>
      <c r="X9" s="278">
        <v>2935981.5199999996</v>
      </c>
      <c r="Y9" s="278">
        <v>1000000</v>
      </c>
      <c r="Z9" s="2" t="s">
        <v>332</v>
      </c>
      <c r="AA9" s="2" t="str">
        <f t="shared" ref="AA9" si="4">IF(Z9="","",IF(OR(Z9="TBC",Z9="Removed"),Z9,LEFT(Z9,4)))</f>
        <v>2027</v>
      </c>
      <c r="AB9" s="276"/>
      <c r="AC9" s="276"/>
      <c r="AD9" s="275">
        <v>46493</v>
      </c>
      <c r="AE9" s="276">
        <v>46564</v>
      </c>
      <c r="AF9" s="2" t="str">
        <f>IF(AD9="","",IF(ISNUMBER(AD9),IF(AND(AD9&gt;='2026 Calendar'!$C$4,AD9&lt;='2026 Calendar'!$E$107),LOOKUP(AD9,'2026 Calendar'!$C$4:$C$107,'2026 Calendar'!$A$4:$A$107),YEAR(AD9-WEEKDAY(AD9,2)+4)&amp;"/W"&amp;TEXT(WEEKNUM(AD9,21),"00")),IF(IFERROR(ISNUMBER(SEARCH("/W",AD9)),FALSE),IF(IFERROR(ISNUMBER(SEARCH("-",AD9)),FALSE),LEFT(AD9,SEARCH("-",AD9)-1),AD9),AD9)))</f>
        <v>2027/W16</v>
      </c>
      <c r="AG9" s="2" t="str">
        <f>IF(AE9="","",IF(ISNUMBER(AE9),IF(AND(AE9&gt;='2026 Calendar'!$C$4,AE9&lt;='2026 Calendar'!$E$107),LOOKUP(AE9,'2026 Calendar'!$C$4:$C$107,'2026 Calendar'!$A$4:$A$107),YEAR(AE9-WEEKDAY(AE9,2)+4)&amp;"/W"&amp;TEXT(WEEKNUM(AE9,21),"00")),IF(IFERROR(ISNUMBER(SEARCH("/W",AE9)),FALSE),IF(IFERROR(ISNUMBER(SEARCH("-",AE9)),FALSE),MID(AE9,SEARCH("-",AE9)+1,100),AE9),AE9)))</f>
        <v>2027/W26</v>
      </c>
      <c r="AH9" s="2" t="s">
        <v>304</v>
      </c>
      <c r="AI9" s="276"/>
      <c r="AJ9" s="276"/>
      <c r="AK9" s="2" t="s">
        <v>304</v>
      </c>
      <c r="AL9" s="276"/>
      <c r="AM9" s="276"/>
      <c r="AN9" s="2" t="s">
        <v>287</v>
      </c>
      <c r="AO9" s="276"/>
      <c r="AP9" s="276"/>
      <c r="AQ9" s="2" t="s">
        <v>287</v>
      </c>
      <c r="AR9" s="276"/>
      <c r="AS9" s="276"/>
      <c r="AT9" s="2" t="s">
        <v>73</v>
      </c>
      <c r="AU9" s="276"/>
      <c r="AV9" s="276"/>
      <c r="AW9" s="2" t="s">
        <v>287</v>
      </c>
      <c r="AX9" s="276"/>
      <c r="AY9" s="276"/>
      <c r="AZ9" s="2" t="s">
        <v>287</v>
      </c>
      <c r="BA9" s="276"/>
      <c r="BB9" s="276"/>
      <c r="BC9" s="2" t="str">
        <f t="shared" si="1"/>
        <v>Active</v>
      </c>
      <c r="BD9" s="2" t="s">
        <v>278</v>
      </c>
      <c r="BE9" s="119" t="str">
        <f t="shared" si="2"/>
        <v>NPI: In progress: Drawing, Veneer/Wood; Not started: Marble, Metal, Electrical, Fabric for SW26</v>
      </c>
    </row>
    <row r="10" spans="1:58" ht="28.8">
      <c r="A10" s="2" t="str">
        <f>IFERROR(VLOOKUP(E10,'Customer '!$A$4:$D$23,3,FALSE),"")</f>
        <v>RH</v>
      </c>
      <c r="B10" s="2" t="s">
        <v>267</v>
      </c>
      <c r="C10" s="2" t="s">
        <v>282</v>
      </c>
      <c r="D10" s="2" t="s">
        <v>269</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272</v>
      </c>
      <c r="L10" s="119" t="s">
        <v>380</v>
      </c>
      <c r="M10" s="276">
        <v>46309</v>
      </c>
      <c r="N10" s="276"/>
      <c r="O10" s="277"/>
      <c r="P10" s="2" t="s">
        <v>274</v>
      </c>
      <c r="Q10" s="2" t="s">
        <v>275</v>
      </c>
      <c r="R10" s="2">
        <v>0</v>
      </c>
      <c r="S10" s="2">
        <v>0</v>
      </c>
      <c r="V10" s="274">
        <v>31</v>
      </c>
      <c r="W10" s="274">
        <v>5736</v>
      </c>
      <c r="X10" s="278">
        <v>2935981.5199999996</v>
      </c>
      <c r="Y10" s="278">
        <f>X8-Y8-Y9</f>
        <v>935981.51999999955</v>
      </c>
      <c r="Z10" s="2" t="s">
        <v>286</v>
      </c>
      <c r="AA10" s="2" t="str">
        <f t="shared" ref="AA10" si="5">IF(Z10="","",IF(OR(Z10="TBC",Z10="Removed"),Z10,LEFT(Z10,4)))</f>
        <v>2027</v>
      </c>
      <c r="AB10" s="276"/>
      <c r="AC10" s="276"/>
      <c r="AD10" s="275">
        <v>46493</v>
      </c>
      <c r="AE10" s="276">
        <v>46564</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2027/W16</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2027/W26</v>
      </c>
      <c r="AH10" s="2" t="s">
        <v>304</v>
      </c>
      <c r="AI10" s="276"/>
      <c r="AJ10" s="276"/>
      <c r="AK10" s="2" t="s">
        <v>304</v>
      </c>
      <c r="AL10" s="276"/>
      <c r="AM10" s="276"/>
      <c r="AN10" s="2" t="s">
        <v>287</v>
      </c>
      <c r="AO10" s="276"/>
      <c r="AP10" s="276"/>
      <c r="AQ10" s="2" t="s">
        <v>287</v>
      </c>
      <c r="AR10" s="276"/>
      <c r="AS10" s="276"/>
      <c r="AT10" s="2" t="s">
        <v>73</v>
      </c>
      <c r="AU10" s="276"/>
      <c r="AV10" s="276"/>
      <c r="AW10" s="2" t="s">
        <v>287</v>
      </c>
      <c r="AX10" s="276"/>
      <c r="AY10" s="276"/>
      <c r="AZ10" s="2" t="s">
        <v>287</v>
      </c>
      <c r="BA10" s="276"/>
      <c r="BB10" s="276"/>
      <c r="BC10" s="2" t="str">
        <f t="shared" si="1"/>
        <v>Active</v>
      </c>
      <c r="BD10" s="2" t="s">
        <v>278</v>
      </c>
      <c r="BE10" s="119" t="str">
        <f t="shared" si="2"/>
        <v>NPI: In progress: Drawing, Veneer/Wood; Not started: Marble, Metal, Electrical, Fabric for SW26</v>
      </c>
    </row>
    <row r="11" spans="1:58">
      <c r="A11" s="2" t="str">
        <f>IFERROR(VLOOKUP(E11,'Customer '!$A$4:$D$23,3,FALSE),"")</f>
        <v>RH</v>
      </c>
      <c r="B11" s="2" t="s">
        <v>267</v>
      </c>
      <c r="C11" s="2" t="s">
        <v>290</v>
      </c>
      <c r="D11" s="2" t="s">
        <v>269</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271</v>
      </c>
      <c r="K11" s="2" t="s">
        <v>291</v>
      </c>
      <c r="L11" s="119" t="s">
        <v>273</v>
      </c>
      <c r="M11" s="276">
        <v>45917</v>
      </c>
      <c r="N11" s="276" t="s">
        <v>292</v>
      </c>
      <c r="O11" s="277"/>
      <c r="P11" s="2" t="s">
        <v>152</v>
      </c>
      <c r="Q11" s="2" t="s">
        <v>293</v>
      </c>
      <c r="V11" s="274">
        <v>26</v>
      </c>
      <c r="X11" s="278">
        <v>30383.55</v>
      </c>
      <c r="Y11" s="278">
        <v>30383.55</v>
      </c>
      <c r="Z11" s="2" t="s">
        <v>294</v>
      </c>
      <c r="AA11" s="2" t="str">
        <f t="shared" si="0"/>
        <v>2026</v>
      </c>
      <c r="AB11" s="276" t="s">
        <v>292</v>
      </c>
      <c r="AC11" s="276"/>
      <c r="AD11" s="275">
        <v>46116</v>
      </c>
      <c r="AE11" s="276">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6"/>
      <c r="AJ11" s="276"/>
      <c r="AK11" s="2" t="s">
        <v>56</v>
      </c>
      <c r="AL11" s="276"/>
      <c r="AM11" s="276"/>
      <c r="AN11" s="2" t="s">
        <v>73</v>
      </c>
      <c r="AO11" s="276"/>
      <c r="AP11" s="276"/>
      <c r="AQ11" s="2" t="s">
        <v>56</v>
      </c>
      <c r="AR11" s="276"/>
      <c r="AS11" s="276"/>
      <c r="AT11" s="2" t="s">
        <v>73</v>
      </c>
      <c r="AU11" s="276"/>
      <c r="AV11" s="276"/>
      <c r="AW11" s="2" t="s">
        <v>73</v>
      </c>
      <c r="AX11" s="276"/>
      <c r="AY11" s="276"/>
      <c r="AZ11" s="2" t="s">
        <v>57</v>
      </c>
      <c r="BA11" s="276"/>
      <c r="BB11" s="276"/>
      <c r="BC11" s="2" t="str">
        <f t="shared" si="1"/>
        <v>Complete</v>
      </c>
      <c r="BD11" s="2" t="s">
        <v>278</v>
      </c>
      <c r="BE11" s="119" t="str">
        <f t="shared" si="2"/>
        <v>READY</v>
      </c>
    </row>
    <row r="12" spans="1:58">
      <c r="A12" s="2" t="str">
        <f>IFERROR(VLOOKUP(E12,'Customer '!$A$4:$D$23,3,FALSE),"")</f>
        <v>RH</v>
      </c>
      <c r="B12" s="2" t="s">
        <v>267</v>
      </c>
      <c r="C12" s="2" t="s">
        <v>268</v>
      </c>
      <c r="D12" s="2" t="s">
        <v>269</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271</v>
      </c>
      <c r="K12" s="2" t="s">
        <v>272</v>
      </c>
      <c r="L12" s="119" t="s">
        <v>273</v>
      </c>
      <c r="M12" s="276">
        <v>46020</v>
      </c>
      <c r="N12" s="276">
        <v>46101</v>
      </c>
      <c r="O12" s="277"/>
      <c r="P12" s="2" t="s">
        <v>51</v>
      </c>
      <c r="Q12" s="2" t="s">
        <v>295</v>
      </c>
      <c r="V12" s="274">
        <v>50</v>
      </c>
      <c r="X12" s="278">
        <v>1161167</v>
      </c>
      <c r="Y12" s="278">
        <v>269518</v>
      </c>
      <c r="Z12" s="2" t="s">
        <v>280</v>
      </c>
      <c r="AA12" s="2" t="str">
        <f t="shared" si="0"/>
        <v>2026</v>
      </c>
      <c r="AB12" s="276">
        <v>46234</v>
      </c>
      <c r="AC12" s="276">
        <v>46241</v>
      </c>
      <c r="AD12" s="275">
        <v>46223</v>
      </c>
      <c r="AE12" s="276">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6"/>
      <c r="AJ12" s="276"/>
      <c r="AK12" s="2" t="s">
        <v>56</v>
      </c>
      <c r="AL12" s="276"/>
      <c r="AM12" s="276"/>
      <c r="AN12" s="2" t="s">
        <v>73</v>
      </c>
      <c r="AO12" s="276"/>
      <c r="AP12" s="276"/>
      <c r="AQ12" s="2" t="s">
        <v>56</v>
      </c>
      <c r="AR12" s="276"/>
      <c r="AS12" s="276"/>
      <c r="AT12" s="2" t="s">
        <v>73</v>
      </c>
      <c r="AU12" s="276"/>
      <c r="AV12" s="276"/>
      <c r="AW12" s="2" t="s">
        <v>73</v>
      </c>
      <c r="AX12" s="276"/>
      <c r="AY12" s="276"/>
      <c r="AZ12" s="2" t="s">
        <v>57</v>
      </c>
      <c r="BA12" s="276"/>
      <c r="BB12" s="276" t="s">
        <v>296</v>
      </c>
      <c r="BC12" s="2" t="str">
        <f t="shared" si="1"/>
        <v>Complete</v>
      </c>
      <c r="BD12" s="2" t="s">
        <v>278</v>
      </c>
      <c r="BE12" s="119" t="str">
        <f t="shared" si="2"/>
        <v>READY</v>
      </c>
    </row>
    <row r="13" spans="1:58">
      <c r="A13" s="2" t="str">
        <f>IFERROR(VLOOKUP(E13,'Customer '!$A$4:$D$23,3,FALSE),"")</f>
        <v>RH</v>
      </c>
      <c r="B13" s="2" t="s">
        <v>267</v>
      </c>
      <c r="C13" s="2" t="s">
        <v>268</v>
      </c>
      <c r="D13" s="2" t="s">
        <v>269</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271</v>
      </c>
      <c r="K13" s="2" t="s">
        <v>272</v>
      </c>
      <c r="L13" s="119" t="s">
        <v>273</v>
      </c>
      <c r="M13" s="276">
        <v>46020</v>
      </c>
      <c r="N13" s="276">
        <v>46101</v>
      </c>
      <c r="O13" s="277"/>
      <c r="P13" s="2" t="s">
        <v>51</v>
      </c>
      <c r="Q13" s="2" t="s">
        <v>295</v>
      </c>
      <c r="V13" s="274">
        <v>50</v>
      </c>
      <c r="X13" s="278">
        <v>1161167</v>
      </c>
      <c r="Y13" s="278">
        <v>760037</v>
      </c>
      <c r="Z13" s="2" t="s">
        <v>281</v>
      </c>
      <c r="AA13" s="2" t="str">
        <f t="shared" ref="AA13:AA14" si="6">IF(Z13="","",IF(OR(Z13="TBC",Z13="Removed"),Z13,LEFT(Z13,4)))</f>
        <v>2026</v>
      </c>
      <c r="AB13" s="276">
        <v>46234</v>
      </c>
      <c r="AC13" s="276">
        <v>46241</v>
      </c>
      <c r="AD13" s="275">
        <v>46223</v>
      </c>
      <c r="AE13" s="276">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6"/>
      <c r="AJ13" s="276"/>
      <c r="AK13" s="2" t="s">
        <v>56</v>
      </c>
      <c r="AL13" s="276"/>
      <c r="AM13" s="276"/>
      <c r="AN13" s="2" t="s">
        <v>73</v>
      </c>
      <c r="AO13" s="276"/>
      <c r="AP13" s="276"/>
      <c r="AQ13" s="2" t="s">
        <v>56</v>
      </c>
      <c r="AR13" s="276"/>
      <c r="AS13" s="276"/>
      <c r="AT13" s="2" t="s">
        <v>73</v>
      </c>
      <c r="AU13" s="276"/>
      <c r="AV13" s="276"/>
      <c r="AW13" s="2" t="s">
        <v>73</v>
      </c>
      <c r="AX13" s="276"/>
      <c r="AY13" s="276"/>
      <c r="AZ13" s="2" t="s">
        <v>277</v>
      </c>
      <c r="BA13" s="276"/>
      <c r="BB13" s="276" t="s">
        <v>296</v>
      </c>
      <c r="BC13" s="2" t="str">
        <f t="shared" si="1"/>
        <v>Complete</v>
      </c>
      <c r="BD13" s="2" t="s">
        <v>278</v>
      </c>
      <c r="BE13" s="119" t="str">
        <f t="shared" si="2"/>
        <v>READY</v>
      </c>
    </row>
    <row r="14" spans="1:58">
      <c r="A14" s="2" t="str">
        <f>IFERROR(VLOOKUP(E14,'Customer '!$A$4:$D$23,3,FALSE),"")</f>
        <v>RH</v>
      </c>
      <c r="B14" s="2" t="s">
        <v>267</v>
      </c>
      <c r="C14" s="2" t="s">
        <v>268</v>
      </c>
      <c r="D14" s="2" t="s">
        <v>269</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271</v>
      </c>
      <c r="K14" s="2" t="s">
        <v>272</v>
      </c>
      <c r="L14" s="119" t="s">
        <v>273</v>
      </c>
      <c r="M14" s="276">
        <v>46020</v>
      </c>
      <c r="N14" s="276">
        <v>46101</v>
      </c>
      <c r="O14" s="277"/>
      <c r="P14" s="2" t="s">
        <v>51</v>
      </c>
      <c r="Q14" s="2" t="s">
        <v>295</v>
      </c>
      <c r="R14" s="2">
        <v>0</v>
      </c>
      <c r="S14" s="2">
        <v>0</v>
      </c>
      <c r="V14" s="274">
        <v>50</v>
      </c>
      <c r="X14" s="278">
        <v>1161167</v>
      </c>
      <c r="Y14" s="278">
        <v>131612</v>
      </c>
      <c r="Z14" s="2" t="s">
        <v>297</v>
      </c>
      <c r="AA14" s="2" t="str">
        <f t="shared" si="6"/>
        <v>2026</v>
      </c>
      <c r="AB14" s="276">
        <v>46234</v>
      </c>
      <c r="AC14" s="276">
        <v>46241</v>
      </c>
      <c r="AD14" s="275">
        <v>46223</v>
      </c>
      <c r="AE14" s="276">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6"/>
      <c r="AJ14" s="276"/>
      <c r="AK14" s="2" t="s">
        <v>56</v>
      </c>
      <c r="AL14" s="276"/>
      <c r="AM14" s="276"/>
      <c r="AN14" s="2" t="s">
        <v>73</v>
      </c>
      <c r="AO14" s="276"/>
      <c r="AP14" s="276"/>
      <c r="AQ14" s="2" t="s">
        <v>56</v>
      </c>
      <c r="AR14" s="276"/>
      <c r="AS14" s="276"/>
      <c r="AT14" s="2" t="s">
        <v>73</v>
      </c>
      <c r="AU14" s="276"/>
      <c r="AV14" s="276"/>
      <c r="AW14" s="2" t="s">
        <v>73</v>
      </c>
      <c r="AX14" s="276"/>
      <c r="AY14" s="276"/>
      <c r="AZ14" s="2" t="s">
        <v>277</v>
      </c>
      <c r="BA14" s="276"/>
      <c r="BB14" s="276" t="s">
        <v>296</v>
      </c>
      <c r="BC14" s="2" t="str">
        <f t="shared" si="1"/>
        <v>Complete</v>
      </c>
      <c r="BD14" s="2" t="s">
        <v>278</v>
      </c>
      <c r="BE14" s="119" t="str">
        <f t="shared" si="2"/>
        <v>READY</v>
      </c>
    </row>
    <row r="15" spans="1:58">
      <c r="A15" s="2" t="str">
        <f>IFERROR(VLOOKUP(E15,'Customer '!$A$4:$D$23,3,FALSE),"")</f>
        <v>RH</v>
      </c>
      <c r="B15" s="2" t="s">
        <v>267</v>
      </c>
      <c r="C15" s="2" t="s">
        <v>298</v>
      </c>
      <c r="D15" s="2" t="s">
        <v>269</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271</v>
      </c>
      <c r="K15" s="2" t="s">
        <v>272</v>
      </c>
      <c r="L15" s="119" t="s">
        <v>273</v>
      </c>
      <c r="M15" s="276">
        <v>45953</v>
      </c>
      <c r="N15" s="276">
        <v>45964</v>
      </c>
      <c r="O15" s="277"/>
      <c r="P15" s="2" t="s">
        <v>51</v>
      </c>
      <c r="Q15" s="2" t="s">
        <v>152</v>
      </c>
      <c r="V15" s="274">
        <v>9</v>
      </c>
      <c r="X15" s="278">
        <v>54061.599999999999</v>
      </c>
      <c r="Y15" s="278">
        <v>54061.599999999999</v>
      </c>
      <c r="Z15" s="2" t="s">
        <v>294</v>
      </c>
      <c r="AA15" s="2" t="str">
        <f t="shared" si="0"/>
        <v>2026</v>
      </c>
      <c r="AB15" s="276" t="s">
        <v>292</v>
      </c>
      <c r="AC15" s="276"/>
      <c r="AD15" s="275">
        <v>46116</v>
      </c>
      <c r="AE15" s="276">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6"/>
      <c r="AJ15" s="276"/>
      <c r="AK15" s="2" t="s">
        <v>56</v>
      </c>
      <c r="AL15" s="276"/>
      <c r="AM15" s="276"/>
      <c r="AN15" s="2" t="s">
        <v>73</v>
      </c>
      <c r="AO15" s="276"/>
      <c r="AP15" s="276"/>
      <c r="AQ15" s="2" t="s">
        <v>56</v>
      </c>
      <c r="AR15" s="276"/>
      <c r="AS15" s="276"/>
      <c r="AT15" s="2" t="s">
        <v>56</v>
      </c>
      <c r="AU15" s="276"/>
      <c r="AV15" s="276"/>
      <c r="AW15" s="2" t="s">
        <v>56</v>
      </c>
      <c r="AX15" s="276"/>
      <c r="AY15" s="276"/>
      <c r="AZ15" s="2" t="s">
        <v>57</v>
      </c>
      <c r="BA15" s="276"/>
      <c r="BB15" s="276"/>
      <c r="BC15" s="2" t="str">
        <f t="shared" si="1"/>
        <v>Complete</v>
      </c>
      <c r="BD15" s="2" t="s">
        <v>278</v>
      </c>
      <c r="BE15" s="119" t="str">
        <f t="shared" si="2"/>
        <v>READY</v>
      </c>
    </row>
    <row r="16" spans="1:58">
      <c r="A16" s="2" t="str">
        <f>IFERROR(VLOOKUP(E16,'Customer '!$A$4:$D$23,3,FALSE),"")</f>
        <v>RH</v>
      </c>
      <c r="B16" s="2" t="s">
        <v>267</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272</v>
      </c>
      <c r="L16" s="119" t="s">
        <v>301</v>
      </c>
      <c r="M16" s="276">
        <v>45828</v>
      </c>
      <c r="N16" s="276"/>
      <c r="O16" s="277"/>
      <c r="P16" s="2" t="s">
        <v>51</v>
      </c>
      <c r="Q16" s="2" t="s">
        <v>302</v>
      </c>
      <c r="V16" s="274">
        <v>2</v>
      </c>
      <c r="X16" s="278">
        <v>135705</v>
      </c>
      <c r="Y16" s="278">
        <v>135705</v>
      </c>
      <c r="Z16" s="2" t="s">
        <v>303</v>
      </c>
      <c r="AA16" s="2" t="str">
        <f t="shared" si="0"/>
        <v>2026</v>
      </c>
      <c r="AB16" s="276" t="s">
        <v>292</v>
      </c>
      <c r="AC16" s="276"/>
      <c r="AD16" s="275">
        <v>46116</v>
      </c>
      <c r="AE16" s="276">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6"/>
      <c r="AJ16" s="276"/>
      <c r="AL16" s="276"/>
      <c r="AM16" s="276"/>
      <c r="AO16" s="276"/>
      <c r="AP16" s="276"/>
      <c r="AR16" s="276"/>
      <c r="AS16" s="276"/>
      <c r="AU16" s="276"/>
      <c r="AV16" s="276"/>
      <c r="AX16" s="276"/>
      <c r="AY16" s="276"/>
      <c r="BA16" s="276"/>
      <c r="BB16" s="276"/>
      <c r="BC16" s="2" t="str">
        <f t="shared" si="1"/>
        <v>Complete</v>
      </c>
      <c r="BD16" s="2" t="s">
        <v>278</v>
      </c>
      <c r="BE16" s="119" t="str">
        <f t="shared" si="2"/>
        <v>NPI: In progress: Drawing for SW14</v>
      </c>
    </row>
    <row r="17" spans="1:58">
      <c r="A17" s="2" t="str">
        <f>IFERROR(VLOOKUP(E17,'Customer '!$A$4:$D$23,3,FALSE),"")</f>
        <v>RH</v>
      </c>
      <c r="B17" s="2" t="s">
        <v>267</v>
      </c>
      <c r="C17" s="2" t="s">
        <v>298</v>
      </c>
      <c r="D17" s="2" t="s">
        <v>269</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272</v>
      </c>
      <c r="L17" s="119" t="s">
        <v>301</v>
      </c>
      <c r="M17" s="276"/>
      <c r="N17" s="276"/>
      <c r="O17" s="277"/>
      <c r="P17" s="2" t="s">
        <v>51</v>
      </c>
      <c r="Q17" s="2" t="s">
        <v>152</v>
      </c>
      <c r="R17" s="2">
        <v>0</v>
      </c>
      <c r="S17" s="2">
        <v>0</v>
      </c>
      <c r="V17" s="274">
        <v>12</v>
      </c>
      <c r="X17" s="278">
        <v>143556.08999999997</v>
      </c>
      <c r="Y17" s="278">
        <v>143556.08999999997</v>
      </c>
      <c r="Z17" s="2" t="s">
        <v>288</v>
      </c>
      <c r="AA17" s="2" t="str">
        <f t="shared" si="0"/>
        <v>2027</v>
      </c>
      <c r="AB17" s="276" t="s">
        <v>292</v>
      </c>
      <c r="AC17" s="276"/>
      <c r="AD17" s="275">
        <v>46571</v>
      </c>
      <c r="AE17" s="276">
        <v>46578</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2027/W27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2027/W28</v>
      </c>
      <c r="AH17" s="2" t="s">
        <v>56</v>
      </c>
      <c r="AI17" s="276"/>
      <c r="AJ17" s="276"/>
      <c r="AK17" s="2" t="s">
        <v>56</v>
      </c>
      <c r="AL17" s="276"/>
      <c r="AM17" s="276"/>
      <c r="AN17" s="2" t="s">
        <v>56</v>
      </c>
      <c r="AO17" s="276"/>
      <c r="AP17" s="276"/>
      <c r="AQ17" s="2" t="s">
        <v>56</v>
      </c>
      <c r="AR17" s="276"/>
      <c r="AS17" s="276"/>
      <c r="AT17" s="2" t="s">
        <v>56</v>
      </c>
      <c r="AU17" s="276"/>
      <c r="AV17" s="276"/>
      <c r="AW17" s="2" t="s">
        <v>73</v>
      </c>
      <c r="AX17" s="276"/>
      <c r="AY17" s="276"/>
      <c r="AZ17" s="2" t="s">
        <v>57</v>
      </c>
      <c r="BA17" s="276"/>
      <c r="BB17" s="276"/>
      <c r="BC17" s="2" t="str">
        <f t="shared" si="1"/>
        <v>Active</v>
      </c>
      <c r="BD17" s="2" t="s">
        <v>278</v>
      </c>
      <c r="BE17" s="119" t="str">
        <f t="shared" si="2"/>
        <v>NPI: Fabric is com for SW28</v>
      </c>
      <c r="BF17" s="2" t="s">
        <v>305</v>
      </c>
    </row>
    <row r="18" spans="1:58">
      <c r="A18" s="2" t="str">
        <f>IFERROR(VLOOKUP(E18,'Customer '!$A$4:$D$23,3,FALSE),"")</f>
        <v>RH</v>
      </c>
      <c r="B18" s="2" t="s">
        <v>267</v>
      </c>
      <c r="C18" s="2" t="s">
        <v>306</v>
      </c>
      <c r="D18" s="2" t="s">
        <v>269</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271</v>
      </c>
      <c r="K18" s="2" t="s">
        <v>272</v>
      </c>
      <c r="L18" s="119" t="s">
        <v>285</v>
      </c>
      <c r="M18" s="276">
        <v>46027</v>
      </c>
      <c r="N18" s="276">
        <v>46048</v>
      </c>
      <c r="O18" s="277"/>
      <c r="P18" s="2" t="s">
        <v>51</v>
      </c>
      <c r="Q18" s="2" t="s">
        <v>152</v>
      </c>
      <c r="V18" s="274">
        <v>1</v>
      </c>
      <c r="X18" s="278">
        <v>12309</v>
      </c>
      <c r="Y18" s="278">
        <v>12309</v>
      </c>
      <c r="Z18" s="2" t="s">
        <v>279</v>
      </c>
      <c r="AA18" s="2" t="str">
        <f t="shared" ref="AA18" si="7">IF(Z18="","",IF(OR(Z18="TBC",Z18="Removed"),Z18,LEFT(Z18,4)))</f>
        <v>2026</v>
      </c>
      <c r="AB18" s="276">
        <v>46171</v>
      </c>
      <c r="AC18" s="276">
        <v>46189</v>
      </c>
      <c r="AD18" s="275">
        <v>46116</v>
      </c>
      <c r="AE18" s="275">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6"/>
      <c r="AJ18" s="276">
        <v>46058</v>
      </c>
      <c r="AK18" s="2" t="s">
        <v>56</v>
      </c>
      <c r="AL18" s="276"/>
      <c r="AM18" s="276">
        <v>46058</v>
      </c>
      <c r="AN18" s="2" t="s">
        <v>73</v>
      </c>
      <c r="AO18" s="276"/>
      <c r="AP18" s="276"/>
      <c r="AQ18" s="2" t="s">
        <v>56</v>
      </c>
      <c r="AR18" s="276"/>
      <c r="AS18" s="276">
        <v>46058</v>
      </c>
      <c r="AT18" s="2" t="s">
        <v>73</v>
      </c>
      <c r="AU18" s="276"/>
      <c r="AV18" s="276"/>
      <c r="AW18" s="2" t="s">
        <v>73</v>
      </c>
      <c r="AX18" s="276"/>
      <c r="AY18" s="276"/>
      <c r="AZ18" s="2" t="s">
        <v>73</v>
      </c>
      <c r="BA18" s="276"/>
      <c r="BB18" s="276"/>
      <c r="BC18" s="2" t="str">
        <f t="shared" si="1"/>
        <v>Complete</v>
      </c>
      <c r="BD18" s="2" t="s">
        <v>278</v>
      </c>
      <c r="BE18" s="119" t="str">
        <f t="shared" si="2"/>
        <v>READY</v>
      </c>
    </row>
    <row r="19" spans="1:58">
      <c r="A19" s="2" t="str">
        <f>IFERROR(VLOOKUP(E19,'Customer '!$A$4:$D$23,3,FALSE),"")</f>
        <v>RH</v>
      </c>
      <c r="B19" s="2" t="s">
        <v>267</v>
      </c>
      <c r="C19" s="2" t="s">
        <v>308</v>
      </c>
      <c r="D19" s="2" t="s">
        <v>269</v>
      </c>
      <c r="E19" s="2" t="s">
        <v>61</v>
      </c>
      <c r="F19" s="2" t="str">
        <f>IFERROR(VLOOKUP(E19,'Customer '!$A$4:$D$28,2,FALSE),"")</f>
        <v>RH</v>
      </c>
      <c r="G19" s="2" t="s">
        <v>309</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310</v>
      </c>
      <c r="K19" s="2" t="s">
        <v>291</v>
      </c>
      <c r="L19" s="119" t="s">
        <v>311</v>
      </c>
      <c r="M19" s="276">
        <v>46227</v>
      </c>
      <c r="N19" s="276">
        <v>46230</v>
      </c>
      <c r="O19" s="277"/>
      <c r="P19" s="2" t="s">
        <v>51</v>
      </c>
      <c r="Q19" s="2" t="s">
        <v>152</v>
      </c>
      <c r="R19" s="2">
        <v>0</v>
      </c>
      <c r="S19" s="2">
        <v>0</v>
      </c>
      <c r="V19" s="274">
        <v>1</v>
      </c>
      <c r="W19" s="274">
        <v>20</v>
      </c>
      <c r="X19" s="278">
        <v>3454</v>
      </c>
      <c r="Y19" s="278">
        <v>3454</v>
      </c>
      <c r="Z19" s="2" t="s">
        <v>312</v>
      </c>
      <c r="AA19" s="2" t="str">
        <f t="shared" si="0"/>
        <v>2026</v>
      </c>
      <c r="AB19" s="276"/>
      <c r="AC19" s="276"/>
      <c r="AD19" s="275">
        <v>46346</v>
      </c>
      <c r="AE19" s="275">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6"/>
      <c r="AJ19" s="276">
        <v>46058</v>
      </c>
      <c r="AK19" s="2" t="s">
        <v>56</v>
      </c>
      <c r="AL19" s="276"/>
      <c r="AM19" s="276">
        <v>46058</v>
      </c>
      <c r="AN19" s="2" t="s">
        <v>56</v>
      </c>
      <c r="AO19" s="276"/>
      <c r="AP19" s="276"/>
      <c r="AQ19" s="2" t="s">
        <v>56</v>
      </c>
      <c r="AR19" s="276"/>
      <c r="AS19" s="276">
        <v>46058</v>
      </c>
      <c r="AT19" s="2" t="s">
        <v>73</v>
      </c>
      <c r="AU19" s="276"/>
      <c r="AV19" s="276"/>
      <c r="AW19" s="2" t="s">
        <v>73</v>
      </c>
      <c r="AX19" s="276"/>
      <c r="AY19" s="276"/>
      <c r="AZ19" s="2" t="s">
        <v>73</v>
      </c>
      <c r="BA19" s="276"/>
      <c r="BB19" s="276"/>
      <c r="BC19" s="2" t="str">
        <f t="shared" si="1"/>
        <v>Active</v>
      </c>
      <c r="BD19" s="2" t="s">
        <v>278</v>
      </c>
      <c r="BE19" s="119" t="str">
        <f t="shared" si="2"/>
        <v>NPI: All development items approved/closed for SW47</v>
      </c>
      <c r="BF19" s="2" t="s">
        <v>1643</v>
      </c>
    </row>
    <row r="20" spans="1:58">
      <c r="A20" s="2" t="str">
        <f>IFERROR(VLOOKUP(E20,'Customer '!$A$4:$D$23,3,FALSE),"")</f>
        <v>RH</v>
      </c>
      <c r="B20" s="2" t="s">
        <v>267</v>
      </c>
      <c r="C20" s="2" t="s">
        <v>308</v>
      </c>
      <c r="D20" s="2" t="s">
        <v>313</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271</v>
      </c>
      <c r="K20" s="2" t="s">
        <v>272</v>
      </c>
      <c r="L20" s="119" t="s">
        <v>311</v>
      </c>
      <c r="M20" s="276">
        <v>46037</v>
      </c>
      <c r="N20" s="276">
        <v>46083</v>
      </c>
      <c r="O20" s="277"/>
      <c r="P20" s="2" t="s">
        <v>147</v>
      </c>
      <c r="Q20" s="2" t="s">
        <v>314</v>
      </c>
      <c r="R20" s="2">
        <v>0</v>
      </c>
      <c r="S20" s="2">
        <v>0</v>
      </c>
      <c r="V20" s="274">
        <v>11</v>
      </c>
      <c r="W20" s="274">
        <v>191</v>
      </c>
      <c r="X20" s="278">
        <v>202175</v>
      </c>
      <c r="Y20" s="278">
        <v>74720</v>
      </c>
      <c r="Z20" s="2" t="s">
        <v>297</v>
      </c>
      <c r="AA20" s="2" t="str">
        <f t="shared" ref="AA20:AA21" si="8">IF(Z20="","",IF(OR(Z20="TBC",Z20="Removed"),Z20,LEFT(Z20,4)))</f>
        <v>2026</v>
      </c>
      <c r="AB20" s="276">
        <v>46163</v>
      </c>
      <c r="AC20" s="276">
        <v>46170</v>
      </c>
      <c r="AD20" s="275">
        <v>46278</v>
      </c>
      <c r="AE20" s="275">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6"/>
      <c r="AJ20" s="276">
        <v>46083</v>
      </c>
      <c r="AK20" s="2" t="s">
        <v>56</v>
      </c>
      <c r="AL20" s="276"/>
      <c r="AM20" s="276">
        <v>46083</v>
      </c>
      <c r="AN20" s="2" t="s">
        <v>73</v>
      </c>
      <c r="AO20" s="276"/>
      <c r="AP20" s="276"/>
      <c r="AQ20" s="2" t="s">
        <v>56</v>
      </c>
      <c r="AR20" s="276"/>
      <c r="AS20" s="276"/>
      <c r="AT20" s="2" t="s">
        <v>73</v>
      </c>
      <c r="AU20" s="276"/>
      <c r="AV20" s="276"/>
      <c r="AW20" s="2" t="s">
        <v>73</v>
      </c>
      <c r="AX20" s="276"/>
      <c r="AY20" s="276"/>
      <c r="AZ20" s="2" t="s">
        <v>73</v>
      </c>
      <c r="BA20" s="276"/>
      <c r="BB20" s="276"/>
      <c r="BC20" s="2" t="str">
        <f t="shared" si="1"/>
        <v>Complete</v>
      </c>
      <c r="BD20" s="2" t="s">
        <v>278</v>
      </c>
      <c r="BE20" s="119" t="str">
        <f t="shared" si="2"/>
        <v>READY</v>
      </c>
    </row>
    <row r="21" spans="1:58">
      <c r="A21" s="2" t="str">
        <f>IFERROR(VLOOKUP(E21,'Customer '!$A$4:$D$23,3,FALSE),"")</f>
        <v>RH</v>
      </c>
      <c r="B21" s="2" t="s">
        <v>267</v>
      </c>
      <c r="C21" s="2" t="s">
        <v>308</v>
      </c>
      <c r="D21" s="2" t="s">
        <v>313</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310</v>
      </c>
      <c r="K21" s="2" t="s">
        <v>272</v>
      </c>
      <c r="L21" s="119" t="s">
        <v>311</v>
      </c>
      <c r="M21" s="276">
        <v>46037</v>
      </c>
      <c r="N21" s="276">
        <v>46083</v>
      </c>
      <c r="O21" s="277"/>
      <c r="P21" s="2" t="s">
        <v>147</v>
      </c>
      <c r="Q21" s="2" t="s">
        <v>314</v>
      </c>
      <c r="R21" s="2">
        <v>0</v>
      </c>
      <c r="S21" s="2">
        <v>0</v>
      </c>
      <c r="V21" s="274">
        <v>11</v>
      </c>
      <c r="W21" s="274">
        <v>271</v>
      </c>
      <c r="X21" s="278">
        <v>202175</v>
      </c>
      <c r="Y21" s="278">
        <v>127455</v>
      </c>
      <c r="Z21" s="2" t="s">
        <v>303</v>
      </c>
      <c r="AA21" s="2" t="str">
        <f t="shared" si="8"/>
        <v>2026</v>
      </c>
      <c r="AB21" s="276">
        <v>46163</v>
      </c>
      <c r="AC21" s="276">
        <v>46170</v>
      </c>
      <c r="AD21" s="275">
        <v>46325</v>
      </c>
      <c r="AE21" s="275">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6"/>
      <c r="AJ21" s="276">
        <v>46083</v>
      </c>
      <c r="AK21" s="2" t="s">
        <v>56</v>
      </c>
      <c r="AL21" s="276"/>
      <c r="AM21" s="276">
        <v>46083</v>
      </c>
      <c r="AN21" s="2" t="s">
        <v>56</v>
      </c>
      <c r="AO21" s="276"/>
      <c r="AP21" s="276">
        <v>46083</v>
      </c>
      <c r="AQ21" s="2" t="s">
        <v>56</v>
      </c>
      <c r="AR21" s="276"/>
      <c r="AS21" s="276">
        <v>46083</v>
      </c>
      <c r="AT21" s="2" t="s">
        <v>73</v>
      </c>
      <c r="AU21" s="276"/>
      <c r="AV21" s="276"/>
      <c r="AW21" s="2" t="s">
        <v>73</v>
      </c>
      <c r="AX21" s="276"/>
      <c r="AY21" s="276"/>
      <c r="AZ21" s="2" t="s">
        <v>73</v>
      </c>
      <c r="BA21" s="276"/>
      <c r="BB21" s="276"/>
      <c r="BC21" s="2" t="str">
        <f t="shared" si="1"/>
        <v>Active</v>
      </c>
      <c r="BD21" s="2" t="s">
        <v>278</v>
      </c>
      <c r="BE21" s="119" t="str">
        <f t="shared" si="2"/>
        <v>NPI: All development items approved/closed for SW44</v>
      </c>
    </row>
    <row r="22" spans="1:58" ht="28.8">
      <c r="A22" s="2" t="str">
        <f>IFERROR(VLOOKUP(E22,'Customer '!$A$4:$D$23,3,FALSE),"")</f>
        <v>RH</v>
      </c>
      <c r="B22" s="2" t="s">
        <v>267</v>
      </c>
      <c r="C22" s="2" t="s">
        <v>308</v>
      </c>
      <c r="D22" s="2" t="s">
        <v>313</v>
      </c>
      <c r="E22" s="2" t="s">
        <v>61</v>
      </c>
      <c r="F22" s="2" t="str">
        <f>IFERROR(VLOOKUP(E22,'Customer '!$A$4:$D$28,2,FALSE),"")</f>
        <v>RH</v>
      </c>
      <c r="G22" s="2" t="s">
        <v>315</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316</v>
      </c>
      <c r="K22" s="2" t="s">
        <v>272</v>
      </c>
      <c r="L22" s="119" t="s">
        <v>317</v>
      </c>
      <c r="M22" s="276">
        <v>46297</v>
      </c>
      <c r="N22" s="276" t="s">
        <v>318</v>
      </c>
      <c r="O22" s="277"/>
      <c r="P22" s="2" t="s">
        <v>147</v>
      </c>
      <c r="Q22" s="2" t="s">
        <v>314</v>
      </c>
      <c r="R22" s="274">
        <v>1</v>
      </c>
      <c r="S22" s="274">
        <v>1</v>
      </c>
      <c r="V22" s="274">
        <v>1</v>
      </c>
      <c r="W22" s="274">
        <v>1</v>
      </c>
      <c r="X22" s="278">
        <v>2190.15</v>
      </c>
      <c r="Y22" s="278">
        <v>2190.15</v>
      </c>
      <c r="Z22" s="2" t="s">
        <v>319</v>
      </c>
      <c r="AA22" s="2" t="str">
        <f t="shared" ref="AA22" si="9">IF(Z22="","",IF(OR(Z22="TBC",Z22="Removed"),Z22,LEFT(Z22,4)))</f>
        <v>2027</v>
      </c>
      <c r="AB22" s="276">
        <v>46163</v>
      </c>
      <c r="AC22" s="276">
        <v>46170</v>
      </c>
      <c r="AD22" s="275">
        <v>46409</v>
      </c>
      <c r="AE22" s="275">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304</v>
      </c>
      <c r="AI22" s="276">
        <v>46311</v>
      </c>
      <c r="AJ22" s="276"/>
      <c r="AK22" s="2" t="s">
        <v>56</v>
      </c>
      <c r="AL22" s="276">
        <v>46311</v>
      </c>
      <c r="AM22" s="276"/>
      <c r="AN22" s="2" t="s">
        <v>73</v>
      </c>
      <c r="AO22" s="276"/>
      <c r="AP22" s="276"/>
      <c r="AQ22" s="2" t="s">
        <v>73</v>
      </c>
      <c r="AR22" s="276"/>
      <c r="AS22" s="276"/>
      <c r="AT22" s="2" t="s">
        <v>73</v>
      </c>
      <c r="AU22" s="276"/>
      <c r="AV22" s="276"/>
      <c r="AW22" s="2" t="s">
        <v>304</v>
      </c>
      <c r="AX22" s="276"/>
      <c r="AY22" s="276"/>
      <c r="AZ22" s="2" t="s">
        <v>73</v>
      </c>
      <c r="BA22" s="276"/>
      <c r="BB22" s="276"/>
      <c r="BC22" s="2" t="str">
        <f t="shared" si="1"/>
        <v>Active</v>
      </c>
      <c r="BD22" s="2" t="s">
        <v>278</v>
      </c>
      <c r="BE22" s="119" t="str">
        <f t="shared" si="2"/>
        <v>NPI: In progress: Drawing, Electrical; need approval by 16-Oct-26 for SW04</v>
      </c>
      <c r="BF22" s="2" t="s">
        <v>320</v>
      </c>
    </row>
    <row r="23" spans="1:58">
      <c r="A23" s="2" t="str">
        <f>IFERROR(VLOOKUP(E23,'Customer '!$A$4:$D$23,3,FALSE),"")</f>
        <v>RH</v>
      </c>
      <c r="B23" s="2" t="s">
        <v>267</v>
      </c>
      <c r="C23" s="2" t="s">
        <v>268</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321</v>
      </c>
      <c r="K23" s="2" t="s">
        <v>272</v>
      </c>
      <c r="L23" s="119" t="s">
        <v>317</v>
      </c>
      <c r="M23" s="276">
        <v>46029</v>
      </c>
      <c r="N23" s="276" t="s">
        <v>292</v>
      </c>
      <c r="O23" s="277"/>
      <c r="P23" s="2" t="s">
        <v>51</v>
      </c>
      <c r="Q23" s="2" t="s">
        <v>152</v>
      </c>
      <c r="R23" s="2" t="s">
        <v>149</v>
      </c>
      <c r="S23" s="2" t="s">
        <v>149</v>
      </c>
      <c r="V23" s="274">
        <v>1</v>
      </c>
      <c r="X23" s="278">
        <v>14520</v>
      </c>
      <c r="Y23" s="278">
        <v>14520</v>
      </c>
      <c r="Z23" s="2" t="s">
        <v>149</v>
      </c>
      <c r="AA23" s="2" t="str">
        <f t="shared" si="0"/>
        <v>TBC</v>
      </c>
      <c r="AB23" s="276" t="s">
        <v>292</v>
      </c>
      <c r="AC23" s="276"/>
      <c r="AD23" s="275" t="s">
        <v>149</v>
      </c>
      <c r="AE23" s="276"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322</v>
      </c>
      <c r="AI23" s="276"/>
      <c r="AJ23" s="276"/>
      <c r="AK23" s="2" t="s">
        <v>56</v>
      </c>
      <c r="AL23" s="276"/>
      <c r="AM23" s="276"/>
      <c r="AN23" s="2" t="s">
        <v>73</v>
      </c>
      <c r="AO23" s="276"/>
      <c r="AP23" s="276"/>
      <c r="AQ23" s="2" t="s">
        <v>73</v>
      </c>
      <c r="AR23" s="276"/>
      <c r="AS23" s="276"/>
      <c r="AT23" s="2" t="s">
        <v>73</v>
      </c>
      <c r="AU23" s="276"/>
      <c r="AV23" s="276"/>
      <c r="AW23" s="2" t="s">
        <v>73</v>
      </c>
      <c r="AX23" s="276"/>
      <c r="AY23" s="276"/>
      <c r="AZ23" s="2" t="s">
        <v>57</v>
      </c>
      <c r="BA23" s="276"/>
      <c r="BB23" s="276"/>
      <c r="BC23" s="2" t="str">
        <f t="shared" si="1"/>
        <v>Active</v>
      </c>
      <c r="BD23" s="2" t="s">
        <v>278</v>
      </c>
      <c r="BE23" s="119" t="str">
        <f t="shared" si="2"/>
        <v>NPI: Pending approval: Drawing; Fabric is com for SW TBC</v>
      </c>
    </row>
    <row r="24" spans="1:58">
      <c r="A24" s="2" t="str">
        <f>IFERROR(VLOOKUP(E24,'Customer '!$A$4:$D$23,3,FALSE),"")</f>
        <v>RH</v>
      </c>
      <c r="B24" s="2" t="s">
        <v>267</v>
      </c>
      <c r="C24" s="2" t="s">
        <v>323</v>
      </c>
      <c r="D24" s="2" t="s">
        <v>269</v>
      </c>
      <c r="E24" s="2" t="s">
        <v>61</v>
      </c>
      <c r="F24" s="2" t="str">
        <f>IFERROR(VLOOKUP(E24,'Customer '!$A$4:$D$28,2,FALSE),"")</f>
        <v>RH</v>
      </c>
      <c r="G24" s="2" t="s">
        <v>324</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271</v>
      </c>
      <c r="K24" s="2" t="s">
        <v>291</v>
      </c>
      <c r="L24" s="119" t="s">
        <v>273</v>
      </c>
      <c r="M24" s="276"/>
      <c r="N24" s="276">
        <v>46034</v>
      </c>
      <c r="O24" s="277"/>
      <c r="P24" s="2" t="s">
        <v>51</v>
      </c>
      <c r="Q24" s="2" t="s">
        <v>152</v>
      </c>
      <c r="V24" s="274">
        <v>1</v>
      </c>
      <c r="X24" s="278">
        <v>4200</v>
      </c>
      <c r="Y24" s="278">
        <v>4200</v>
      </c>
      <c r="Z24" s="2" t="s">
        <v>325</v>
      </c>
      <c r="AA24" s="2" t="str">
        <f t="shared" si="0"/>
        <v>2026</v>
      </c>
      <c r="AB24" s="276" t="s">
        <v>326</v>
      </c>
      <c r="AC24" s="276"/>
      <c r="AD24" s="275">
        <v>46116</v>
      </c>
      <c r="AE24" s="276">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6"/>
      <c r="AJ24" s="276"/>
      <c r="AK24" s="2" t="s">
        <v>56</v>
      </c>
      <c r="AL24" s="276"/>
      <c r="AM24" s="276"/>
      <c r="AN24" s="2" t="s">
        <v>73</v>
      </c>
      <c r="AO24" s="276"/>
      <c r="AP24" s="276"/>
      <c r="AQ24" s="2" t="s">
        <v>73</v>
      </c>
      <c r="AR24" s="276"/>
      <c r="AS24" s="276"/>
      <c r="AT24" s="2" t="s">
        <v>73</v>
      </c>
      <c r="AU24" s="276"/>
      <c r="AV24" s="276"/>
      <c r="AW24" s="2" t="s">
        <v>73</v>
      </c>
      <c r="AX24" s="276"/>
      <c r="AY24" s="276"/>
      <c r="AZ24" s="2" t="s">
        <v>57</v>
      </c>
      <c r="BA24" s="276"/>
      <c r="BB24" s="276"/>
      <c r="BC24" s="2" t="str">
        <f t="shared" si="1"/>
        <v>Complete</v>
      </c>
      <c r="BD24" s="2" t="s">
        <v>278</v>
      </c>
      <c r="BE24" s="119" t="str">
        <f t="shared" si="2"/>
        <v>READY</v>
      </c>
    </row>
    <row r="25" spans="1:58">
      <c r="A25" s="2" t="str">
        <f>IFERROR(VLOOKUP(E25,'Customer '!$A$4:$D$23,3,FALSE),"")</f>
        <v>RH</v>
      </c>
      <c r="B25" s="2" t="s">
        <v>327</v>
      </c>
      <c r="C25" s="2" t="s">
        <v>328</v>
      </c>
      <c r="D25" s="2" t="s">
        <v>269</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271</v>
      </c>
      <c r="K25" s="2" t="s">
        <v>272</v>
      </c>
      <c r="L25" s="119" t="s">
        <v>273</v>
      </c>
      <c r="M25" s="276">
        <v>45831</v>
      </c>
      <c r="N25" s="276">
        <v>46078</v>
      </c>
      <c r="O25" s="277"/>
      <c r="P25" s="2" t="s">
        <v>51</v>
      </c>
      <c r="Q25" s="2" t="s">
        <v>329</v>
      </c>
      <c r="V25" s="274">
        <v>1</v>
      </c>
      <c r="X25" s="278">
        <v>1234.8599999999999</v>
      </c>
      <c r="Y25" s="278">
        <v>1234.8599999999999</v>
      </c>
      <c r="Z25" s="2" t="s">
        <v>279</v>
      </c>
      <c r="AA25" s="2" t="str">
        <f t="shared" si="0"/>
        <v>2026</v>
      </c>
      <c r="AB25" s="279">
        <v>46192</v>
      </c>
      <c r="AC25" s="279">
        <v>46192</v>
      </c>
      <c r="AD25" s="280">
        <v>46116</v>
      </c>
      <c r="AE25" s="279">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6"/>
      <c r="AJ25" s="276"/>
      <c r="AK25" s="2" t="s">
        <v>56</v>
      </c>
      <c r="AL25" s="276"/>
      <c r="AM25" s="276"/>
      <c r="AN25" s="2" t="s">
        <v>73</v>
      </c>
      <c r="AO25" s="276"/>
      <c r="AP25" s="276"/>
      <c r="AQ25" s="2" t="s">
        <v>56</v>
      </c>
      <c r="AR25" s="276"/>
      <c r="AS25" s="276"/>
      <c r="AT25" s="2" t="s">
        <v>73</v>
      </c>
      <c r="AU25" s="276"/>
      <c r="AV25" s="276"/>
      <c r="AW25" s="2" t="s">
        <v>73</v>
      </c>
      <c r="AX25" s="276"/>
      <c r="AY25" s="276"/>
      <c r="AZ25" s="2" t="s">
        <v>73</v>
      </c>
      <c r="BA25" s="276"/>
      <c r="BB25" s="276"/>
      <c r="BC25" s="2" t="str">
        <f t="shared" si="1"/>
        <v>Complete</v>
      </c>
      <c r="BD25" s="2" t="s">
        <v>278</v>
      </c>
      <c r="BE25" s="119" t="str">
        <f t="shared" si="2"/>
        <v>READY</v>
      </c>
    </row>
    <row r="26" spans="1:58">
      <c r="A26" s="2" t="str">
        <f>IFERROR(VLOOKUP(E26,'Customer '!$A$4:$D$23,3,FALSE),"")</f>
        <v>RH</v>
      </c>
      <c r="B26" s="2" t="s">
        <v>267</v>
      </c>
      <c r="C26" s="2" t="s">
        <v>290</v>
      </c>
      <c r="D26" s="2" t="s">
        <v>313</v>
      </c>
      <c r="E26" s="2" t="s">
        <v>61</v>
      </c>
      <c r="F26" s="2" t="str">
        <f>IFERROR(VLOOKUP(E26,'Customer '!$A$4:$D$28,2,FALSE),"")</f>
        <v>RH</v>
      </c>
      <c r="G26" s="2" t="s">
        <v>330</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271</v>
      </c>
      <c r="K26" s="2" t="s">
        <v>291</v>
      </c>
      <c r="L26" s="119" t="s">
        <v>273</v>
      </c>
      <c r="M26" s="276">
        <v>45597</v>
      </c>
      <c r="N26" s="276">
        <v>46120</v>
      </c>
      <c r="O26" s="277"/>
      <c r="P26" s="2" t="s">
        <v>51</v>
      </c>
      <c r="Q26" s="2" t="s">
        <v>295</v>
      </c>
      <c r="V26" s="274">
        <v>1</v>
      </c>
      <c r="X26" s="278">
        <v>1375.5</v>
      </c>
      <c r="Y26" s="278">
        <v>1375.5</v>
      </c>
      <c r="Z26" s="2" t="s">
        <v>280</v>
      </c>
      <c r="AA26" s="2" t="str">
        <f t="shared" si="0"/>
        <v>2026</v>
      </c>
      <c r="AB26" s="279">
        <v>46192</v>
      </c>
      <c r="AC26" s="279">
        <v>46192</v>
      </c>
      <c r="AD26" s="279">
        <v>46116</v>
      </c>
      <c r="AE26" s="279">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6"/>
      <c r="AJ26" s="276"/>
      <c r="AK26" s="2" t="s">
        <v>56</v>
      </c>
      <c r="AL26" s="276"/>
      <c r="AM26" s="276"/>
      <c r="AN26" s="2" t="s">
        <v>73</v>
      </c>
      <c r="AO26" s="276"/>
      <c r="AP26" s="276"/>
      <c r="AQ26" s="2" t="s">
        <v>56</v>
      </c>
      <c r="AR26" s="276"/>
      <c r="AS26" s="276"/>
      <c r="AT26" s="2" t="s">
        <v>73</v>
      </c>
      <c r="AU26" s="276"/>
      <c r="AV26" s="276"/>
      <c r="AW26" s="2" t="s">
        <v>73</v>
      </c>
      <c r="AX26" s="276"/>
      <c r="AY26" s="276"/>
      <c r="AZ26" s="2" t="s">
        <v>57</v>
      </c>
      <c r="BA26" s="276"/>
      <c r="BB26" s="276"/>
      <c r="BC26" s="2" t="str">
        <f t="shared" si="1"/>
        <v>Complete</v>
      </c>
      <c r="BD26" s="2" t="s">
        <v>278</v>
      </c>
      <c r="BE26" s="119" t="str">
        <f t="shared" si="2"/>
        <v>READY</v>
      </c>
    </row>
    <row r="27" spans="1:58" ht="28.8">
      <c r="A27" s="2" t="str">
        <f>IFERROR(VLOOKUP(E27,'Customer '!$A$4:$D$23,3,FALSE),"")</f>
        <v>RH</v>
      </c>
      <c r="B27" s="2" t="s">
        <v>267</v>
      </c>
      <c r="C27" s="2" t="s">
        <v>149</v>
      </c>
      <c r="D27" s="2" t="s">
        <v>269</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272</v>
      </c>
      <c r="L27" s="119" t="s">
        <v>331</v>
      </c>
      <c r="M27" s="276">
        <v>46136</v>
      </c>
      <c r="N27" s="276"/>
      <c r="O27" s="277"/>
      <c r="P27" s="2" t="s">
        <v>51</v>
      </c>
      <c r="Q27" s="2" t="s">
        <v>329</v>
      </c>
      <c r="R27" s="2">
        <v>2</v>
      </c>
      <c r="S27" s="2">
        <v>4</v>
      </c>
      <c r="V27" s="274">
        <v>24</v>
      </c>
      <c r="X27" s="278">
        <v>1074318.51</v>
      </c>
      <c r="Y27" s="278">
        <v>537160</v>
      </c>
      <c r="Z27" s="2" t="s">
        <v>332</v>
      </c>
      <c r="AA27" s="2" t="str">
        <f t="shared" si="0"/>
        <v>2027</v>
      </c>
      <c r="AB27" s="276" t="s">
        <v>292</v>
      </c>
      <c r="AC27" s="276"/>
      <c r="AD27" s="275">
        <v>46515</v>
      </c>
      <c r="AE27" s="276">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322</v>
      </c>
      <c r="AI27" s="276"/>
      <c r="AJ27" s="276"/>
      <c r="AK27" s="2" t="s">
        <v>56</v>
      </c>
      <c r="AL27" s="276"/>
      <c r="AM27" s="276"/>
      <c r="AN27" s="2" t="s">
        <v>73</v>
      </c>
      <c r="AO27" s="276"/>
      <c r="AP27" s="276"/>
      <c r="AQ27" s="2" t="s">
        <v>56</v>
      </c>
      <c r="AR27" s="276"/>
      <c r="AS27" s="276"/>
      <c r="AT27" s="2" t="s">
        <v>73</v>
      </c>
      <c r="AU27" s="276"/>
      <c r="AV27" s="276"/>
      <c r="AW27" s="2" t="s">
        <v>304</v>
      </c>
      <c r="AX27" s="276"/>
      <c r="AY27" s="276"/>
      <c r="AZ27" s="2" t="s">
        <v>57</v>
      </c>
      <c r="BA27" s="276"/>
      <c r="BB27" s="276"/>
      <c r="BC27" s="2" t="str">
        <f t="shared" si="1"/>
        <v>Active</v>
      </c>
      <c r="BD27" s="2" t="s">
        <v>278</v>
      </c>
      <c r="BE27" s="119" t="str">
        <f t="shared" si="2"/>
        <v>NPI: In progress: Electrical; Pending approval: Drawing; Fabric is com for SW26</v>
      </c>
    </row>
    <row r="28" spans="1:58" ht="28.8">
      <c r="A28" s="2" t="str">
        <f>IFERROR(VLOOKUP(E28,'Customer '!$A$4:$D$23,3,FALSE),"")</f>
        <v>RH</v>
      </c>
      <c r="B28" s="2" t="s">
        <v>267</v>
      </c>
      <c r="C28" s="2" t="s">
        <v>149</v>
      </c>
      <c r="D28" s="2" t="s">
        <v>269</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272</v>
      </c>
      <c r="L28" s="119" t="s">
        <v>331</v>
      </c>
      <c r="M28" s="276">
        <v>46136</v>
      </c>
      <c r="N28" s="276"/>
      <c r="O28" s="277"/>
      <c r="P28" s="2" t="s">
        <v>51</v>
      </c>
      <c r="Q28" s="2" t="s">
        <v>329</v>
      </c>
      <c r="R28" s="2">
        <v>2</v>
      </c>
      <c r="S28" s="2">
        <v>4</v>
      </c>
      <c r="V28" s="274">
        <v>24</v>
      </c>
      <c r="X28" s="278">
        <v>1074318.51</v>
      </c>
      <c r="Y28" s="278">
        <f>DetailTracker[[#This Row],[PROJECT VALUE $]]-Y27</f>
        <v>537158.51</v>
      </c>
      <c r="Z28" s="2" t="s">
        <v>286</v>
      </c>
      <c r="AA28" s="2" t="str">
        <f t="shared" si="0"/>
        <v>2027</v>
      </c>
      <c r="AB28" s="276" t="s">
        <v>292</v>
      </c>
      <c r="AC28" s="276"/>
      <c r="AD28" s="275">
        <v>46515</v>
      </c>
      <c r="AE28" s="276">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322</v>
      </c>
      <c r="AI28" s="276"/>
      <c r="AJ28" s="276"/>
      <c r="AK28" s="2" t="s">
        <v>56</v>
      </c>
      <c r="AL28" s="276"/>
      <c r="AM28" s="276"/>
      <c r="AN28" s="2" t="s">
        <v>73</v>
      </c>
      <c r="AO28" s="276"/>
      <c r="AP28" s="276"/>
      <c r="AQ28" s="2" t="s">
        <v>56</v>
      </c>
      <c r="AR28" s="276"/>
      <c r="AS28" s="276"/>
      <c r="AT28" s="2" t="s">
        <v>73</v>
      </c>
      <c r="AU28" s="276"/>
      <c r="AV28" s="276"/>
      <c r="AW28" s="2" t="s">
        <v>304</v>
      </c>
      <c r="AX28" s="276"/>
      <c r="AY28" s="276"/>
      <c r="AZ28" s="2" t="s">
        <v>57</v>
      </c>
      <c r="BA28" s="276"/>
      <c r="BB28" s="276"/>
      <c r="BC28" s="2" t="str">
        <f t="shared" si="1"/>
        <v>Active</v>
      </c>
      <c r="BD28" s="2" t="s">
        <v>278</v>
      </c>
      <c r="BE28" s="119" t="str">
        <f t="shared" si="2"/>
        <v>NPI: In progress: Electrical; Pending approval: Drawing; Fabric is com for SW26</v>
      </c>
    </row>
    <row r="29" spans="1:58">
      <c r="A29" s="2" t="str">
        <f>IFERROR(VLOOKUP(E29,'Customer '!$A$4:$D$23,3,FALSE),"")</f>
        <v>RH</v>
      </c>
      <c r="B29" s="2" t="s">
        <v>327</v>
      </c>
      <c r="C29" s="2" t="s">
        <v>282</v>
      </c>
      <c r="D29" s="2" t="s">
        <v>269</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271</v>
      </c>
      <c r="K29" s="2" t="s">
        <v>272</v>
      </c>
      <c r="L29" s="119" t="s">
        <v>273</v>
      </c>
      <c r="M29" s="276">
        <v>46136</v>
      </c>
      <c r="N29" s="276">
        <v>46147</v>
      </c>
      <c r="O29" s="277"/>
      <c r="P29" s="2" t="s">
        <v>51</v>
      </c>
      <c r="Q29" s="2" t="s">
        <v>152</v>
      </c>
      <c r="V29" s="274">
        <v>6</v>
      </c>
      <c r="X29" s="278">
        <v>1046.75</v>
      </c>
      <c r="Y29" s="278">
        <v>1046.75</v>
      </c>
      <c r="Z29" s="2" t="s">
        <v>279</v>
      </c>
      <c r="AA29" s="2" t="str">
        <f t="shared" si="0"/>
        <v>2026</v>
      </c>
      <c r="AB29" s="276">
        <v>46183</v>
      </c>
      <c r="AC29" s="276">
        <v>46183</v>
      </c>
      <c r="AD29" s="275">
        <v>46116</v>
      </c>
      <c r="AE29" s="275">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6"/>
      <c r="AJ29" s="276">
        <v>46164</v>
      </c>
      <c r="AK29" s="2" t="s">
        <v>56</v>
      </c>
      <c r="AL29" s="276"/>
      <c r="AM29" s="276">
        <v>46199</v>
      </c>
      <c r="AN29" s="2" t="s">
        <v>73</v>
      </c>
      <c r="AO29" s="276"/>
      <c r="AP29" s="276"/>
      <c r="AQ29" s="2" t="s">
        <v>56</v>
      </c>
      <c r="AR29" s="276"/>
      <c r="AS29" s="276">
        <v>46191</v>
      </c>
      <c r="AT29" s="2" t="s">
        <v>73</v>
      </c>
      <c r="AU29" s="276"/>
      <c r="AV29" s="276"/>
      <c r="AW29" s="2" t="s">
        <v>73</v>
      </c>
      <c r="AX29" s="276"/>
      <c r="AY29" s="276"/>
      <c r="AZ29" s="2" t="s">
        <v>57</v>
      </c>
      <c r="BA29" s="276"/>
      <c r="BB29" s="276">
        <v>46175</v>
      </c>
      <c r="BC29" s="2" t="str">
        <f t="shared" si="1"/>
        <v>Complete</v>
      </c>
      <c r="BD29" s="2" t="s">
        <v>278</v>
      </c>
      <c r="BE29" s="119" t="str">
        <f t="shared" si="2"/>
        <v>READY</v>
      </c>
    </row>
    <row r="30" spans="1:58">
      <c r="A30" s="2" t="str">
        <f>IFERROR(VLOOKUP(E30,'Customer '!$A$4:$D$23,3,FALSE),"")</f>
        <v>RH</v>
      </c>
      <c r="B30" s="2" t="s">
        <v>267</v>
      </c>
      <c r="C30" s="2" t="s">
        <v>282</v>
      </c>
      <c r="D30" s="2" t="s">
        <v>269</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310</v>
      </c>
      <c r="K30" s="2" t="s">
        <v>272</v>
      </c>
      <c r="L30" s="119" t="s">
        <v>311</v>
      </c>
      <c r="M30" s="276">
        <v>45861</v>
      </c>
      <c r="N30" s="276">
        <v>46170</v>
      </c>
      <c r="O30" s="277"/>
      <c r="P30" s="2" t="s">
        <v>51</v>
      </c>
      <c r="Q30" s="2" t="s">
        <v>152</v>
      </c>
      <c r="R30" s="2">
        <v>0</v>
      </c>
      <c r="S30" s="2">
        <v>0</v>
      </c>
      <c r="V30" s="274">
        <v>38</v>
      </c>
      <c r="W30" s="274">
        <v>756</v>
      </c>
      <c r="X30" s="278">
        <v>311473.76000000007</v>
      </c>
      <c r="Y30" s="278">
        <v>239023</v>
      </c>
      <c r="Z30" s="2" t="s">
        <v>312</v>
      </c>
      <c r="AA30" s="2" t="str">
        <f t="shared" si="0"/>
        <v>2026</v>
      </c>
      <c r="AB30" s="276">
        <v>46321</v>
      </c>
      <c r="AC30" s="276">
        <v>46325</v>
      </c>
      <c r="AD30" s="276">
        <v>46332</v>
      </c>
      <c r="AE30" s="276">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6"/>
      <c r="AJ30" s="276">
        <v>46176</v>
      </c>
      <c r="AK30" s="2" t="s">
        <v>56</v>
      </c>
      <c r="AL30" s="276"/>
      <c r="AM30" s="276">
        <v>46205</v>
      </c>
      <c r="AN30" s="2" t="s">
        <v>56</v>
      </c>
      <c r="AO30" s="276"/>
      <c r="AP30" s="276">
        <v>46168</v>
      </c>
      <c r="AQ30" s="2" t="s">
        <v>56</v>
      </c>
      <c r="AR30" s="276"/>
      <c r="AS30" s="276">
        <v>46191</v>
      </c>
      <c r="AT30" s="2" t="s">
        <v>73</v>
      </c>
      <c r="AU30" s="276"/>
      <c r="AV30" s="276"/>
      <c r="AW30" s="2" t="s">
        <v>73</v>
      </c>
      <c r="AX30" s="276"/>
      <c r="AY30" s="276"/>
      <c r="AZ30" s="2" t="s">
        <v>277</v>
      </c>
      <c r="BA30" s="276"/>
      <c r="BB30" s="276" t="s">
        <v>92</v>
      </c>
      <c r="BC30" s="2" t="str">
        <f t="shared" si="1"/>
        <v>Active</v>
      </c>
      <c r="BD30" s="2" t="s">
        <v>278</v>
      </c>
      <c r="BE30" s="119" t="str">
        <f t="shared" si="2"/>
        <v>NPI: Fabric is com received for SW50</v>
      </c>
    </row>
    <row r="31" spans="1:58">
      <c r="A31" s="2" t="str">
        <f>IFERROR(VLOOKUP(E31,'Customer '!$A$4:$D$23,3,FALSE),"")</f>
        <v>RH</v>
      </c>
      <c r="B31" s="2" t="s">
        <v>267</v>
      </c>
      <c r="C31" s="2" t="s">
        <v>282</v>
      </c>
      <c r="D31" s="2" t="s">
        <v>269</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310</v>
      </c>
      <c r="K31" s="2" t="s">
        <v>272</v>
      </c>
      <c r="L31" s="119" t="s">
        <v>311</v>
      </c>
      <c r="M31" s="276">
        <v>45861</v>
      </c>
      <c r="N31" s="276">
        <v>46170</v>
      </c>
      <c r="O31" s="277"/>
      <c r="P31" s="2" t="s">
        <v>51</v>
      </c>
      <c r="Q31" s="2" t="s">
        <v>152</v>
      </c>
      <c r="R31" s="2">
        <v>0</v>
      </c>
      <c r="S31" s="2">
        <v>0</v>
      </c>
      <c r="V31" s="274">
        <v>38</v>
      </c>
      <c r="W31" s="274">
        <v>756</v>
      </c>
      <c r="X31" s="278">
        <v>311473.76000000007</v>
      </c>
      <c r="Y31" s="278">
        <v>72450.760000000068</v>
      </c>
      <c r="Z31" s="2" t="s">
        <v>333</v>
      </c>
      <c r="AA31" s="2" t="str">
        <f t="shared" si="0"/>
        <v>2026</v>
      </c>
      <c r="AB31" s="276">
        <v>46328</v>
      </c>
      <c r="AC31" s="276">
        <v>46339</v>
      </c>
      <c r="AD31" s="276">
        <v>46332</v>
      </c>
      <c r="AE31" s="276">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6"/>
      <c r="AJ31" s="276"/>
      <c r="AK31" s="2" t="s">
        <v>56</v>
      </c>
      <c r="AL31" s="276"/>
      <c r="AM31" s="276"/>
      <c r="AN31" s="2" t="s">
        <v>56</v>
      </c>
      <c r="AO31" s="276"/>
      <c r="AP31" s="276">
        <v>46168</v>
      </c>
      <c r="AQ31" s="2" t="s">
        <v>56</v>
      </c>
      <c r="AR31" s="276"/>
      <c r="AS31" s="276">
        <v>46191</v>
      </c>
      <c r="AT31" s="2" t="s">
        <v>73</v>
      </c>
      <c r="AU31" s="276"/>
      <c r="AV31" s="276"/>
      <c r="AW31" s="2" t="s">
        <v>73</v>
      </c>
      <c r="AX31" s="276"/>
      <c r="AY31" s="276"/>
      <c r="AZ31" s="2" t="s">
        <v>277</v>
      </c>
      <c r="BA31" s="276"/>
      <c r="BB31" s="276" t="s">
        <v>92</v>
      </c>
      <c r="BC31" s="2" t="str">
        <f t="shared" si="1"/>
        <v>Active</v>
      </c>
      <c r="BD31" s="2" t="s">
        <v>278</v>
      </c>
      <c r="BE31" s="119" t="str">
        <f t="shared" si="2"/>
        <v>NPI: Fabric is com received for SW50</v>
      </c>
    </row>
    <row r="32" spans="1:58">
      <c r="A32" s="2" t="str">
        <f>IFERROR(VLOOKUP(E32,'Customer '!$A$4:$D$23,3,FALSE),"")</f>
        <v>RH</v>
      </c>
      <c r="B32" s="2" t="s">
        <v>267</v>
      </c>
      <c r="C32" s="2" t="s">
        <v>308</v>
      </c>
      <c r="D32" s="2" t="s">
        <v>313</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271</v>
      </c>
      <c r="K32" s="2" t="s">
        <v>272</v>
      </c>
      <c r="L32" s="119" t="s">
        <v>273</v>
      </c>
      <c r="M32" s="276">
        <v>46147</v>
      </c>
      <c r="N32" s="276">
        <v>46125</v>
      </c>
      <c r="O32" s="277"/>
      <c r="P32" s="2" t="s">
        <v>51</v>
      </c>
      <c r="Q32" s="2" t="s">
        <v>334</v>
      </c>
      <c r="V32" s="274">
        <v>12</v>
      </c>
      <c r="X32" s="278">
        <v>206516</v>
      </c>
      <c r="Y32" s="278">
        <v>136716</v>
      </c>
      <c r="Z32" s="2" t="s">
        <v>281</v>
      </c>
      <c r="AA32" s="2" t="str">
        <f t="shared" ref="AA32" si="10">IF(Z32="","",IF(OR(Z32="TBC",Z32="Removed"),Z32,LEFT(Z32,4)))</f>
        <v>2026</v>
      </c>
      <c r="AB32" s="276">
        <v>46242</v>
      </c>
      <c r="AC32" s="276">
        <v>46249</v>
      </c>
      <c r="AD32" s="275">
        <v>46242</v>
      </c>
      <c r="AE32" s="275">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6"/>
      <c r="AJ32" s="276">
        <v>46163</v>
      </c>
      <c r="AK32" s="2" t="s">
        <v>56</v>
      </c>
      <c r="AL32" s="276"/>
      <c r="AM32" s="276">
        <v>45813</v>
      </c>
      <c r="AN32" s="2" t="s">
        <v>56</v>
      </c>
      <c r="AO32" s="276"/>
      <c r="AP32" s="276"/>
      <c r="AQ32" s="2" t="s">
        <v>56</v>
      </c>
      <c r="AR32" s="276"/>
      <c r="AS32" s="276"/>
      <c r="AT32" s="2" t="s">
        <v>73</v>
      </c>
      <c r="AU32" s="276"/>
      <c r="AV32" s="276"/>
      <c r="AW32" s="2" t="s">
        <v>56</v>
      </c>
      <c r="AX32" s="276"/>
      <c r="AY32" s="276"/>
      <c r="AZ32" s="2" t="s">
        <v>277</v>
      </c>
      <c r="BA32" s="276"/>
      <c r="BB32" s="276"/>
      <c r="BC32" s="2" t="str">
        <f t="shared" si="1"/>
        <v>Complete</v>
      </c>
      <c r="BD32" s="2" t="s">
        <v>278</v>
      </c>
      <c r="BE32" s="119" t="str">
        <f t="shared" si="2"/>
        <v>READY</v>
      </c>
    </row>
    <row r="33" spans="1:57">
      <c r="A33" s="2" t="str">
        <f>IFERROR(VLOOKUP(E33,'Customer '!$A$4:$D$23,3,FALSE),"")</f>
        <v>RH</v>
      </c>
      <c r="B33" s="2" t="s">
        <v>267</v>
      </c>
      <c r="C33" s="2" t="s">
        <v>308</v>
      </c>
      <c r="D33" s="2" t="s">
        <v>313</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271</v>
      </c>
      <c r="K33" s="2" t="s">
        <v>272</v>
      </c>
      <c r="L33" s="119" t="s">
        <v>273</v>
      </c>
      <c r="M33" s="276">
        <v>46147</v>
      </c>
      <c r="N33" s="276">
        <v>46125</v>
      </c>
      <c r="O33" s="277"/>
      <c r="P33" s="2" t="s">
        <v>51</v>
      </c>
      <c r="Q33" s="2" t="s">
        <v>334</v>
      </c>
      <c r="R33" s="2">
        <v>0</v>
      </c>
      <c r="S33" s="2">
        <v>0</v>
      </c>
      <c r="V33" s="274">
        <v>12</v>
      </c>
      <c r="X33" s="278">
        <v>206516</v>
      </c>
      <c r="Y33" s="278">
        <v>66720.490000000005</v>
      </c>
      <c r="Z33" s="2" t="s">
        <v>281</v>
      </c>
      <c r="AA33" s="2" t="str">
        <f t="shared" si="0"/>
        <v>2026</v>
      </c>
      <c r="AB33" s="276">
        <v>46242</v>
      </c>
      <c r="AC33" s="276">
        <v>46249</v>
      </c>
      <c r="AD33" s="275">
        <v>46242</v>
      </c>
      <c r="AE33" s="275">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6"/>
      <c r="AJ33" s="276">
        <v>46163</v>
      </c>
      <c r="AK33" s="2" t="s">
        <v>56</v>
      </c>
      <c r="AL33" s="276"/>
      <c r="AM33" s="276">
        <v>45813</v>
      </c>
      <c r="AN33" s="2" t="s">
        <v>56</v>
      </c>
      <c r="AO33" s="276"/>
      <c r="AP33" s="276"/>
      <c r="AQ33" s="2" t="s">
        <v>56</v>
      </c>
      <c r="AR33" s="276"/>
      <c r="AS33" s="276"/>
      <c r="AT33" s="2" t="s">
        <v>73</v>
      </c>
      <c r="AU33" s="276"/>
      <c r="AV33" s="276"/>
      <c r="AW33" s="2" t="s">
        <v>56</v>
      </c>
      <c r="AX33" s="276"/>
      <c r="AY33" s="276"/>
      <c r="AZ33" s="2" t="s">
        <v>277</v>
      </c>
      <c r="BA33" s="276"/>
      <c r="BB33" s="276"/>
      <c r="BC33" s="2" t="str">
        <f t="shared" si="1"/>
        <v>Complete</v>
      </c>
      <c r="BD33" s="2" t="s">
        <v>278</v>
      </c>
      <c r="BE33" s="119" t="str">
        <f t="shared" si="2"/>
        <v>READY</v>
      </c>
    </row>
    <row r="34" spans="1:57">
      <c r="A34" s="2" t="str">
        <f>IFERROR(VLOOKUP(E34,'Customer '!$A$4:$D$23,3,FALSE),"")</f>
        <v>RH</v>
      </c>
      <c r="B34" s="2" t="s">
        <v>267</v>
      </c>
      <c r="C34" s="2" t="s">
        <v>308</v>
      </c>
      <c r="D34" s="2" t="s">
        <v>313</v>
      </c>
      <c r="E34" s="2" t="s">
        <v>61</v>
      </c>
      <c r="F34" s="2" t="str">
        <f>IFERROR(VLOOKUP(E34,'Customer '!$A$4:$D$28,2,FALSE),"")</f>
        <v>RH</v>
      </c>
      <c r="G34" s="2" t="s">
        <v>1655</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2026-RH-SNAKE RIVER LODGE BLUEFLAG-ADDITIONAL </v>
      </c>
      <c r="I34" s="2">
        <f ca="1">IF(OR($H34="",$B34=""),0,--(COUNTIFS($H$3:$H34,$H34,$B$3:$B34,$B34)=1))</f>
        <v>1</v>
      </c>
      <c r="J34" s="2" t="s">
        <v>310</v>
      </c>
      <c r="K34" s="2" t="s">
        <v>272</v>
      </c>
      <c r="L34" s="119" t="s">
        <v>311</v>
      </c>
      <c r="M34" s="276">
        <v>46147</v>
      </c>
      <c r="N34" s="276">
        <v>46125</v>
      </c>
      <c r="O34" s="277"/>
      <c r="P34" s="2" t="s">
        <v>51</v>
      </c>
      <c r="Q34" s="2" t="s">
        <v>334</v>
      </c>
      <c r="R34" s="2">
        <v>0</v>
      </c>
      <c r="S34" s="2">
        <v>0</v>
      </c>
      <c r="V34" s="274">
        <v>1</v>
      </c>
      <c r="W34" s="274">
        <v>1</v>
      </c>
      <c r="X34" s="278">
        <v>206516</v>
      </c>
      <c r="Y34" s="278">
        <v>3080</v>
      </c>
      <c r="Z34" s="2" t="s">
        <v>319</v>
      </c>
      <c r="AA34" s="2" t="str">
        <f t="shared" ref="AA34" si="11">IF(Z34="","",IF(OR(Z34="TBC",Z34="Removed"),Z34,LEFT(Z34,4)))</f>
        <v>2027</v>
      </c>
      <c r="AB34" s="276">
        <v>46242</v>
      </c>
      <c r="AC34" s="276">
        <v>46249</v>
      </c>
      <c r="AD34" s="275">
        <v>46416</v>
      </c>
      <c r="AE34" s="275">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2027/W05</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6"/>
      <c r="AJ34" s="276">
        <v>46163</v>
      </c>
      <c r="AK34" s="2" t="s">
        <v>56</v>
      </c>
      <c r="AL34" s="276"/>
      <c r="AM34" s="276">
        <v>45813</v>
      </c>
      <c r="AN34" s="2" t="s">
        <v>56</v>
      </c>
      <c r="AO34" s="276"/>
      <c r="AP34" s="276"/>
      <c r="AQ34" s="2" t="s">
        <v>56</v>
      </c>
      <c r="AR34" s="276"/>
      <c r="AS34" s="276"/>
      <c r="AT34" s="2" t="s">
        <v>73</v>
      </c>
      <c r="AU34" s="276"/>
      <c r="AV34" s="276"/>
      <c r="AW34" s="2" t="s">
        <v>56</v>
      </c>
      <c r="AX34" s="276"/>
      <c r="AY34" s="276"/>
      <c r="AZ34" s="2" t="s">
        <v>277</v>
      </c>
      <c r="BA34" s="276"/>
      <c r="BB34" s="276"/>
      <c r="BC34" s="2" t="str">
        <f t="shared" ref="BC34" si="12">IF(J34="","",IF(OR(J34="OB",J34="NOR",J34="FC",J34="PIPELINE"),"Active","Complete"))</f>
        <v>Active</v>
      </c>
      <c r="BD34" s="2" t="s">
        <v>278</v>
      </c>
      <c r="BE34" s="119" t="str">
        <f t="shared" ref="BE34" si="13">IF(UPPER(TRIM(J34))="SHIPPED","READY",_xlfn.LET(_xlpm.stage,IF(B34="","",B34&amp;": "),_xlpm.ip,_xlfn.TEXTJOIN(", ",TRUE,IF(LOWER(AH34)="in progress","Drawing",""),IF(LOWER(AK34)="in progress","Veneer/Wood",""),IF(LOWER(AN34)="in progress","Marble",""),IF(LOWER(AQ34)="in progress","Metal",""),IF(LOWER(AT34)="in progress","Mirror",""),IF(LOWER(AW34)="in progress","Electrical",""),IF(LOWER(AZ34)="in progress","Fabric","")),_xlpm.pa,_xlfn.TEXTJOIN(", ",TRUE,IF(LOWER(AH34)="pending approval","Drawing",""),IF(LOWER(AK34)="pending approval","Veneer/Wood",""),IF(LOWER(AN34)="pending approval","Marble",""),IF(LOWER(AQ34)="pending approval","Metal",""),IF(LOWER(AT34)="pending approval","Mirror",""),IF(LOWER(AW34)="pending approval","Electrical",""),IF(LOWER(AZ34)="pending approval","Fabric","")),_xlpm.ns,_xlfn.TEXTJOIN(", ",TRUE,IF(LOWER(AH34)="not started","Drawing",""),IF(LOWER(AK34)="not started","Veneer/Wood",""),IF(LOWER(AN34)="not started","Marble",""),IF(LOWER(AQ34)="not started","Metal",""),IF(LOWER(AT34)="not started","Mirror",""),IF(LOWER(AW34)="not started","Electrical",""),IF(LOWER(AZ34)="not started","Fabric","")),_xlpm.fab,IF(OR(LOWER(AZ34)="com",LOWER(AZ34)="com pending",LOWER(AZ34)="com received"),"Fabric is "&amp;LOWER(AZ34),""),_xlpm.parts,_xlfn.TEXTJOIN("; ",TRUE,IF(_xlpm.ip&lt;&gt;"","In progress: "&amp;_xlpm.ip,""),IF(_xlpm.pa&lt;&gt;"","Pending approval: "&amp;_xlpm.pa,""),IF(_xlpm.ns&lt;&gt;"","Not started: "&amp;_xlpm.ns,""),_xlpm.fab),_xlpm.deadline,MIN(IF(AND(AH34&lt;&gt;"",LOWER(AH34)&lt;&gt;"approved",LOWER(AH34)&lt;&gt;"n/a",ISNUMBER(AI34)),AI34,1E+99),IF(AND(AK34&lt;&gt;"",LOWER(AK34)&lt;&gt;"approved",LOWER(AK34)&lt;&gt;"n/a",ISNUMBER(AL34)),AL34,1E+99),IF(AND(AN34&lt;&gt;"",LOWER(AN34)&lt;&gt;"approved",LOWER(AN34)&lt;&gt;"n/a",ISNUMBER(AO34)),AO34,1E+99),IF(AND(AQ34&lt;&gt;"",LOWER(AQ34)&lt;&gt;"approved",LOWER(AQ34)&lt;&gt;"n/a",ISNUMBER(AR34)),AR34,1E+99),IF(AND(AT34&lt;&gt;"",LOWER(AT34)&lt;&gt;"approved",LOWER(AT34)&lt;&gt;"n/a",ISNUMBER(AU34)),AU34,1E+99),IF(AND(AW34&lt;&gt;"",LOWER(AW34)&lt;&gt;"approved",LOWER(AW34)&lt;&gt;"n/a",ISNUMBER(AX34)),AX34,1E+99),IF(AND(AZ34&lt;&gt;"",LOWER(AZ34)&lt;&gt;"approved",LOWER(AZ34)&lt;&gt;"n/a",ISNUMBER(BA34)),BA34,1E+99)),_xlpm.sw,IF(AG34="","",IFERROR("SW"&amp;MID(AG34,FIND("/W",AG34)+2,99),"SW "&amp;AG34)),_xlpm.stage&amp;IF(_xlpm.parts="","All development items approved/closed",_xlpm.parts)&amp;IF(AND(_xlpm.parts&lt;&gt;"",_xlpm.deadline&lt;1E+99),"; need approval by "&amp;TEXT(_xlpm.deadline,"d-mmm-yy"),"")&amp;IF(_xlpm.sw&lt;&gt;""," for "&amp;_xlpm.sw,"")))</f>
        <v>NPI: Fabric is com received for SW05</v>
      </c>
    </row>
    <row r="35" spans="1:57" ht="13.95" customHeight="1">
      <c r="A35" s="2" t="str">
        <f>IFERROR(VLOOKUP(E35,'Customer '!$A$4:$D$23,3,FALSE),"")</f>
        <v>RH</v>
      </c>
      <c r="B35" s="2" t="s">
        <v>267</v>
      </c>
      <c r="C35" s="2" t="s">
        <v>282</v>
      </c>
      <c r="D35" s="2" t="s">
        <v>269</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1</v>
      </c>
      <c r="J35" s="2" t="s">
        <v>310</v>
      </c>
      <c r="K35" s="2" t="s">
        <v>272</v>
      </c>
      <c r="L35" s="119" t="s">
        <v>311</v>
      </c>
      <c r="M35" s="276">
        <v>45955</v>
      </c>
      <c r="N35" s="276">
        <v>46254</v>
      </c>
      <c r="O35" s="277"/>
      <c r="P35" s="2" t="s">
        <v>51</v>
      </c>
      <c r="Q35" s="2" t="s">
        <v>335</v>
      </c>
      <c r="R35" s="2">
        <v>0</v>
      </c>
      <c r="S35" s="2">
        <v>0</v>
      </c>
      <c r="V35" s="274">
        <v>36</v>
      </c>
      <c r="W35" s="274">
        <v>925</v>
      </c>
      <c r="X35" s="278">
        <v>558793</v>
      </c>
      <c r="Y35" s="278">
        <v>558793</v>
      </c>
      <c r="Z35" s="2" t="s">
        <v>319</v>
      </c>
      <c r="AA35" s="2" t="str">
        <f t="shared" ref="AA35" si="14">IF(Z35="","",IF(OR(Z35="TBC",Z35="Removed"),Z35,LEFT(Z35,4)))</f>
        <v>2027</v>
      </c>
      <c r="AB35" s="276" t="s">
        <v>292</v>
      </c>
      <c r="AC35" s="276"/>
      <c r="AD35" s="275">
        <v>46395</v>
      </c>
      <c r="AE35" s="281">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6"/>
      <c r="AJ35" s="276"/>
      <c r="AK35" s="2" t="s">
        <v>56</v>
      </c>
      <c r="AL35" s="276"/>
      <c r="AM35" s="276"/>
      <c r="AN35" s="2" t="s">
        <v>56</v>
      </c>
      <c r="AO35" s="276"/>
      <c r="AP35" s="276"/>
      <c r="AQ35" s="2" t="s">
        <v>56</v>
      </c>
      <c r="AR35" s="276"/>
      <c r="AS35" s="276"/>
      <c r="AT35" s="2" t="s">
        <v>56</v>
      </c>
      <c r="AU35" s="276"/>
      <c r="AV35" s="276"/>
      <c r="AW35" s="2" t="s">
        <v>56</v>
      </c>
      <c r="AX35" s="276"/>
      <c r="AY35" s="276"/>
      <c r="BA35" s="276"/>
      <c r="BB35" s="276"/>
      <c r="BC35" s="2" t="str">
        <f t="shared" si="1"/>
        <v>Active</v>
      </c>
      <c r="BD35" s="2" t="s">
        <v>278</v>
      </c>
      <c r="BE35" s="119" t="str">
        <f t="shared" si="2"/>
        <v>NPI: All development items approved/closed for SW05</v>
      </c>
    </row>
    <row r="36" spans="1:57" ht="28.8">
      <c r="A36" s="2" t="str">
        <f>IFERROR(VLOOKUP(E36,'Customer '!$A$4:$D$23,3,FALSE),"")</f>
        <v>RH</v>
      </c>
      <c r="B36" s="2" t="s">
        <v>267</v>
      </c>
      <c r="C36" s="2" t="s">
        <v>308</v>
      </c>
      <c r="D36" s="2" t="s">
        <v>313</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272</v>
      </c>
      <c r="L36" s="119" t="s">
        <v>301</v>
      </c>
      <c r="M36" s="276">
        <v>46084</v>
      </c>
      <c r="N36" s="276"/>
      <c r="O36" s="277"/>
      <c r="P36" s="2" t="s">
        <v>51</v>
      </c>
      <c r="Q36" s="2" t="s">
        <v>336</v>
      </c>
      <c r="R36" s="2">
        <v>0</v>
      </c>
      <c r="S36" s="2">
        <v>0</v>
      </c>
      <c r="V36" s="274">
        <v>14</v>
      </c>
      <c r="X36" s="278">
        <v>228581</v>
      </c>
      <c r="Y36" s="278">
        <v>228581</v>
      </c>
      <c r="Z36" s="2" t="s">
        <v>337</v>
      </c>
      <c r="AA36" s="2" t="str">
        <f t="shared" si="0"/>
        <v>2027</v>
      </c>
      <c r="AB36" s="276" t="s">
        <v>292</v>
      </c>
      <c r="AC36" s="276"/>
      <c r="AD36" s="275">
        <v>46487</v>
      </c>
      <c r="AE36" s="276">
        <v>46501</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2027/W15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2027/W17</v>
      </c>
      <c r="AH36" s="2" t="s">
        <v>322</v>
      </c>
      <c r="AI36" s="276"/>
      <c r="AJ36" s="276"/>
      <c r="AK36" s="2" t="s">
        <v>322</v>
      </c>
      <c r="AL36" s="276"/>
      <c r="AM36" s="276"/>
      <c r="AN36" s="2" t="s">
        <v>73</v>
      </c>
      <c r="AO36" s="276"/>
      <c r="AP36" s="276"/>
      <c r="AQ36" s="2" t="s">
        <v>322</v>
      </c>
      <c r="AR36" s="276"/>
      <c r="AS36" s="276"/>
      <c r="AT36" s="2" t="s">
        <v>73</v>
      </c>
      <c r="AU36" s="276"/>
      <c r="AV36" s="276"/>
      <c r="AW36" s="2" t="s">
        <v>73</v>
      </c>
      <c r="AX36" s="276"/>
      <c r="AY36" s="276"/>
      <c r="AZ36" s="2" t="s">
        <v>57</v>
      </c>
      <c r="BA36" s="276"/>
      <c r="BB36" s="276"/>
      <c r="BC36" s="2" t="str">
        <f t="shared" ref="BC36:BC66" si="15">IF(J36="","",IF(OR(J36="OB",J36="NOR",J36="FC",J36="PIPELINE"),"Active","Complete"))</f>
        <v>Active</v>
      </c>
      <c r="BD36" s="2" t="s">
        <v>278</v>
      </c>
      <c r="BE36" s="119" t="str">
        <f t="shared" ref="BE36:BE66" si="16">IF(UPPER(TRIM(J36))="SHIPPED","READY",_xlfn.LET(_xlpm.stage,IF(B36="","",B36&amp;": "),_xlpm.ip,_xlfn.TEXTJOIN(", ",TRUE,IF(LOWER(AH36)="in progress","Drawing",""),IF(LOWER(AK36)="in progress","Veneer/Wood",""),IF(LOWER(AN36)="in progress","Marble",""),IF(LOWER(AQ36)="in progress","Metal",""),IF(LOWER(AT36)="in progress","Mirror",""),IF(LOWER(AW36)="in progress","Electrical",""),IF(LOWER(AZ36)="in progress","Fabric","")),_xlpm.pa,_xlfn.TEXTJOIN(", ",TRUE,IF(LOWER(AH36)="pending approval","Drawing",""),IF(LOWER(AK36)="pending approval","Veneer/Wood",""),IF(LOWER(AN36)="pending approval","Marble",""),IF(LOWER(AQ36)="pending approval","Metal",""),IF(LOWER(AT36)="pending approval","Mirror",""),IF(LOWER(AW36)="pending approval","Electrical",""),IF(LOWER(AZ36)="pending approval","Fabric","")),_xlpm.ns,_xlfn.TEXTJOIN(", ",TRUE,IF(LOWER(AH36)="not started","Drawing",""),IF(LOWER(AK36)="not started","Veneer/Wood",""),IF(LOWER(AN36)="not started","Marble",""),IF(LOWER(AQ36)="not started","Metal",""),IF(LOWER(AT36)="not started","Mirror",""),IF(LOWER(AW36)="not started","Electrical",""),IF(LOWER(AZ36)="not started","Fabric","")),_xlpm.fab,IF(OR(LOWER(AZ36)="com",LOWER(AZ36)="com pending",LOWER(AZ36)="com received"),"Fabric is "&amp;LOWER(AZ36),""),_xlpm.parts,_xlfn.TEXTJOIN("; ",TRUE,IF(_xlpm.ip&lt;&gt;"","In progress: "&amp;_xlpm.ip,""),IF(_xlpm.pa&lt;&gt;"","Pending approval: "&amp;_xlpm.pa,""),IF(_xlpm.ns&lt;&gt;"","Not started: "&amp;_xlpm.ns,""),_xlpm.fab),_xlpm.deadline,MIN(IF(AND(AH36&lt;&gt;"",LOWER(AH36)&lt;&gt;"approved",LOWER(AH36)&lt;&gt;"n/a",ISNUMBER(AI36)),AI36,1E+99),IF(AND(AK36&lt;&gt;"",LOWER(AK36)&lt;&gt;"approved",LOWER(AK36)&lt;&gt;"n/a",ISNUMBER(AL36)),AL36,1E+99),IF(AND(AN36&lt;&gt;"",LOWER(AN36)&lt;&gt;"approved",LOWER(AN36)&lt;&gt;"n/a",ISNUMBER(AO36)),AO36,1E+99),IF(AND(AQ36&lt;&gt;"",LOWER(AQ36)&lt;&gt;"approved",LOWER(AQ36)&lt;&gt;"n/a",ISNUMBER(AR36)),AR36,1E+99),IF(AND(AT36&lt;&gt;"",LOWER(AT36)&lt;&gt;"approved",LOWER(AT36)&lt;&gt;"n/a",ISNUMBER(AU36)),AU36,1E+99),IF(AND(AW36&lt;&gt;"",LOWER(AW36)&lt;&gt;"approved",LOWER(AW36)&lt;&gt;"n/a",ISNUMBER(AX36)),AX36,1E+99),IF(AND(AZ36&lt;&gt;"",LOWER(AZ36)&lt;&gt;"approved",LOWER(AZ36)&lt;&gt;"n/a",ISNUMBER(BA36)),BA36,1E+99)),_xlpm.sw,IF(AG36="","",IFERROR("SW"&amp;MID(AG36,FIND("/W",AG36)+2,99),"SW "&amp;AG36)),_xlpm.stage&amp;IF(_xlpm.parts="","All development items approved/closed",_xlpm.parts)&amp;IF(AND(_xlpm.parts&lt;&gt;"",_xlpm.deadline&lt;1E+99),"; need approval by "&amp;TEXT(_xlpm.deadline,"d-mmm-yy"),"")&amp;IF(_xlpm.sw&lt;&gt;""," for "&amp;_xlpm.sw,"")))</f>
        <v>NPI: Pending approval: Drawing, Veneer/Wood, Metal; Fabric is com for SW17</v>
      </c>
    </row>
    <row r="37" spans="1:57">
      <c r="A37" s="2" t="str">
        <f>IFERROR(VLOOKUP(E37,'Customer '!$A$4:$D$23,3,FALSE),"")</f>
        <v>RH</v>
      </c>
      <c r="B37" s="2" t="s">
        <v>267</v>
      </c>
      <c r="C37" s="2" t="s">
        <v>306</v>
      </c>
      <c r="D37" s="2" t="s">
        <v>269</v>
      </c>
      <c r="E37" s="2" t="s">
        <v>61</v>
      </c>
      <c r="F37" s="2" t="str">
        <f>IFERROR(VLOOKUP(E37,'Customer '!$A$4:$D$28,2,FALSE),"")</f>
        <v>RH</v>
      </c>
      <c r="G37" s="2" t="s">
        <v>338</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271</v>
      </c>
      <c r="K37" s="2" t="s">
        <v>291</v>
      </c>
      <c r="L37" s="119" t="s">
        <v>273</v>
      </c>
      <c r="M37" s="276"/>
      <c r="N37" s="276">
        <v>46079</v>
      </c>
      <c r="O37" s="277"/>
      <c r="P37" s="2" t="s">
        <v>51</v>
      </c>
      <c r="Q37" s="2" t="s">
        <v>329</v>
      </c>
      <c r="V37" s="274">
        <v>1</v>
      </c>
      <c r="X37" s="278">
        <v>1672</v>
      </c>
      <c r="Y37" s="278">
        <v>1672</v>
      </c>
      <c r="Z37" s="2" t="s">
        <v>294</v>
      </c>
      <c r="AA37" s="2" t="str">
        <f t="shared" si="0"/>
        <v>2026</v>
      </c>
      <c r="AB37" s="276">
        <v>46113</v>
      </c>
      <c r="AC37" s="276">
        <v>46120</v>
      </c>
      <c r="AD37" s="275">
        <v>46116</v>
      </c>
      <c r="AE37" s="275">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6"/>
      <c r="AJ37" s="276">
        <v>46104</v>
      </c>
      <c r="AK37" s="2" t="s">
        <v>56</v>
      </c>
      <c r="AL37" s="276"/>
      <c r="AM37" s="276">
        <v>46104</v>
      </c>
      <c r="AN37" s="2" t="s">
        <v>73</v>
      </c>
      <c r="AO37" s="276"/>
      <c r="AP37" s="276"/>
      <c r="AQ37" s="2" t="s">
        <v>73</v>
      </c>
      <c r="AR37" s="276"/>
      <c r="AS37" s="276"/>
      <c r="AT37" s="2" t="s">
        <v>73</v>
      </c>
      <c r="AU37" s="276"/>
      <c r="AV37" s="276"/>
      <c r="AW37" s="2" t="s">
        <v>73</v>
      </c>
      <c r="AX37" s="276"/>
      <c r="AY37" s="276"/>
      <c r="AZ37" s="2" t="s">
        <v>57</v>
      </c>
      <c r="BA37" s="276"/>
      <c r="BB37" s="276">
        <v>46090</v>
      </c>
      <c r="BC37" s="2" t="str">
        <f t="shared" si="15"/>
        <v>Complete</v>
      </c>
      <c r="BD37" s="2" t="s">
        <v>278</v>
      </c>
      <c r="BE37" s="119" t="str">
        <f t="shared" si="16"/>
        <v>READY</v>
      </c>
    </row>
    <row r="38" spans="1:57">
      <c r="A38" s="2" t="str">
        <f>IFERROR(VLOOKUP(E38,'Customer '!$A$4:$D$23,3,FALSE),"")</f>
        <v>RH</v>
      </c>
      <c r="B38" s="2" t="s">
        <v>267</v>
      </c>
      <c r="C38" s="2" t="s">
        <v>268</v>
      </c>
      <c r="D38" s="2" t="s">
        <v>269</v>
      </c>
      <c r="E38" s="2" t="s">
        <v>61</v>
      </c>
      <c r="F38" s="2" t="str">
        <f>IFERROR(VLOOKUP(E38,'Customer '!$A$4:$D$28,2,FALSE),"")</f>
        <v>RH</v>
      </c>
      <c r="G38" s="2" t="s">
        <v>339</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271</v>
      </c>
      <c r="K38" s="2" t="s">
        <v>272</v>
      </c>
      <c r="L38" s="119" t="s">
        <v>273</v>
      </c>
      <c r="M38" s="276">
        <v>45575</v>
      </c>
      <c r="N38" s="276">
        <v>46101</v>
      </c>
      <c r="O38" s="277"/>
      <c r="P38" s="2" t="s">
        <v>96</v>
      </c>
      <c r="Q38" s="2" t="s">
        <v>340</v>
      </c>
      <c r="V38" s="274">
        <v>18</v>
      </c>
      <c r="X38" s="278">
        <v>164002.01999999999</v>
      </c>
      <c r="Y38" s="278">
        <v>110307</v>
      </c>
      <c r="Z38" s="2" t="s">
        <v>280</v>
      </c>
      <c r="AA38" s="2" t="str">
        <f t="shared" si="0"/>
        <v>2026</v>
      </c>
      <c r="AB38" s="276">
        <v>46234</v>
      </c>
      <c r="AC38" s="276">
        <v>46234</v>
      </c>
      <c r="AD38" s="275">
        <v>46234</v>
      </c>
      <c r="AE38" s="276">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6"/>
      <c r="AJ38" s="276"/>
      <c r="AK38" s="2" t="s">
        <v>56</v>
      </c>
      <c r="AL38" s="276"/>
      <c r="AM38" s="276"/>
      <c r="AN38" s="2" t="s">
        <v>56</v>
      </c>
      <c r="AO38" s="276"/>
      <c r="AP38" s="276"/>
      <c r="AQ38" s="2" t="s">
        <v>73</v>
      </c>
      <c r="AR38" s="276"/>
      <c r="AS38" s="276"/>
      <c r="AT38" s="2" t="s">
        <v>73</v>
      </c>
      <c r="AU38" s="276"/>
      <c r="AV38" s="276"/>
      <c r="AW38" s="2" t="s">
        <v>73</v>
      </c>
      <c r="AX38" s="276"/>
      <c r="AY38" s="276"/>
      <c r="AZ38" s="2" t="s">
        <v>277</v>
      </c>
      <c r="BA38" s="276"/>
      <c r="BB38" s="276"/>
      <c r="BC38" s="2" t="str">
        <f t="shared" si="15"/>
        <v>Complete</v>
      </c>
      <c r="BD38" s="2" t="s">
        <v>278</v>
      </c>
      <c r="BE38" s="119" t="str">
        <f t="shared" si="16"/>
        <v>READY</v>
      </c>
    </row>
    <row r="39" spans="1:57">
      <c r="A39" s="2" t="str">
        <f>IFERROR(VLOOKUP(E39,'Customer '!$A$4:$D$23,3,FALSE),"")</f>
        <v>RH</v>
      </c>
      <c r="B39" s="2" t="s">
        <v>267</v>
      </c>
      <c r="C39" s="2" t="s">
        <v>268</v>
      </c>
      <c r="D39" s="2" t="s">
        <v>269</v>
      </c>
      <c r="E39" s="2" t="s">
        <v>61</v>
      </c>
      <c r="F39" s="2" t="str">
        <f>IFERROR(VLOOKUP(E39,'Customer '!$A$4:$D$28,2,FALSE),"")</f>
        <v>RH</v>
      </c>
      <c r="G39" s="2" t="s">
        <v>339</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271</v>
      </c>
      <c r="K39" s="2" t="s">
        <v>272</v>
      </c>
      <c r="L39" s="119" t="s">
        <v>273</v>
      </c>
      <c r="M39" s="276">
        <v>45575</v>
      </c>
      <c r="N39" s="276">
        <v>46101</v>
      </c>
      <c r="O39" s="277"/>
      <c r="P39" s="2" t="s">
        <v>96</v>
      </c>
      <c r="Q39" s="2" t="s">
        <v>340</v>
      </c>
      <c r="V39" s="274">
        <v>18</v>
      </c>
      <c r="X39" s="278">
        <v>164002.01999999999</v>
      </c>
      <c r="Y39" s="278">
        <v>53695.14</v>
      </c>
      <c r="Z39" s="2" t="s">
        <v>281</v>
      </c>
      <c r="AA39" s="2" t="str">
        <f t="shared" si="0"/>
        <v>2026</v>
      </c>
      <c r="AB39" s="276">
        <v>46234</v>
      </c>
      <c r="AC39" s="276">
        <v>46234</v>
      </c>
      <c r="AD39" s="275">
        <v>46234</v>
      </c>
      <c r="AE39" s="276">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6"/>
      <c r="AJ39" s="276"/>
      <c r="AK39" s="2" t="s">
        <v>56</v>
      </c>
      <c r="AL39" s="276"/>
      <c r="AM39" s="276"/>
      <c r="AN39" s="2" t="s">
        <v>56</v>
      </c>
      <c r="AO39" s="276"/>
      <c r="AP39" s="276"/>
      <c r="AQ39" s="2" t="s">
        <v>73</v>
      </c>
      <c r="AR39" s="276"/>
      <c r="AS39" s="276"/>
      <c r="AT39" s="2" t="s">
        <v>73</v>
      </c>
      <c r="AU39" s="276"/>
      <c r="AV39" s="276"/>
      <c r="AW39" s="2" t="s">
        <v>73</v>
      </c>
      <c r="AX39" s="276"/>
      <c r="AY39" s="276"/>
      <c r="AZ39" s="2" t="s">
        <v>277</v>
      </c>
      <c r="BA39" s="276"/>
      <c r="BB39" s="276"/>
      <c r="BC39" s="2" t="str">
        <f t="shared" si="15"/>
        <v>Complete</v>
      </c>
      <c r="BD39" s="2" t="s">
        <v>278</v>
      </c>
      <c r="BE39" s="119" t="str">
        <f t="shared" si="16"/>
        <v>READY</v>
      </c>
    </row>
    <row r="40" spans="1:57">
      <c r="A40" s="2" t="str">
        <f>IFERROR(VLOOKUP(E40,'Customer '!$A$4:$D$23,3,FALSE),"")</f>
        <v>RH</v>
      </c>
      <c r="B40" s="2" t="s">
        <v>327</v>
      </c>
      <c r="C40" s="2" t="s">
        <v>298</v>
      </c>
      <c r="D40" s="2" t="s">
        <v>269</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271</v>
      </c>
      <c r="K40" s="2" t="s">
        <v>272</v>
      </c>
      <c r="L40" s="119" t="s">
        <v>273</v>
      </c>
      <c r="M40" s="276">
        <v>46072</v>
      </c>
      <c r="N40" s="276">
        <v>45992</v>
      </c>
      <c r="O40" s="277"/>
      <c r="P40" s="2" t="s">
        <v>51</v>
      </c>
      <c r="Q40" s="2" t="s">
        <v>152</v>
      </c>
      <c r="V40" s="274">
        <v>12</v>
      </c>
      <c r="X40" s="278">
        <v>12000.06</v>
      </c>
      <c r="Y40" s="278">
        <v>12000.06</v>
      </c>
      <c r="Z40" s="2" t="s">
        <v>279</v>
      </c>
      <c r="AA40" s="2" t="str">
        <f t="shared" si="0"/>
        <v>2026</v>
      </c>
      <c r="AB40" s="276">
        <v>46182</v>
      </c>
      <c r="AC40" s="276">
        <v>46185</v>
      </c>
      <c r="AD40" s="275">
        <v>46116</v>
      </c>
      <c r="AE40" s="276">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6"/>
      <c r="AJ40" s="276"/>
      <c r="AK40" s="2" t="s">
        <v>56</v>
      </c>
      <c r="AL40" s="276"/>
      <c r="AM40" s="276"/>
      <c r="AN40" s="2" t="s">
        <v>56</v>
      </c>
      <c r="AO40" s="276"/>
      <c r="AP40" s="276"/>
      <c r="AQ40" s="2" t="s">
        <v>56</v>
      </c>
      <c r="AR40" s="276"/>
      <c r="AS40" s="276"/>
      <c r="AT40" s="2" t="s">
        <v>56</v>
      </c>
      <c r="AU40" s="276"/>
      <c r="AV40" s="276"/>
      <c r="AW40" s="2" t="s">
        <v>73</v>
      </c>
      <c r="AX40" s="276"/>
      <c r="AY40" s="276"/>
      <c r="AZ40" s="2" t="s">
        <v>277</v>
      </c>
      <c r="BA40" s="276"/>
      <c r="BB40" s="276"/>
      <c r="BC40" s="2" t="str">
        <f t="shared" si="15"/>
        <v>Complete</v>
      </c>
      <c r="BD40" s="2" t="s">
        <v>278</v>
      </c>
      <c r="BE40" s="119" t="str">
        <f t="shared" si="16"/>
        <v>READY</v>
      </c>
    </row>
    <row r="41" spans="1:57">
      <c r="A41" s="2" t="str">
        <f>IFERROR(VLOOKUP(E41,'Customer '!$A$4:$D$23,3,FALSE),"")</f>
        <v>NON RH</v>
      </c>
      <c r="B41" s="2" t="s">
        <v>267</v>
      </c>
      <c r="C41" s="2" t="s">
        <v>323</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271</v>
      </c>
      <c r="K41" s="2" t="s">
        <v>272</v>
      </c>
      <c r="L41" s="119" t="s">
        <v>273</v>
      </c>
      <c r="M41" s="276"/>
      <c r="N41" s="276" t="s">
        <v>292</v>
      </c>
      <c r="O41" s="277"/>
      <c r="P41" s="2" t="s">
        <v>51</v>
      </c>
      <c r="Q41" s="2" t="s">
        <v>329</v>
      </c>
      <c r="V41" s="274">
        <v>17</v>
      </c>
      <c r="X41" s="278">
        <v>1908.8</v>
      </c>
      <c r="Y41" s="278">
        <v>1908.8</v>
      </c>
      <c r="Z41" s="2" t="s">
        <v>294</v>
      </c>
      <c r="AA41" s="2" t="str">
        <f t="shared" si="0"/>
        <v>2026</v>
      </c>
      <c r="AB41" s="276">
        <v>46116</v>
      </c>
      <c r="AC41" s="276"/>
      <c r="AD41" s="275">
        <v>46116</v>
      </c>
      <c r="AE41" s="276">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6"/>
      <c r="AJ41" s="276"/>
      <c r="AK41" s="2" t="s">
        <v>56</v>
      </c>
      <c r="AL41" s="276"/>
      <c r="AM41" s="276"/>
      <c r="AN41" s="2" t="s">
        <v>56</v>
      </c>
      <c r="AO41" s="276"/>
      <c r="AP41" s="276"/>
      <c r="AQ41" s="2" t="s">
        <v>56</v>
      </c>
      <c r="AR41" s="276"/>
      <c r="AS41" s="276"/>
      <c r="AT41" s="2" t="s">
        <v>56</v>
      </c>
      <c r="AU41" s="276"/>
      <c r="AV41" s="276"/>
      <c r="AW41" s="2" t="s">
        <v>56</v>
      </c>
      <c r="AX41" s="276"/>
      <c r="AY41" s="276"/>
      <c r="AZ41" s="2" t="s">
        <v>57</v>
      </c>
      <c r="BA41" s="276"/>
      <c r="BB41" s="276"/>
      <c r="BC41" s="2" t="str">
        <f t="shared" si="15"/>
        <v>Complete</v>
      </c>
      <c r="BE41" s="119" t="str">
        <f t="shared" si="16"/>
        <v>READY</v>
      </c>
    </row>
    <row r="42" spans="1:57">
      <c r="A42" s="2" t="str">
        <f>IFERROR(VLOOKUP(E42,'Customer '!$A$4:$D$23,3,FALSE),"")</f>
        <v>NON RH</v>
      </c>
      <c r="B42" s="2" t="s">
        <v>267</v>
      </c>
      <c r="C42" s="2" t="s">
        <v>341</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271</v>
      </c>
      <c r="K42" s="2" t="s">
        <v>272</v>
      </c>
      <c r="L42" s="119" t="s">
        <v>273</v>
      </c>
      <c r="M42" s="276">
        <v>46027</v>
      </c>
      <c r="N42" s="276">
        <v>46009</v>
      </c>
      <c r="O42" s="277"/>
      <c r="P42" s="2" t="s">
        <v>51</v>
      </c>
      <c r="Q42" s="2" t="s">
        <v>329</v>
      </c>
      <c r="V42" s="274">
        <v>22</v>
      </c>
      <c r="X42" s="278">
        <v>169946</v>
      </c>
      <c r="Y42" s="278">
        <v>89785.840000000011</v>
      </c>
      <c r="Z42" s="2" t="s">
        <v>281</v>
      </c>
      <c r="AA42" s="2" t="str">
        <f t="shared" ref="AA42:AA43" si="17">IF(Z42="","",IF(OR(Z42="TBC",Z42="Removed"),Z42,LEFT(Z42,4)))</f>
        <v>2026</v>
      </c>
      <c r="AB42" s="275">
        <v>46269</v>
      </c>
      <c r="AC42" s="276">
        <v>46276</v>
      </c>
      <c r="AD42" s="275">
        <v>46242</v>
      </c>
      <c r="AE42" s="276">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6"/>
      <c r="AJ42" s="276"/>
      <c r="AK42" s="2" t="s">
        <v>56</v>
      </c>
      <c r="AL42" s="276"/>
      <c r="AM42" s="276"/>
      <c r="AN42" s="2" t="s">
        <v>56</v>
      </c>
      <c r="AO42" s="276"/>
      <c r="AP42" s="276"/>
      <c r="AQ42" s="2" t="s">
        <v>56</v>
      </c>
      <c r="AR42" s="276"/>
      <c r="AS42" s="276"/>
      <c r="AT42" s="2" t="s">
        <v>56</v>
      </c>
      <c r="AU42" s="276"/>
      <c r="AV42" s="276"/>
      <c r="AW42" s="2" t="s">
        <v>73</v>
      </c>
      <c r="AX42" s="276"/>
      <c r="AY42" s="276"/>
      <c r="AZ42" s="2" t="s">
        <v>342</v>
      </c>
      <c r="BA42" s="276"/>
      <c r="BB42" s="276"/>
      <c r="BC42" s="2" t="str">
        <f t="shared" si="15"/>
        <v>Complete</v>
      </c>
      <c r="BE42" s="119" t="str">
        <f t="shared" si="16"/>
        <v>READY</v>
      </c>
    </row>
    <row r="43" spans="1:57">
      <c r="A43" s="2" t="str">
        <f>IFERROR(VLOOKUP(E43,'Customer '!$A$4:$D$23,3,FALSE),"")</f>
        <v>NON RH</v>
      </c>
      <c r="B43" s="2" t="s">
        <v>267</v>
      </c>
      <c r="C43" s="2" t="s">
        <v>341</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271</v>
      </c>
      <c r="K43" s="2" t="s">
        <v>272</v>
      </c>
      <c r="L43" s="119" t="s">
        <v>311</v>
      </c>
      <c r="M43" s="276">
        <v>46027</v>
      </c>
      <c r="N43" s="276">
        <v>46009</v>
      </c>
      <c r="O43" s="277"/>
      <c r="P43" s="2" t="s">
        <v>51</v>
      </c>
      <c r="Q43" s="2" t="s">
        <v>329</v>
      </c>
      <c r="R43" s="2">
        <v>0</v>
      </c>
      <c r="S43" s="2">
        <v>0</v>
      </c>
      <c r="V43" s="274">
        <v>22</v>
      </c>
      <c r="X43" s="278">
        <v>169946</v>
      </c>
      <c r="Y43" s="278">
        <v>28382</v>
      </c>
      <c r="Z43" s="2" t="s">
        <v>297</v>
      </c>
      <c r="AA43" s="2" t="str">
        <f t="shared" si="17"/>
        <v>2026</v>
      </c>
      <c r="AB43" s="275">
        <v>46269</v>
      </c>
      <c r="AC43" s="276">
        <v>46276</v>
      </c>
      <c r="AD43" s="275">
        <v>46242</v>
      </c>
      <c r="AE43" s="276">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6"/>
      <c r="AJ43" s="276"/>
      <c r="AK43" s="2" t="s">
        <v>56</v>
      </c>
      <c r="AL43" s="276"/>
      <c r="AM43" s="276"/>
      <c r="AN43" s="2" t="s">
        <v>56</v>
      </c>
      <c r="AO43" s="276"/>
      <c r="AP43" s="276"/>
      <c r="AQ43" s="2" t="s">
        <v>56</v>
      </c>
      <c r="AR43" s="276"/>
      <c r="AS43" s="276"/>
      <c r="AT43" s="2" t="s">
        <v>56</v>
      </c>
      <c r="AU43" s="276"/>
      <c r="AV43" s="276"/>
      <c r="AW43" s="2" t="s">
        <v>73</v>
      </c>
      <c r="AX43" s="276"/>
      <c r="AY43" s="276"/>
      <c r="AZ43" s="2" t="s">
        <v>342</v>
      </c>
      <c r="BA43" s="276"/>
      <c r="BB43" s="276"/>
      <c r="BC43" s="2" t="str">
        <f t="shared" si="15"/>
        <v>Complete</v>
      </c>
      <c r="BE43" s="119" t="str">
        <f t="shared" si="16"/>
        <v>READY</v>
      </c>
    </row>
    <row r="44" spans="1:57">
      <c r="A44" s="2" t="str">
        <f>IFERROR(VLOOKUP(E44,'Customer '!$A$4:$D$23,3,FALSE),"")</f>
        <v>NON RH</v>
      </c>
      <c r="B44" s="2" t="s">
        <v>267</v>
      </c>
      <c r="C44" s="2" t="s">
        <v>341</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271</v>
      </c>
      <c r="K44" s="2" t="s">
        <v>272</v>
      </c>
      <c r="L44" s="119" t="s">
        <v>311</v>
      </c>
      <c r="M44" s="276">
        <v>46027</v>
      </c>
      <c r="N44" s="276">
        <v>46009</v>
      </c>
      <c r="O44" s="277"/>
      <c r="P44" s="2" t="s">
        <v>51</v>
      </c>
      <c r="Q44" s="2" t="s">
        <v>329</v>
      </c>
      <c r="R44" s="2">
        <v>0</v>
      </c>
      <c r="S44" s="2">
        <v>0</v>
      </c>
      <c r="V44" s="274">
        <v>22</v>
      </c>
      <c r="X44" s="278">
        <v>169946</v>
      </c>
      <c r="Y44" s="278">
        <v>51777</v>
      </c>
      <c r="Z44" s="2" t="s">
        <v>297</v>
      </c>
      <c r="AA44" s="2" t="str">
        <f t="shared" si="0"/>
        <v>2026</v>
      </c>
      <c r="AB44" s="275">
        <v>46269</v>
      </c>
      <c r="AC44" s="276">
        <v>46276</v>
      </c>
      <c r="AD44" s="275">
        <v>46242</v>
      </c>
      <c r="AE44" s="276">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6"/>
      <c r="AJ44" s="276"/>
      <c r="AK44" s="2" t="s">
        <v>56</v>
      </c>
      <c r="AL44" s="276"/>
      <c r="AM44" s="276"/>
      <c r="AN44" s="2" t="s">
        <v>56</v>
      </c>
      <c r="AO44" s="276"/>
      <c r="AP44" s="276"/>
      <c r="AQ44" s="2" t="s">
        <v>56</v>
      </c>
      <c r="AR44" s="276"/>
      <c r="AS44" s="276"/>
      <c r="AT44" s="2" t="s">
        <v>56</v>
      </c>
      <c r="AU44" s="276"/>
      <c r="AV44" s="276"/>
      <c r="AW44" s="2" t="s">
        <v>73</v>
      </c>
      <c r="AX44" s="276"/>
      <c r="AY44" s="276"/>
      <c r="AZ44" s="2" t="s">
        <v>342</v>
      </c>
      <c r="BA44" s="276"/>
      <c r="BB44" s="276"/>
      <c r="BC44" s="2" t="str">
        <f t="shared" si="15"/>
        <v>Complete</v>
      </c>
      <c r="BE44" s="119" t="str">
        <f t="shared" si="16"/>
        <v>READY</v>
      </c>
    </row>
    <row r="45" spans="1:57">
      <c r="A45" s="2" t="str">
        <f>IFERROR(VLOOKUP(E45,'Customer '!$A$4:$D$23,3,FALSE),"")</f>
        <v>NON RH</v>
      </c>
      <c r="B45" s="2" t="s">
        <v>267</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272</v>
      </c>
      <c r="L45" s="119" t="s">
        <v>285</v>
      </c>
      <c r="M45" s="276"/>
      <c r="N45" s="276" t="s">
        <v>292</v>
      </c>
      <c r="O45" s="277"/>
      <c r="P45" s="2" t="s">
        <v>96</v>
      </c>
      <c r="Q45" s="2" t="s">
        <v>340</v>
      </c>
      <c r="R45" s="2">
        <v>0</v>
      </c>
      <c r="S45" s="2">
        <v>0</v>
      </c>
      <c r="V45" s="274">
        <v>16</v>
      </c>
      <c r="X45" s="278">
        <v>1160820</v>
      </c>
      <c r="Y45" s="278">
        <f>DetailTracker[[#This Row],[PROJECT VALUE $]]/2</f>
        <v>580410</v>
      </c>
      <c r="Z45" s="2" t="s">
        <v>343</v>
      </c>
      <c r="AA45" s="2" t="str">
        <f t="shared" si="0"/>
        <v>2027</v>
      </c>
      <c r="AB45" s="276" t="s">
        <v>292</v>
      </c>
      <c r="AC45" s="276"/>
      <c r="AD45" s="275" t="s">
        <v>149</v>
      </c>
      <c r="AE45" s="276"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344</v>
      </c>
      <c r="AI45" s="276"/>
      <c r="AJ45" s="276"/>
      <c r="AK45" s="2" t="s">
        <v>287</v>
      </c>
      <c r="AL45" s="276"/>
      <c r="AM45" s="276"/>
      <c r="AO45" s="276"/>
      <c r="AP45" s="276"/>
      <c r="AR45" s="276"/>
      <c r="AS45" s="276"/>
      <c r="AU45" s="276"/>
      <c r="AV45" s="276"/>
      <c r="AX45" s="276"/>
      <c r="AY45" s="276"/>
      <c r="BA45" s="276"/>
      <c r="BB45" s="276"/>
      <c r="BC45" s="2" t="str">
        <f t="shared" si="15"/>
        <v>Active</v>
      </c>
      <c r="BE45" s="119" t="str">
        <f t="shared" si="16"/>
        <v>NPI: Not started: Veneer/Wood for SW TBC</v>
      </c>
    </row>
    <row r="46" spans="1:57">
      <c r="A46" s="2" t="str">
        <f>IFERROR(VLOOKUP(E46,'Customer '!$A$4:$D$23,3,FALSE),"")</f>
        <v>NON RH</v>
      </c>
      <c r="B46" s="2" t="s">
        <v>267</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272</v>
      </c>
      <c r="L46" s="119" t="s">
        <v>285</v>
      </c>
      <c r="M46" s="276"/>
      <c r="N46" s="276" t="s">
        <v>292</v>
      </c>
      <c r="O46" s="277"/>
      <c r="P46" s="2" t="s">
        <v>96</v>
      </c>
      <c r="Q46" s="2" t="s">
        <v>340</v>
      </c>
      <c r="R46" s="2">
        <v>0</v>
      </c>
      <c r="S46" s="2">
        <v>0</v>
      </c>
      <c r="V46" s="274">
        <v>16</v>
      </c>
      <c r="X46" s="278">
        <v>1160820</v>
      </c>
      <c r="Y46" s="278">
        <f>DetailTracker[[#This Row],[PROJECT VALUE $]]/2</f>
        <v>580410</v>
      </c>
      <c r="Z46" s="2" t="s">
        <v>343</v>
      </c>
      <c r="AA46" s="2" t="str">
        <f t="shared" si="0"/>
        <v>2027</v>
      </c>
      <c r="AB46" s="276" t="s">
        <v>292</v>
      </c>
      <c r="AC46" s="276"/>
      <c r="AD46" s="275" t="s">
        <v>149</v>
      </c>
      <c r="AE46" s="276"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344</v>
      </c>
      <c r="AI46" s="276"/>
      <c r="AJ46" s="276"/>
      <c r="AK46" s="2" t="s">
        <v>287</v>
      </c>
      <c r="AL46" s="276"/>
      <c r="AM46" s="276"/>
      <c r="AO46" s="276"/>
      <c r="AP46" s="276"/>
      <c r="AR46" s="276"/>
      <c r="AS46" s="276"/>
      <c r="AU46" s="276"/>
      <c r="AV46" s="276"/>
      <c r="AX46" s="276"/>
      <c r="AY46" s="276"/>
      <c r="BA46" s="276"/>
      <c r="BB46" s="276"/>
      <c r="BC46" s="2" t="str">
        <f t="shared" si="15"/>
        <v>Active</v>
      </c>
      <c r="BE46" s="119" t="str">
        <f t="shared" si="16"/>
        <v>NPI: Not started: Veneer/Wood for SW TBC</v>
      </c>
    </row>
    <row r="47" spans="1:57">
      <c r="A47" s="2" t="str">
        <f>IFERROR(VLOOKUP(E47,'Customer '!$A$4:$D$23,3,FALSE),"")</f>
        <v>NON RH</v>
      </c>
      <c r="B47" s="2" t="s">
        <v>267</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271</v>
      </c>
      <c r="K47" s="2" t="s">
        <v>272</v>
      </c>
      <c r="L47" s="119" t="s">
        <v>273</v>
      </c>
      <c r="M47" s="276">
        <v>45987</v>
      </c>
      <c r="N47" s="276">
        <v>46053</v>
      </c>
      <c r="O47" s="277"/>
      <c r="P47" s="2" t="s">
        <v>51</v>
      </c>
      <c r="Q47" s="2" t="s">
        <v>295</v>
      </c>
      <c r="V47" s="274">
        <v>25</v>
      </c>
      <c r="X47" s="278">
        <v>198023</v>
      </c>
      <c r="Y47" s="278">
        <v>56748.11</v>
      </c>
      <c r="Z47" s="2" t="s">
        <v>294</v>
      </c>
      <c r="AA47" s="2" t="str">
        <f t="shared" si="0"/>
        <v>2026</v>
      </c>
      <c r="AB47" s="276">
        <v>46121</v>
      </c>
      <c r="AC47" s="276">
        <v>46186</v>
      </c>
      <c r="AD47" s="275">
        <v>46116</v>
      </c>
      <c r="AE47" s="275">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6"/>
      <c r="AJ47" s="276">
        <v>46058</v>
      </c>
      <c r="AK47" s="2" t="s">
        <v>56</v>
      </c>
      <c r="AL47" s="276"/>
      <c r="AM47" s="276">
        <v>46058</v>
      </c>
      <c r="AN47" s="2" t="s">
        <v>73</v>
      </c>
      <c r="AO47" s="276"/>
      <c r="AP47" s="276"/>
      <c r="AQ47" s="2" t="s">
        <v>56</v>
      </c>
      <c r="AR47" s="276"/>
      <c r="AS47" s="276">
        <v>46058</v>
      </c>
      <c r="AT47" s="2" t="s">
        <v>73</v>
      </c>
      <c r="AU47" s="276"/>
      <c r="AV47" s="276"/>
      <c r="AW47" s="2" t="s">
        <v>56</v>
      </c>
      <c r="AX47" s="276"/>
      <c r="AY47" s="276"/>
      <c r="AZ47" s="2" t="s">
        <v>73</v>
      </c>
      <c r="BA47" s="276"/>
      <c r="BB47" s="276"/>
      <c r="BC47" s="2" t="str">
        <f t="shared" si="15"/>
        <v>Complete</v>
      </c>
      <c r="BD47" s="2" t="s">
        <v>278</v>
      </c>
      <c r="BE47" s="119" t="str">
        <f t="shared" si="16"/>
        <v>READY</v>
      </c>
    </row>
    <row r="48" spans="1:57">
      <c r="A48" s="2" t="str">
        <f>IFERROR(VLOOKUP(E48,'Customer '!$A$4:$D$23,3,FALSE),"")</f>
        <v>NON RH</v>
      </c>
      <c r="B48" s="2" t="s">
        <v>267</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271</v>
      </c>
      <c r="K48" s="2" t="s">
        <v>272</v>
      </c>
      <c r="L48" s="119" t="s">
        <v>273</v>
      </c>
      <c r="M48" s="276">
        <v>45987</v>
      </c>
      <c r="N48" s="276">
        <v>46053</v>
      </c>
      <c r="O48" s="277"/>
      <c r="P48" s="2" t="s">
        <v>51</v>
      </c>
      <c r="Q48" s="2" t="s">
        <v>295</v>
      </c>
      <c r="V48" s="274">
        <v>25</v>
      </c>
      <c r="X48" s="278">
        <v>198023</v>
      </c>
      <c r="Y48" s="278">
        <v>87190</v>
      </c>
      <c r="Z48" s="2" t="s">
        <v>276</v>
      </c>
      <c r="AA48" s="2" t="str">
        <f t="shared" si="0"/>
        <v>2026</v>
      </c>
      <c r="AB48" s="276">
        <v>46121</v>
      </c>
      <c r="AC48" s="276">
        <v>46186</v>
      </c>
      <c r="AD48" s="275">
        <v>46116</v>
      </c>
      <c r="AE48" s="275">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6"/>
      <c r="AJ48" s="276">
        <v>46058</v>
      </c>
      <c r="AK48" s="2" t="s">
        <v>56</v>
      </c>
      <c r="AL48" s="276"/>
      <c r="AM48" s="276">
        <v>46058</v>
      </c>
      <c r="AN48" s="2" t="s">
        <v>73</v>
      </c>
      <c r="AO48" s="276"/>
      <c r="AP48" s="276"/>
      <c r="AQ48" s="2" t="s">
        <v>56</v>
      </c>
      <c r="AR48" s="276"/>
      <c r="AS48" s="276">
        <v>46058</v>
      </c>
      <c r="AT48" s="2" t="s">
        <v>73</v>
      </c>
      <c r="AU48" s="276"/>
      <c r="AV48" s="276"/>
      <c r="AW48" s="2" t="s">
        <v>56</v>
      </c>
      <c r="AX48" s="276"/>
      <c r="AY48" s="276"/>
      <c r="AZ48" s="2" t="s">
        <v>73</v>
      </c>
      <c r="BA48" s="276"/>
      <c r="BB48" s="276"/>
      <c r="BC48" s="2" t="str">
        <f t="shared" si="15"/>
        <v>Complete</v>
      </c>
      <c r="BE48" s="119" t="str">
        <f t="shared" si="16"/>
        <v>READY</v>
      </c>
    </row>
    <row r="49" spans="1:57">
      <c r="A49" s="2" t="str">
        <f>IFERROR(VLOOKUP(E49,'Customer '!$A$4:$D$23,3,FALSE),"")</f>
        <v>NON RH</v>
      </c>
      <c r="B49" s="2" t="s">
        <v>267</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271</v>
      </c>
      <c r="K49" s="2" t="s">
        <v>272</v>
      </c>
      <c r="L49" s="119" t="s">
        <v>273</v>
      </c>
      <c r="M49" s="276">
        <v>45987</v>
      </c>
      <c r="N49" s="276">
        <v>46053</v>
      </c>
      <c r="O49" s="277"/>
      <c r="P49" s="2" t="s">
        <v>51</v>
      </c>
      <c r="Q49" s="2" t="s">
        <v>295</v>
      </c>
      <c r="V49" s="274">
        <v>25</v>
      </c>
      <c r="X49" s="278">
        <v>198023</v>
      </c>
      <c r="Y49" s="278">
        <v>25075</v>
      </c>
      <c r="Z49" s="2" t="s">
        <v>279</v>
      </c>
      <c r="AA49" s="2" t="str">
        <f t="shared" si="0"/>
        <v>2026</v>
      </c>
      <c r="AB49" s="276">
        <v>46121</v>
      </c>
      <c r="AC49" s="276">
        <v>46186</v>
      </c>
      <c r="AD49" s="275">
        <v>46116</v>
      </c>
      <c r="AE49" s="275">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6"/>
      <c r="AJ49" s="276">
        <v>46058</v>
      </c>
      <c r="AK49" s="2" t="s">
        <v>56</v>
      </c>
      <c r="AL49" s="276"/>
      <c r="AM49" s="276">
        <v>46058</v>
      </c>
      <c r="AN49" s="2" t="s">
        <v>73</v>
      </c>
      <c r="AO49" s="276"/>
      <c r="AP49" s="276"/>
      <c r="AQ49" s="2" t="s">
        <v>56</v>
      </c>
      <c r="AR49" s="276"/>
      <c r="AS49" s="276">
        <v>46058</v>
      </c>
      <c r="AT49" s="2" t="s">
        <v>73</v>
      </c>
      <c r="AU49" s="276"/>
      <c r="AV49" s="276"/>
      <c r="AW49" s="2" t="s">
        <v>56</v>
      </c>
      <c r="AX49" s="276"/>
      <c r="AY49" s="276"/>
      <c r="AZ49" s="2" t="s">
        <v>73</v>
      </c>
      <c r="BA49" s="276"/>
      <c r="BB49" s="276"/>
      <c r="BC49" s="2" t="str">
        <f t="shared" si="15"/>
        <v>Complete</v>
      </c>
      <c r="BE49" s="119" t="str">
        <f t="shared" si="16"/>
        <v>READY</v>
      </c>
    </row>
    <row r="50" spans="1:57">
      <c r="A50" s="2" t="str">
        <f>IFERROR(VLOOKUP(E50,'Customer '!$A$4:$D$23,3,FALSE),"")</f>
        <v>NON RH</v>
      </c>
      <c r="B50" s="2" t="s">
        <v>267</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271</v>
      </c>
      <c r="K50" s="2" t="s">
        <v>272</v>
      </c>
      <c r="L50" s="119" t="s">
        <v>273</v>
      </c>
      <c r="M50" s="276">
        <v>45987</v>
      </c>
      <c r="N50" s="276">
        <v>46053</v>
      </c>
      <c r="O50" s="277"/>
      <c r="P50" s="2" t="s">
        <v>51</v>
      </c>
      <c r="Q50" s="2" t="s">
        <v>295</v>
      </c>
      <c r="V50" s="274">
        <v>25</v>
      </c>
      <c r="X50" s="278">
        <v>198023</v>
      </c>
      <c r="Y50" s="278">
        <v>29009</v>
      </c>
      <c r="Z50" s="2" t="s">
        <v>279</v>
      </c>
      <c r="AA50" s="2" t="str">
        <f t="shared" si="0"/>
        <v>2026</v>
      </c>
      <c r="AB50" s="276">
        <v>46121</v>
      </c>
      <c r="AC50" s="276">
        <v>46186</v>
      </c>
      <c r="AD50" s="275">
        <v>46116</v>
      </c>
      <c r="AE50" s="275">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6"/>
      <c r="AJ50" s="276">
        <v>46058</v>
      </c>
      <c r="AK50" s="2" t="s">
        <v>56</v>
      </c>
      <c r="AL50" s="276"/>
      <c r="AM50" s="276">
        <v>46058</v>
      </c>
      <c r="AN50" s="2" t="s">
        <v>73</v>
      </c>
      <c r="AO50" s="276"/>
      <c r="AP50" s="276"/>
      <c r="AQ50" s="2" t="s">
        <v>56</v>
      </c>
      <c r="AR50" s="276"/>
      <c r="AS50" s="276">
        <v>46058</v>
      </c>
      <c r="AT50" s="2" t="s">
        <v>73</v>
      </c>
      <c r="AU50" s="276"/>
      <c r="AV50" s="276"/>
      <c r="AW50" s="2" t="s">
        <v>56</v>
      </c>
      <c r="AX50" s="276"/>
      <c r="AY50" s="276"/>
      <c r="AZ50" s="2" t="s">
        <v>73</v>
      </c>
      <c r="BA50" s="276"/>
      <c r="BB50" s="276"/>
      <c r="BC50" s="2" t="str">
        <f t="shared" si="15"/>
        <v>Complete</v>
      </c>
      <c r="BE50" s="119" t="str">
        <f t="shared" si="16"/>
        <v>READY</v>
      </c>
    </row>
    <row r="51" spans="1:57" ht="28.8">
      <c r="A51" s="2" t="str">
        <f>IFERROR(VLOOKUP(E51,'Customer '!$A$4:$D$23,3,FALSE),"")</f>
        <v>NON RH</v>
      </c>
      <c r="B51" s="2" t="s">
        <v>267</v>
      </c>
      <c r="C51" s="2" t="s">
        <v>341</v>
      </c>
      <c r="D51" s="2" t="s">
        <v>345</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272</v>
      </c>
      <c r="L51" s="119" t="s">
        <v>331</v>
      </c>
      <c r="M51" s="276">
        <v>46130</v>
      </c>
      <c r="N51" s="276" t="s">
        <v>292</v>
      </c>
      <c r="O51" s="277"/>
      <c r="P51" s="2" t="s">
        <v>51</v>
      </c>
      <c r="Q51" s="2" t="s">
        <v>335</v>
      </c>
      <c r="V51" s="274">
        <v>94</v>
      </c>
      <c r="X51" s="278">
        <v>3218808.59</v>
      </c>
      <c r="Y51" s="278">
        <v>1072936</v>
      </c>
      <c r="Z51" s="2" t="s">
        <v>319</v>
      </c>
      <c r="AA51" s="2" t="str">
        <f t="shared" si="0"/>
        <v>2027</v>
      </c>
      <c r="AB51" s="276"/>
      <c r="AC51" s="276"/>
      <c r="AD51" s="275" t="s">
        <v>149</v>
      </c>
      <c r="AE51" s="281"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6"/>
      <c r="AJ51" s="276"/>
      <c r="AK51" s="2" t="s">
        <v>56</v>
      </c>
      <c r="AL51" s="276"/>
      <c r="AM51" s="276">
        <v>45948</v>
      </c>
      <c r="AN51" s="2" t="s">
        <v>322</v>
      </c>
      <c r="AO51" s="276"/>
      <c r="AP51" s="276"/>
      <c r="AQ51" s="2" t="s">
        <v>322</v>
      </c>
      <c r="AR51" s="276"/>
      <c r="AS51" s="276"/>
      <c r="AT51" s="2" t="s">
        <v>72</v>
      </c>
      <c r="AU51" s="276"/>
      <c r="AV51" s="276"/>
      <c r="AW51" s="2" t="s">
        <v>304</v>
      </c>
      <c r="AX51" s="276"/>
      <c r="AY51" s="276"/>
      <c r="AZ51" s="2" t="s">
        <v>342</v>
      </c>
      <c r="BA51" s="276"/>
      <c r="BB51" s="276"/>
      <c r="BC51" s="2" t="str">
        <f t="shared" si="15"/>
        <v>Complete</v>
      </c>
      <c r="BE51" s="119" t="str">
        <f t="shared" si="16"/>
        <v>NPI: In progress: Drawing, Electrical; Pending approval: Marble, Metal, Mirror; Fabric is com pending for SW TBC</v>
      </c>
    </row>
    <row r="52" spans="1:57" ht="28.8">
      <c r="A52" s="2" t="str">
        <f>IFERROR(VLOOKUP(E52,'Customer '!$A$4:$D$23,3,FALSE),"")</f>
        <v>NON RH</v>
      </c>
      <c r="B52" s="2" t="s">
        <v>267</v>
      </c>
      <c r="C52" s="2" t="s">
        <v>341</v>
      </c>
      <c r="D52" s="2" t="s">
        <v>345</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272</v>
      </c>
      <c r="L52" s="119" t="s">
        <v>331</v>
      </c>
      <c r="M52" s="276">
        <v>46130</v>
      </c>
      <c r="N52" s="276" t="s">
        <v>292</v>
      </c>
      <c r="O52" s="277"/>
      <c r="P52" s="2" t="s">
        <v>51</v>
      </c>
      <c r="Q52" s="2" t="s">
        <v>335</v>
      </c>
      <c r="V52" s="274">
        <v>94</v>
      </c>
      <c r="X52" s="278">
        <v>3218808.59</v>
      </c>
      <c r="Y52" s="278">
        <v>500000</v>
      </c>
      <c r="Z52" s="2" t="s">
        <v>346</v>
      </c>
      <c r="AA52" s="2" t="str">
        <f t="shared" si="0"/>
        <v>2027</v>
      </c>
      <c r="AB52" s="276"/>
      <c r="AC52" s="276"/>
      <c r="AD52" s="275" t="s">
        <v>149</v>
      </c>
      <c r="AE52" s="276"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6"/>
      <c r="AJ52" s="276"/>
      <c r="AK52" s="2" t="s">
        <v>56</v>
      </c>
      <c r="AL52" s="276"/>
      <c r="AM52" s="276">
        <v>45948</v>
      </c>
      <c r="AN52" s="2" t="s">
        <v>322</v>
      </c>
      <c r="AO52" s="276"/>
      <c r="AP52" s="276"/>
      <c r="AQ52" s="2" t="s">
        <v>322</v>
      </c>
      <c r="AR52" s="276"/>
      <c r="AS52" s="276"/>
      <c r="AT52" s="2" t="s">
        <v>72</v>
      </c>
      <c r="AU52" s="276"/>
      <c r="AV52" s="276"/>
      <c r="AW52" s="2" t="s">
        <v>304</v>
      </c>
      <c r="AX52" s="276"/>
      <c r="AY52" s="276"/>
      <c r="AZ52" s="2" t="s">
        <v>342</v>
      </c>
      <c r="BA52" s="276"/>
      <c r="BB52" s="276"/>
      <c r="BC52" s="2" t="str">
        <f t="shared" si="15"/>
        <v>Complete</v>
      </c>
      <c r="BE52" s="119" t="str">
        <f t="shared" si="16"/>
        <v>NPI: In progress: Drawing, Electrical; Pending approval: Marble, Metal, Mirror; Fabric is com pending for SW TBC</v>
      </c>
    </row>
    <row r="53" spans="1:57" ht="28.8">
      <c r="A53" s="2" t="str">
        <f>IFERROR(VLOOKUP(E53,'Customer '!$A$4:$D$23,3,FALSE),"")</f>
        <v>NON RH</v>
      </c>
      <c r="B53" s="2" t="s">
        <v>267</v>
      </c>
      <c r="C53" s="2" t="s">
        <v>341</v>
      </c>
      <c r="D53" s="2" t="s">
        <v>345</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272</v>
      </c>
      <c r="L53" s="119" t="s">
        <v>331</v>
      </c>
      <c r="M53" s="276">
        <v>46130</v>
      </c>
      <c r="N53" s="276" t="s">
        <v>292</v>
      </c>
      <c r="O53" s="277"/>
      <c r="P53" s="2" t="s">
        <v>51</v>
      </c>
      <c r="Q53" s="2" t="s">
        <v>335</v>
      </c>
      <c r="V53" s="274">
        <v>94</v>
      </c>
      <c r="X53" s="278">
        <v>3218808.59</v>
      </c>
      <c r="Y53" s="278">
        <v>1072936</v>
      </c>
      <c r="Z53" s="2" t="s">
        <v>347</v>
      </c>
      <c r="AA53" s="2" t="str">
        <f t="shared" ref="AA53" si="18">IF(Z53="","",IF(OR(Z53="TBC",Z53="Removed"),Z53,LEFT(Z53,4)))</f>
        <v>2027</v>
      </c>
      <c r="AB53" s="276"/>
      <c r="AC53" s="276"/>
      <c r="AD53" s="275" t="s">
        <v>149</v>
      </c>
      <c r="AE53" s="276"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6"/>
      <c r="AJ53" s="276"/>
      <c r="AK53" s="2" t="s">
        <v>56</v>
      </c>
      <c r="AL53" s="276"/>
      <c r="AM53" s="276">
        <v>45948</v>
      </c>
      <c r="AN53" s="2" t="s">
        <v>322</v>
      </c>
      <c r="AO53" s="276"/>
      <c r="AP53" s="276"/>
      <c r="AQ53" s="2" t="s">
        <v>322</v>
      </c>
      <c r="AR53" s="276"/>
      <c r="AS53" s="276"/>
      <c r="AT53" s="2" t="s">
        <v>72</v>
      </c>
      <c r="AU53" s="276"/>
      <c r="AV53" s="276"/>
      <c r="AW53" s="2" t="s">
        <v>304</v>
      </c>
      <c r="AX53" s="276"/>
      <c r="AY53" s="276"/>
      <c r="AZ53" s="2" t="s">
        <v>342</v>
      </c>
      <c r="BA53" s="276"/>
      <c r="BB53" s="276"/>
      <c r="BC53" s="2" t="str">
        <f t="shared" si="15"/>
        <v>Complete</v>
      </c>
      <c r="BE53" s="119" t="str">
        <f t="shared" si="16"/>
        <v>NPI: In progress: Drawing, Electrical; Pending approval: Marble, Metal, Mirror; Fabric is com pending for SW TBC</v>
      </c>
    </row>
    <row r="54" spans="1:57" ht="28.8">
      <c r="A54" s="2" t="str">
        <f>IFERROR(VLOOKUP(E54,'Customer '!$A$4:$D$23,3,FALSE),"")</f>
        <v>NON RH</v>
      </c>
      <c r="B54" s="2" t="s">
        <v>267</v>
      </c>
      <c r="C54" s="2" t="s">
        <v>341</v>
      </c>
      <c r="D54" s="2" t="s">
        <v>345</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272</v>
      </c>
      <c r="L54" s="119" t="s">
        <v>331</v>
      </c>
      <c r="M54" s="276">
        <v>46130</v>
      </c>
      <c r="N54" s="276" t="s">
        <v>292</v>
      </c>
      <c r="O54" s="277"/>
      <c r="P54" s="2" t="s">
        <v>51</v>
      </c>
      <c r="Q54" s="2" t="s">
        <v>335</v>
      </c>
      <c r="V54" s="274">
        <v>94</v>
      </c>
      <c r="X54" s="278">
        <v>3218808.59</v>
      </c>
      <c r="Y54" s="278">
        <v>572936</v>
      </c>
      <c r="Z54" s="2" t="s">
        <v>337</v>
      </c>
      <c r="AA54" s="2" t="str">
        <f t="shared" si="0"/>
        <v>2027</v>
      </c>
      <c r="AB54" s="276"/>
      <c r="AC54" s="276"/>
      <c r="AD54" s="275" t="s">
        <v>149</v>
      </c>
      <c r="AE54" s="276"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6"/>
      <c r="AJ54" s="276"/>
      <c r="AK54" s="2" t="s">
        <v>56</v>
      </c>
      <c r="AL54" s="276"/>
      <c r="AM54" s="276">
        <v>45948</v>
      </c>
      <c r="AN54" s="2" t="s">
        <v>322</v>
      </c>
      <c r="AO54" s="276"/>
      <c r="AP54" s="276"/>
      <c r="AQ54" s="2" t="s">
        <v>322</v>
      </c>
      <c r="AR54" s="276"/>
      <c r="AS54" s="276"/>
      <c r="AT54" s="2" t="s">
        <v>72</v>
      </c>
      <c r="AU54" s="276"/>
      <c r="AV54" s="276"/>
      <c r="AW54" s="2" t="s">
        <v>304</v>
      </c>
      <c r="AX54" s="276"/>
      <c r="AY54" s="276"/>
      <c r="AZ54" s="2" t="s">
        <v>342</v>
      </c>
      <c r="BA54" s="276"/>
      <c r="BB54" s="276"/>
      <c r="BC54" s="2" t="str">
        <f t="shared" si="15"/>
        <v>Complete</v>
      </c>
      <c r="BE54" s="119" t="str">
        <f t="shared" si="16"/>
        <v>NPI: In progress: Drawing, Electrical; Pending approval: Marble, Metal, Mirror; Fabric is com pending for SW TBC</v>
      </c>
    </row>
    <row r="55" spans="1:57">
      <c r="A55" s="2" t="str">
        <f>IFERROR(VLOOKUP(E55,'Customer '!$A$4:$D$23,3,FALSE),"")</f>
        <v>NON RH</v>
      </c>
      <c r="B55" s="2" t="s">
        <v>267</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271</v>
      </c>
      <c r="K55" s="2" t="s">
        <v>291</v>
      </c>
      <c r="L55" s="119" t="s">
        <v>273</v>
      </c>
      <c r="M55" s="276">
        <v>45995</v>
      </c>
      <c r="N55" s="276">
        <v>46024</v>
      </c>
      <c r="O55" s="277"/>
      <c r="P55" s="2" t="s">
        <v>51</v>
      </c>
      <c r="Q55" s="2" t="s">
        <v>348</v>
      </c>
      <c r="V55" s="274">
        <v>7</v>
      </c>
      <c r="X55" s="278">
        <v>7015.5</v>
      </c>
      <c r="Y55" s="278">
        <v>7015.5</v>
      </c>
      <c r="Z55" s="2" t="s">
        <v>294</v>
      </c>
      <c r="AA55" s="2" t="str">
        <f t="shared" si="0"/>
        <v>2026</v>
      </c>
      <c r="AB55" s="276" t="s">
        <v>349</v>
      </c>
      <c r="AC55" s="276"/>
      <c r="AD55" s="275">
        <v>46116</v>
      </c>
      <c r="AE55" s="276">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6"/>
      <c r="AJ55" s="276"/>
      <c r="AK55" s="2" t="s">
        <v>56</v>
      </c>
      <c r="AL55" s="276"/>
      <c r="AM55" s="276"/>
      <c r="AO55" s="276"/>
      <c r="AP55" s="276"/>
      <c r="AR55" s="276"/>
      <c r="AS55" s="276"/>
      <c r="AU55" s="276"/>
      <c r="AV55" s="276"/>
      <c r="AX55" s="276"/>
      <c r="AY55" s="276"/>
      <c r="BA55" s="276"/>
      <c r="BB55" s="276"/>
      <c r="BC55" s="2" t="str">
        <f t="shared" si="15"/>
        <v>Complete</v>
      </c>
      <c r="BE55" s="119" t="str">
        <f t="shared" si="16"/>
        <v>READY</v>
      </c>
    </row>
    <row r="56" spans="1:57">
      <c r="A56" s="2" t="str">
        <f>IFERROR(VLOOKUP(E56,'Customer '!$A$4:$D$23,3,FALSE),"")</f>
        <v>NON RH</v>
      </c>
      <c r="B56" s="2" t="s">
        <v>267</v>
      </c>
      <c r="C56" s="2" t="s">
        <v>350</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119" t="s">
        <v>273</v>
      </c>
      <c r="M56" s="276">
        <v>46031</v>
      </c>
      <c r="N56" s="276">
        <v>46031</v>
      </c>
      <c r="O56" s="277"/>
      <c r="P56" s="2" t="s">
        <v>51</v>
      </c>
      <c r="Q56" s="2" t="s">
        <v>329</v>
      </c>
      <c r="V56" s="274">
        <v>1</v>
      </c>
      <c r="X56" s="278">
        <v>3167.51</v>
      </c>
      <c r="Y56" s="278">
        <v>3167.51</v>
      </c>
      <c r="Z56" s="2" t="s">
        <v>276</v>
      </c>
      <c r="AA56" s="2" t="str">
        <f t="shared" si="0"/>
        <v>2026</v>
      </c>
      <c r="AB56" s="276">
        <v>46152</v>
      </c>
      <c r="AC56" s="276"/>
      <c r="AD56" s="275">
        <v>46116</v>
      </c>
      <c r="AE56" s="276">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6"/>
      <c r="AJ56" s="276"/>
      <c r="AK56" s="2" t="s">
        <v>56</v>
      </c>
      <c r="AL56" s="276"/>
      <c r="AM56" s="276"/>
      <c r="AN56" s="2" t="s">
        <v>73</v>
      </c>
      <c r="AO56" s="276"/>
      <c r="AP56" s="276"/>
      <c r="AQ56" s="2" t="s">
        <v>56</v>
      </c>
      <c r="AR56" s="276"/>
      <c r="AS56" s="276"/>
      <c r="AT56" s="2" t="s">
        <v>73</v>
      </c>
      <c r="AU56" s="276"/>
      <c r="AV56" s="276"/>
      <c r="AW56" s="2" t="s">
        <v>56</v>
      </c>
      <c r="AX56" s="276"/>
      <c r="AY56" s="276"/>
      <c r="AZ56" s="2" t="s">
        <v>57</v>
      </c>
      <c r="BA56" s="276"/>
      <c r="BB56" s="276"/>
      <c r="BC56" s="2" t="str">
        <f t="shared" si="15"/>
        <v>Complete</v>
      </c>
      <c r="BE56" s="119" t="str">
        <f t="shared" si="16"/>
        <v>NPI: Fabric is com for SW14</v>
      </c>
    </row>
    <row r="57" spans="1:57">
      <c r="A57" s="2" t="str">
        <f>IFERROR(VLOOKUP(E57,'Customer '!$A$4:$D$23,3,FALSE),"")</f>
        <v>NON RH</v>
      </c>
      <c r="B57" s="2" t="s">
        <v>267</v>
      </c>
      <c r="C57" s="2" t="s">
        <v>328</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271</v>
      </c>
      <c r="K57" s="2" t="s">
        <v>272</v>
      </c>
      <c r="L57" s="119" t="s">
        <v>273</v>
      </c>
      <c r="M57" s="276">
        <v>45748</v>
      </c>
      <c r="N57" s="276">
        <v>46113</v>
      </c>
      <c r="O57" s="277"/>
      <c r="P57" s="2" t="s">
        <v>51</v>
      </c>
      <c r="Q57" s="2" t="s">
        <v>351</v>
      </c>
      <c r="V57" s="274">
        <v>30</v>
      </c>
      <c r="X57" s="278">
        <v>103174.91</v>
      </c>
      <c r="Y57" s="278">
        <v>22782.880000000001</v>
      </c>
      <c r="Z57" s="2" t="s">
        <v>325</v>
      </c>
      <c r="AA57" s="2" t="str">
        <f t="shared" si="0"/>
        <v>2026</v>
      </c>
      <c r="AB57" s="276">
        <v>45891</v>
      </c>
      <c r="AC57" s="276">
        <v>46108</v>
      </c>
      <c r="AD57" s="275">
        <v>46116</v>
      </c>
      <c r="AE57" s="275">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6"/>
      <c r="AJ57" s="276">
        <v>45813</v>
      </c>
      <c r="AK57" s="2" t="s">
        <v>56</v>
      </c>
      <c r="AL57" s="276"/>
      <c r="AM57" s="276"/>
      <c r="AN57" s="2" t="s">
        <v>56</v>
      </c>
      <c r="AO57" s="276"/>
      <c r="AP57" s="276"/>
      <c r="AQ57" s="2" t="s">
        <v>56</v>
      </c>
      <c r="AR57" s="276"/>
      <c r="AS57" s="276"/>
      <c r="AT57" s="2" t="s">
        <v>56</v>
      </c>
      <c r="AU57" s="276"/>
      <c r="AV57" s="276"/>
      <c r="AW57" s="2" t="s">
        <v>56</v>
      </c>
      <c r="AX57" s="276"/>
      <c r="AY57" s="276"/>
      <c r="AZ57" s="2" t="s">
        <v>57</v>
      </c>
      <c r="BA57" s="276"/>
      <c r="BB57" s="276"/>
      <c r="BC57" s="2" t="str">
        <f t="shared" si="15"/>
        <v>Complete</v>
      </c>
      <c r="BE57" s="119" t="str">
        <f t="shared" si="16"/>
        <v>READY</v>
      </c>
    </row>
    <row r="58" spans="1:57">
      <c r="A58" s="2" t="str">
        <f>IFERROR(VLOOKUP(E58,'Customer '!$A$4:$D$23,3,FALSE),"")</f>
        <v>NON RH</v>
      </c>
      <c r="B58" s="2" t="s">
        <v>267</v>
      </c>
      <c r="C58" s="2" t="s">
        <v>328</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271</v>
      </c>
      <c r="K58" s="2" t="s">
        <v>272</v>
      </c>
      <c r="L58" s="119" t="s">
        <v>273</v>
      </c>
      <c r="M58" s="276">
        <v>45748</v>
      </c>
      <c r="N58" s="276">
        <v>46113</v>
      </c>
      <c r="O58" s="277"/>
      <c r="P58" s="2" t="s">
        <v>51</v>
      </c>
      <c r="Q58" s="2" t="s">
        <v>351</v>
      </c>
      <c r="V58" s="274">
        <v>30</v>
      </c>
      <c r="X58" s="278">
        <v>103174.91</v>
      </c>
      <c r="Y58" s="278">
        <v>45565.760000000002</v>
      </c>
      <c r="Z58" s="2" t="s">
        <v>294</v>
      </c>
      <c r="AA58" s="2" t="str">
        <f t="shared" si="0"/>
        <v>2026</v>
      </c>
      <c r="AB58" s="276">
        <v>45891</v>
      </c>
      <c r="AC58" s="276">
        <v>46108</v>
      </c>
      <c r="AD58" s="275">
        <v>46116</v>
      </c>
      <c r="AE58" s="275">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6"/>
      <c r="AJ58" s="276">
        <v>45813</v>
      </c>
      <c r="AK58" s="2" t="s">
        <v>56</v>
      </c>
      <c r="AL58" s="276"/>
      <c r="AM58" s="276"/>
      <c r="AN58" s="2" t="s">
        <v>56</v>
      </c>
      <c r="AO58" s="276"/>
      <c r="AP58" s="276"/>
      <c r="AQ58" s="2" t="s">
        <v>56</v>
      </c>
      <c r="AR58" s="276"/>
      <c r="AS58" s="276"/>
      <c r="AT58" s="2" t="s">
        <v>56</v>
      </c>
      <c r="AU58" s="276"/>
      <c r="AV58" s="276"/>
      <c r="AW58" s="2" t="s">
        <v>56</v>
      </c>
      <c r="AX58" s="276"/>
      <c r="AY58" s="276"/>
      <c r="AZ58" s="2" t="s">
        <v>57</v>
      </c>
      <c r="BA58" s="276"/>
      <c r="BB58" s="276"/>
      <c r="BC58" s="2" t="str">
        <f t="shared" si="15"/>
        <v>Complete</v>
      </c>
      <c r="BE58" s="119" t="str">
        <f t="shared" si="16"/>
        <v>READY</v>
      </c>
    </row>
    <row r="59" spans="1:57">
      <c r="A59" s="2" t="str">
        <f>IFERROR(VLOOKUP(E59,'Customer '!$A$4:$D$23,3,FALSE),"")</f>
        <v>NON RH</v>
      </c>
      <c r="B59" s="2" t="s">
        <v>267</v>
      </c>
      <c r="C59" s="2" t="s">
        <v>328</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271</v>
      </c>
      <c r="K59" s="2" t="s">
        <v>272</v>
      </c>
      <c r="L59" s="119" t="s">
        <v>273</v>
      </c>
      <c r="M59" s="276">
        <v>45748</v>
      </c>
      <c r="N59" s="276">
        <v>46113</v>
      </c>
      <c r="O59" s="277"/>
      <c r="P59" s="2" t="s">
        <v>51</v>
      </c>
      <c r="Q59" s="2" t="s">
        <v>351</v>
      </c>
      <c r="V59" s="274">
        <v>30</v>
      </c>
      <c r="X59" s="278">
        <v>103174.91</v>
      </c>
      <c r="Y59" s="278">
        <v>22783</v>
      </c>
      <c r="Z59" s="2" t="s">
        <v>294</v>
      </c>
      <c r="AA59" s="2" t="str">
        <f t="shared" si="0"/>
        <v>2026</v>
      </c>
      <c r="AB59" s="276">
        <v>45891</v>
      </c>
      <c r="AC59" s="276">
        <v>46108</v>
      </c>
      <c r="AD59" s="275">
        <v>46116</v>
      </c>
      <c r="AE59" s="275">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6"/>
      <c r="AJ59" s="276">
        <v>45813</v>
      </c>
      <c r="AK59" s="2" t="s">
        <v>56</v>
      </c>
      <c r="AL59" s="276"/>
      <c r="AM59" s="276"/>
      <c r="AN59" s="2" t="s">
        <v>56</v>
      </c>
      <c r="AO59" s="276"/>
      <c r="AP59" s="276"/>
      <c r="AQ59" s="2" t="s">
        <v>56</v>
      </c>
      <c r="AR59" s="276"/>
      <c r="AS59" s="276"/>
      <c r="AT59" s="2" t="s">
        <v>56</v>
      </c>
      <c r="AU59" s="276"/>
      <c r="AV59" s="276"/>
      <c r="AW59" s="2" t="s">
        <v>56</v>
      </c>
      <c r="AX59" s="276"/>
      <c r="AY59" s="276"/>
      <c r="AZ59" s="2" t="s">
        <v>57</v>
      </c>
      <c r="BA59" s="276"/>
      <c r="BB59" s="276"/>
      <c r="BC59" s="2" t="str">
        <f t="shared" si="15"/>
        <v>Complete</v>
      </c>
      <c r="BE59" s="119" t="str">
        <f t="shared" si="16"/>
        <v>READY</v>
      </c>
    </row>
    <row r="60" spans="1:57">
      <c r="A60" s="2" t="str">
        <f>IFERROR(VLOOKUP(E60,'Customer '!$A$4:$D$23,3,FALSE),"")</f>
        <v>NON RH</v>
      </c>
      <c r="B60" s="2" t="s">
        <v>267</v>
      </c>
      <c r="C60" s="2" t="s">
        <v>352</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271</v>
      </c>
      <c r="K60" s="2" t="s">
        <v>272</v>
      </c>
      <c r="L60" s="119" t="s">
        <v>273</v>
      </c>
      <c r="M60" s="276">
        <v>45748</v>
      </c>
      <c r="N60" s="276">
        <v>46113</v>
      </c>
      <c r="O60" s="277"/>
      <c r="P60" s="2" t="s">
        <v>51</v>
      </c>
      <c r="Q60" s="2" t="s">
        <v>351</v>
      </c>
      <c r="R60" s="2">
        <v>0</v>
      </c>
      <c r="S60" s="2">
        <v>0</v>
      </c>
      <c r="V60" s="274">
        <v>30</v>
      </c>
      <c r="X60" s="278">
        <v>103174.91</v>
      </c>
      <c r="Y60" s="278">
        <v>96242</v>
      </c>
      <c r="Z60" s="2" t="s">
        <v>297</v>
      </c>
      <c r="AA60" s="2" t="str">
        <f t="shared" si="0"/>
        <v>2026</v>
      </c>
      <c r="AB60" s="276">
        <v>45891</v>
      </c>
      <c r="AC60" s="276">
        <v>46255</v>
      </c>
      <c r="AD60" s="275">
        <v>46290</v>
      </c>
      <c r="AE60" s="275">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6"/>
      <c r="AJ60" s="276">
        <v>45813</v>
      </c>
      <c r="AK60" s="2" t="s">
        <v>56</v>
      </c>
      <c r="AL60" s="276"/>
      <c r="AM60" s="276"/>
      <c r="AN60" s="2" t="s">
        <v>56</v>
      </c>
      <c r="AO60" s="276"/>
      <c r="AP60" s="276"/>
      <c r="AQ60" s="2" t="s">
        <v>56</v>
      </c>
      <c r="AR60" s="276"/>
      <c r="AS60" s="276"/>
      <c r="AT60" s="2" t="s">
        <v>56</v>
      </c>
      <c r="AU60" s="276"/>
      <c r="AV60" s="276"/>
      <c r="AW60" s="2" t="s">
        <v>56</v>
      </c>
      <c r="AX60" s="276"/>
      <c r="AY60" s="276"/>
      <c r="AZ60" s="2" t="s">
        <v>57</v>
      </c>
      <c r="BA60" s="276"/>
      <c r="BB60" s="276" t="s">
        <v>342</v>
      </c>
      <c r="BC60" s="2" t="str">
        <f t="shared" si="15"/>
        <v>Complete</v>
      </c>
      <c r="BE60" s="119" t="str">
        <f t="shared" si="16"/>
        <v>READY</v>
      </c>
    </row>
    <row r="61" spans="1:57">
      <c r="A61" s="2" t="str">
        <f>IFERROR(VLOOKUP(E61,'Customer '!$A$4:$D$23,3,FALSE),"")</f>
        <v>NON RH</v>
      </c>
      <c r="B61" s="2" t="s">
        <v>267</v>
      </c>
      <c r="C61" s="2" t="s">
        <v>352</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271</v>
      </c>
      <c r="K61" s="2" t="s">
        <v>291</v>
      </c>
      <c r="L61" s="119" t="s">
        <v>311</v>
      </c>
      <c r="M61" s="276">
        <v>46100</v>
      </c>
      <c r="N61" s="276">
        <v>46053</v>
      </c>
      <c r="O61" s="277"/>
      <c r="P61" s="2" t="s">
        <v>51</v>
      </c>
      <c r="Q61" s="2" t="s">
        <v>351</v>
      </c>
      <c r="R61" s="2">
        <v>29</v>
      </c>
      <c r="S61" s="2">
        <v>48</v>
      </c>
      <c r="V61" s="274">
        <v>50</v>
      </c>
      <c r="X61" s="278">
        <v>388861</v>
      </c>
      <c r="Y61" s="278">
        <v>98457.81</v>
      </c>
      <c r="Z61" s="2" t="s">
        <v>303</v>
      </c>
      <c r="AA61" s="2" t="str">
        <f t="shared" si="0"/>
        <v>2026</v>
      </c>
      <c r="AB61" s="276">
        <v>46157</v>
      </c>
      <c r="AC61" s="276">
        <v>46339</v>
      </c>
      <c r="AD61" s="275">
        <v>46290</v>
      </c>
      <c r="AE61" s="275">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6"/>
      <c r="AJ61" s="276">
        <v>45933</v>
      </c>
      <c r="AK61" s="2" t="s">
        <v>56</v>
      </c>
      <c r="AL61" s="276"/>
      <c r="AM61" s="276"/>
      <c r="AN61" s="2" t="s">
        <v>56</v>
      </c>
      <c r="AO61" s="276"/>
      <c r="AP61" s="276"/>
      <c r="AQ61" s="2" t="s">
        <v>56</v>
      </c>
      <c r="AR61" s="276"/>
      <c r="AS61" s="276"/>
      <c r="AT61" s="2" t="s">
        <v>56</v>
      </c>
      <c r="AU61" s="276"/>
      <c r="AV61" s="276"/>
      <c r="AW61" s="2" t="s">
        <v>73</v>
      </c>
      <c r="AX61" s="276"/>
      <c r="AY61" s="276"/>
      <c r="AZ61" s="2" t="s">
        <v>57</v>
      </c>
      <c r="BA61" s="276"/>
      <c r="BB61" s="276" t="s">
        <v>342</v>
      </c>
      <c r="BC61" s="2" t="str">
        <f t="shared" si="15"/>
        <v>Complete</v>
      </c>
      <c r="BE61" s="119" t="str">
        <f t="shared" si="16"/>
        <v>READY</v>
      </c>
    </row>
    <row r="62" spans="1:57">
      <c r="A62" s="2" t="str">
        <f>IFERROR(VLOOKUP(E62,'Customer '!$A$4:$D$23,3,FALSE),"")</f>
        <v>NON RH</v>
      </c>
      <c r="B62" s="2" t="s">
        <v>267</v>
      </c>
      <c r="C62" s="2" t="s">
        <v>352</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310</v>
      </c>
      <c r="K62" s="2" t="s">
        <v>291</v>
      </c>
      <c r="L62" s="119" t="s">
        <v>311</v>
      </c>
      <c r="M62" s="276">
        <v>46001</v>
      </c>
      <c r="N62" s="276">
        <v>46053</v>
      </c>
      <c r="O62" s="277"/>
      <c r="P62" s="2" t="s">
        <v>51</v>
      </c>
      <c r="Q62" s="2" t="s">
        <v>351</v>
      </c>
      <c r="R62" s="2">
        <v>29</v>
      </c>
      <c r="S62" s="2">
        <v>48</v>
      </c>
      <c r="V62" s="274">
        <v>50</v>
      </c>
      <c r="X62" s="278">
        <v>388861</v>
      </c>
      <c r="Y62" s="278">
        <v>92796.049999999988</v>
      </c>
      <c r="Z62" s="2" t="s">
        <v>312</v>
      </c>
      <c r="AA62" s="2" t="str">
        <f t="shared" si="0"/>
        <v>2026</v>
      </c>
      <c r="AB62" s="276">
        <v>46157</v>
      </c>
      <c r="AC62" s="276">
        <v>46339</v>
      </c>
      <c r="AD62" s="275">
        <v>46290</v>
      </c>
      <c r="AE62" s="275">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6"/>
      <c r="AJ62" s="276">
        <v>45933</v>
      </c>
      <c r="AK62" s="2" t="s">
        <v>56</v>
      </c>
      <c r="AL62" s="276"/>
      <c r="AM62" s="276"/>
      <c r="AN62" s="2" t="s">
        <v>56</v>
      </c>
      <c r="AO62" s="276"/>
      <c r="AP62" s="276"/>
      <c r="AQ62" s="2" t="s">
        <v>56</v>
      </c>
      <c r="AR62" s="276"/>
      <c r="AS62" s="276"/>
      <c r="AT62" s="2" t="s">
        <v>56</v>
      </c>
      <c r="AU62" s="276"/>
      <c r="AV62" s="276"/>
      <c r="AW62" s="2" t="s">
        <v>73</v>
      </c>
      <c r="AX62" s="276"/>
      <c r="AY62" s="276"/>
      <c r="AZ62" s="2" t="s">
        <v>57</v>
      </c>
      <c r="BA62" s="276"/>
      <c r="BB62" s="276" t="s">
        <v>342</v>
      </c>
      <c r="BC62" s="2" t="str">
        <f t="shared" si="15"/>
        <v>Active</v>
      </c>
      <c r="BE62" s="119" t="str">
        <f t="shared" si="16"/>
        <v>NPI: Fabric is com for SW52</v>
      </c>
    </row>
    <row r="63" spans="1:57">
      <c r="A63" s="2" t="str">
        <f>IFERROR(VLOOKUP(E63,'Customer '!$A$4:$D$23,3,FALSE),"")</f>
        <v>NON RH</v>
      </c>
      <c r="B63" s="2" t="s">
        <v>267</v>
      </c>
      <c r="C63" s="2" t="s">
        <v>352</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310</v>
      </c>
      <c r="K63" s="2" t="s">
        <v>291</v>
      </c>
      <c r="L63" s="119" t="s">
        <v>311</v>
      </c>
      <c r="M63" s="276">
        <v>46001</v>
      </c>
      <c r="N63" s="276">
        <v>46053</v>
      </c>
      <c r="O63" s="277"/>
      <c r="P63" s="2" t="s">
        <v>51</v>
      </c>
      <c r="Q63" s="2" t="s">
        <v>351</v>
      </c>
      <c r="R63" s="2">
        <v>29</v>
      </c>
      <c r="S63" s="2">
        <v>48</v>
      </c>
      <c r="V63" s="274">
        <v>50</v>
      </c>
      <c r="X63" s="278">
        <v>388861</v>
      </c>
      <c r="Y63" s="278">
        <v>56180.32</v>
      </c>
      <c r="Z63" s="2" t="s">
        <v>312</v>
      </c>
      <c r="AA63" s="2" t="str">
        <f t="shared" ref="AA63" si="19">IF(Z63="","",IF(OR(Z63="TBC",Z63="Removed"),Z63,LEFT(Z63,4)))</f>
        <v>2026</v>
      </c>
      <c r="AB63" s="276">
        <v>46157</v>
      </c>
      <c r="AC63" s="276">
        <v>46339</v>
      </c>
      <c r="AD63" s="275">
        <v>46290</v>
      </c>
      <c r="AE63" s="275">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6"/>
      <c r="AJ63" s="276">
        <v>45933</v>
      </c>
      <c r="AK63" s="2" t="s">
        <v>56</v>
      </c>
      <c r="AL63" s="276"/>
      <c r="AM63" s="276"/>
      <c r="AN63" s="2" t="s">
        <v>56</v>
      </c>
      <c r="AO63" s="276"/>
      <c r="AP63" s="276"/>
      <c r="AQ63" s="2" t="s">
        <v>56</v>
      </c>
      <c r="AR63" s="276"/>
      <c r="AS63" s="276"/>
      <c r="AT63" s="2" t="s">
        <v>56</v>
      </c>
      <c r="AU63" s="276"/>
      <c r="AV63" s="276"/>
      <c r="AW63" s="2" t="s">
        <v>73</v>
      </c>
      <c r="AX63" s="276"/>
      <c r="AY63" s="276"/>
      <c r="AZ63" s="2" t="s">
        <v>57</v>
      </c>
      <c r="BA63" s="276"/>
      <c r="BB63" s="276" t="s">
        <v>342</v>
      </c>
      <c r="BC63" s="2" t="str">
        <f t="shared" si="15"/>
        <v>Active</v>
      </c>
      <c r="BE63" s="119" t="str">
        <f t="shared" si="16"/>
        <v>NPI: Fabric is com for SW52</v>
      </c>
    </row>
    <row r="64" spans="1:57">
      <c r="A64" s="2" t="str">
        <f>IFERROR(VLOOKUP(E64,'Customer '!$A$4:$D$23,3,FALSE),"")</f>
        <v>NON RH</v>
      </c>
      <c r="B64" s="2" t="s">
        <v>267</v>
      </c>
      <c r="C64" s="2" t="s">
        <v>352</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310</v>
      </c>
      <c r="K64" s="2" t="s">
        <v>291</v>
      </c>
      <c r="L64" s="119" t="s">
        <v>311</v>
      </c>
      <c r="M64" s="276">
        <v>46001</v>
      </c>
      <c r="N64" s="276">
        <v>46053</v>
      </c>
      <c r="O64" s="277"/>
      <c r="P64" s="2" t="s">
        <v>51</v>
      </c>
      <c r="Q64" s="2" t="s">
        <v>351</v>
      </c>
      <c r="R64" s="2">
        <v>29</v>
      </c>
      <c r="S64" s="2">
        <v>48</v>
      </c>
      <c r="V64" s="274">
        <v>50</v>
      </c>
      <c r="X64" s="278">
        <v>388861</v>
      </c>
      <c r="Y64" s="278">
        <v>59908.57</v>
      </c>
      <c r="Z64" s="2" t="s">
        <v>333</v>
      </c>
      <c r="AA64" s="2" t="str">
        <f t="shared" si="0"/>
        <v>2026</v>
      </c>
      <c r="AB64" s="276">
        <v>46157</v>
      </c>
      <c r="AC64" s="276">
        <v>46339</v>
      </c>
      <c r="AD64" s="275">
        <v>46290</v>
      </c>
      <c r="AE64" s="275">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6"/>
      <c r="AJ64" s="276">
        <v>45933</v>
      </c>
      <c r="AK64" s="2" t="s">
        <v>56</v>
      </c>
      <c r="AL64" s="276"/>
      <c r="AM64" s="276"/>
      <c r="AN64" s="2" t="s">
        <v>56</v>
      </c>
      <c r="AO64" s="276"/>
      <c r="AP64" s="276"/>
      <c r="AQ64" s="2" t="s">
        <v>56</v>
      </c>
      <c r="AR64" s="276"/>
      <c r="AS64" s="276"/>
      <c r="AT64" s="2" t="s">
        <v>56</v>
      </c>
      <c r="AU64" s="276"/>
      <c r="AV64" s="276"/>
      <c r="AW64" s="2" t="s">
        <v>73</v>
      </c>
      <c r="AX64" s="276"/>
      <c r="AY64" s="276"/>
      <c r="AZ64" s="2" t="s">
        <v>57</v>
      </c>
      <c r="BA64" s="276"/>
      <c r="BB64" s="276" t="s">
        <v>342</v>
      </c>
      <c r="BC64" s="2" t="str">
        <f t="shared" si="15"/>
        <v>Active</v>
      </c>
      <c r="BE64" s="119" t="str">
        <f t="shared" si="16"/>
        <v>NPI: Fabric is com for SW52</v>
      </c>
    </row>
    <row r="65" spans="1:58">
      <c r="A65" s="2" t="str">
        <f>IFERROR(VLOOKUP(E65,'Customer '!$A$4:$D$23,3,FALSE),"")</f>
        <v>NON RH</v>
      </c>
      <c r="B65" s="2" t="s">
        <v>267</v>
      </c>
      <c r="C65" s="2" t="s">
        <v>352</v>
      </c>
      <c r="E65" s="2" t="s">
        <v>122</v>
      </c>
      <c r="F65" s="2" t="str">
        <f>IFERROR(VLOOKUP(E65,'Customer '!$A$4:$D$28,2,FALSE),"")</f>
        <v>KD</v>
      </c>
      <c r="G65" s="2" t="s">
        <v>353</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310</v>
      </c>
      <c r="K65" s="2" t="s">
        <v>272</v>
      </c>
      <c r="L65" s="119" t="s">
        <v>311</v>
      </c>
      <c r="M65" s="281">
        <v>46302</v>
      </c>
      <c r="N65" s="281">
        <v>46303</v>
      </c>
      <c r="O65" s="282"/>
      <c r="P65" s="2" t="s">
        <v>51</v>
      </c>
      <c r="Q65" s="2" t="s">
        <v>351</v>
      </c>
      <c r="T65" s="274"/>
      <c r="U65" s="274"/>
      <c r="V65" s="274">
        <v>3</v>
      </c>
      <c r="W65" s="274">
        <f>134*2</f>
        <v>268</v>
      </c>
      <c r="X65" s="278">
        <v>2680</v>
      </c>
      <c r="Y65" s="278">
        <v>2680</v>
      </c>
      <c r="Z65" s="2" t="s">
        <v>333</v>
      </c>
      <c r="AA65" s="2" t="str">
        <f>IF(Z65="","",IF(OR(Z65="TBC",Z65="Removed"),Z65,LEFT(Z65,4)))</f>
        <v>2026</v>
      </c>
      <c r="AB65" s="281"/>
      <c r="AC65" s="281"/>
      <c r="AD65" s="275">
        <v>46381</v>
      </c>
      <c r="AE65" s="276">
        <v>46381</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2026/W52</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2026/W52</v>
      </c>
      <c r="AH65" s="2" t="s">
        <v>56</v>
      </c>
      <c r="AI65" s="254"/>
      <c r="AJ65" s="281"/>
      <c r="AK65" s="2" t="s">
        <v>56</v>
      </c>
      <c r="AL65" s="254"/>
      <c r="AM65" s="281"/>
      <c r="AN65" s="2" t="s">
        <v>73</v>
      </c>
      <c r="AO65" s="254"/>
      <c r="AP65" s="281"/>
      <c r="AQ65" s="2" t="s">
        <v>73</v>
      </c>
      <c r="AR65" s="254"/>
      <c r="AS65" s="281"/>
      <c r="AT65" s="2" t="s">
        <v>73</v>
      </c>
      <c r="AU65" s="254"/>
      <c r="AV65" s="281"/>
      <c r="AW65" s="2" t="s">
        <v>73</v>
      </c>
      <c r="AX65" s="254"/>
      <c r="AY65" s="281"/>
      <c r="AZ65" s="2" t="s">
        <v>73</v>
      </c>
      <c r="BA65" s="254"/>
      <c r="BB65" s="281"/>
      <c r="BC65" s="2" t="str">
        <f t="shared" si="15"/>
        <v>Active</v>
      </c>
      <c r="BE65" s="119" t="str">
        <f t="shared" si="16"/>
        <v>NPI: All development items approved/closed for SW52</v>
      </c>
    </row>
    <row r="66" spans="1:58">
      <c r="A66" s="2" t="str">
        <f>IFERROR(VLOOKUP(E66,'Customer '!$A$4:$D$23,3,FALSE),"")</f>
        <v>NON RH</v>
      </c>
      <c r="B66" s="2" t="s">
        <v>267</v>
      </c>
      <c r="C66" s="2" t="s">
        <v>323</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2026-AHMADIAH-MARRIOTT KHOBAR</v>
      </c>
      <c r="I66" s="2">
        <f ca="1">IF(OR($H66="",$B66=""),0,--(COUNTIFS($H$3:$H66,$H66,$B$3:$B66,$B66)=1))</f>
        <v>1</v>
      </c>
      <c r="J66" s="2" t="s">
        <v>300</v>
      </c>
      <c r="K66" s="2" t="s">
        <v>272</v>
      </c>
      <c r="L66" s="119" t="s">
        <v>285</v>
      </c>
      <c r="M66" s="276"/>
      <c r="N66" s="276" t="s">
        <v>292</v>
      </c>
      <c r="O66" s="277"/>
      <c r="P66" s="2" t="s">
        <v>132</v>
      </c>
      <c r="Q66" s="2" t="s">
        <v>355</v>
      </c>
      <c r="V66" s="274">
        <v>35</v>
      </c>
      <c r="X66" s="278"/>
      <c r="Y66" s="278"/>
      <c r="AB66" s="276" t="s">
        <v>292</v>
      </c>
      <c r="AC66" s="276"/>
      <c r="AE66" s="276"/>
      <c r="AF66" s="2" t="str">
        <f>IF(AD66="","",IF(ISNUMBER(AD66),IF(AND(AD66&gt;='2026 Calendar'!$C$4,AD66&lt;='2026 Calendar'!$E$107),LOOKUP(AD66,'2026 Calendar'!$C$4:$C$107,'2026 Calendar'!$A$4:$A$107),YEAR(AD66-WEEKDAY(AD66,2)+4)&amp;"/W"&amp;TEXT(WEEKNUM(AD66,21),"00")),IF(IFERROR(ISNUMBER(SEARCH("/W",AD66)),FALSE),IF(IFERROR(ISNUMBER(SEARCH("-",AD66)),FALSE),LEFT(AD66,SEARCH("-",AD66)-1),AD66),AD66)))</f>
        <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
      </c>
      <c r="AI66" s="276"/>
      <c r="AJ66" s="276"/>
      <c r="AL66" s="276"/>
      <c r="AM66" s="276"/>
      <c r="AO66" s="276"/>
      <c r="AP66" s="276"/>
      <c r="AR66" s="276"/>
      <c r="AS66" s="276"/>
      <c r="AU66" s="276"/>
      <c r="AV66" s="276"/>
      <c r="AX66" s="276"/>
      <c r="AY66" s="276"/>
      <c r="BA66" s="276"/>
      <c r="BB66" s="276"/>
      <c r="BC66" s="2" t="str">
        <f t="shared" si="15"/>
        <v>Complete</v>
      </c>
      <c r="BE66" s="119" t="str">
        <f t="shared" si="16"/>
        <v>NPI: All development items approved/closed</v>
      </c>
    </row>
    <row r="67" spans="1:58">
      <c r="A67" s="2" t="str">
        <f>IFERROR(VLOOKUP(E67,'Customer '!$A$4:$D$23,3,FALSE),"")</f>
        <v>KA</v>
      </c>
      <c r="B67" s="2" t="s">
        <v>267</v>
      </c>
      <c r="C67" s="2" t="s">
        <v>341</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271</v>
      </c>
      <c r="K67" s="2" t="s">
        <v>272</v>
      </c>
      <c r="L67" s="119" t="s">
        <v>273</v>
      </c>
      <c r="M67" s="276">
        <v>46079</v>
      </c>
      <c r="N67" s="276">
        <v>46066</v>
      </c>
      <c r="O67" s="277"/>
      <c r="P67" s="2" t="s">
        <v>51</v>
      </c>
      <c r="Q67" s="2" t="s">
        <v>356</v>
      </c>
      <c r="V67" s="274">
        <v>6</v>
      </c>
      <c r="X67" s="278">
        <v>48755</v>
      </c>
      <c r="Y67" s="278">
        <v>48755</v>
      </c>
      <c r="Z67" s="2" t="s">
        <v>279</v>
      </c>
      <c r="AA67" s="2" t="str">
        <f t="shared" si="0"/>
        <v>2026</v>
      </c>
      <c r="AB67" s="276">
        <v>46183</v>
      </c>
      <c r="AC67" s="276"/>
      <c r="AD67" s="275">
        <v>46116</v>
      </c>
      <c r="AE67" s="276">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6"/>
      <c r="AJ67" s="276"/>
      <c r="AK67" s="2" t="s">
        <v>56</v>
      </c>
      <c r="AL67" s="276"/>
      <c r="AM67" s="276"/>
      <c r="AN67" s="2" t="s">
        <v>73</v>
      </c>
      <c r="AO67" s="276"/>
      <c r="AP67" s="276"/>
      <c r="AQ67" s="2" t="s">
        <v>56</v>
      </c>
      <c r="AR67" s="276"/>
      <c r="AS67" s="276"/>
      <c r="AT67" s="2" t="s">
        <v>73</v>
      </c>
      <c r="AU67" s="276"/>
      <c r="AV67" s="276"/>
      <c r="AW67" s="2" t="s">
        <v>73</v>
      </c>
      <c r="AX67" s="276"/>
      <c r="AY67" s="276"/>
      <c r="AZ67" s="2" t="s">
        <v>73</v>
      </c>
      <c r="BA67" s="276"/>
      <c r="BB67" s="276"/>
      <c r="BC67" s="2" t="str">
        <f t="shared" ref="BC67:BC87" si="20">IF(J67="","",IF(OR(J67="OB",J67="NOR",J67="FC",J67="PIPELINE"),"Active","Complete"))</f>
        <v>Complete</v>
      </c>
      <c r="BE67" s="119" t="str">
        <f t="shared" ref="BE67:BE87" si="21">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c r="A68" s="2" t="str">
        <f>IFERROR(VLOOKUP(E68,'Customer '!$A$4:$D$23,3,FALSE),"")</f>
        <v>NON RH</v>
      </c>
      <c r="B68" s="2" t="s">
        <v>267</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271</v>
      </c>
      <c r="K68" s="2" t="s">
        <v>272</v>
      </c>
      <c r="L68" s="119" t="s">
        <v>273</v>
      </c>
      <c r="M68" s="276">
        <v>45905</v>
      </c>
      <c r="N68" s="276">
        <v>45913</v>
      </c>
      <c r="O68" s="277">
        <v>46000</v>
      </c>
      <c r="P68" s="2" t="s">
        <v>51</v>
      </c>
      <c r="Q68" s="2" t="s">
        <v>152</v>
      </c>
      <c r="V68" s="274">
        <v>28</v>
      </c>
      <c r="X68" s="278">
        <v>357775</v>
      </c>
      <c r="Y68" s="278">
        <v>178386</v>
      </c>
      <c r="Z68" s="2" t="s">
        <v>276</v>
      </c>
      <c r="AA68" s="2" t="str">
        <f t="shared" si="0"/>
        <v>2026</v>
      </c>
      <c r="AB68" s="276" t="s">
        <v>292</v>
      </c>
      <c r="AC68" s="276"/>
      <c r="AD68" s="275">
        <v>46116</v>
      </c>
      <c r="AE68" s="276">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6"/>
      <c r="AJ68" s="276"/>
      <c r="AK68" s="2" t="s">
        <v>56</v>
      </c>
      <c r="AL68" s="276"/>
      <c r="AM68" s="276"/>
      <c r="AN68" s="2" t="s">
        <v>56</v>
      </c>
      <c r="AO68" s="276"/>
      <c r="AP68" s="276"/>
      <c r="AQ68" s="2" t="s">
        <v>56</v>
      </c>
      <c r="AR68" s="276"/>
      <c r="AS68" s="276"/>
      <c r="AT68" s="2" t="s">
        <v>56</v>
      </c>
      <c r="AU68" s="276"/>
      <c r="AV68" s="276"/>
      <c r="AW68" s="2" t="s">
        <v>73</v>
      </c>
      <c r="AX68" s="276"/>
      <c r="AY68" s="276"/>
      <c r="AZ68" s="2" t="s">
        <v>304</v>
      </c>
      <c r="BA68" s="276"/>
      <c r="BB68" s="276"/>
      <c r="BC68" s="2" t="str">
        <f t="shared" si="20"/>
        <v>Complete</v>
      </c>
      <c r="BE68" s="119" t="str">
        <f t="shared" si="21"/>
        <v>READY</v>
      </c>
    </row>
    <row r="69" spans="1:58">
      <c r="A69" s="2" t="str">
        <f>IFERROR(VLOOKUP(E69,'Customer '!$A$4:$D$23,3,FALSE),"")</f>
        <v>NON RH</v>
      </c>
      <c r="B69" s="2" t="s">
        <v>267</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271</v>
      </c>
      <c r="K69" s="2" t="s">
        <v>272</v>
      </c>
      <c r="L69" s="119" t="s">
        <v>273</v>
      </c>
      <c r="M69" s="276">
        <v>45905</v>
      </c>
      <c r="N69" s="276">
        <v>45913</v>
      </c>
      <c r="O69" s="277">
        <v>46000</v>
      </c>
      <c r="P69" s="2" t="s">
        <v>51</v>
      </c>
      <c r="Q69" s="2" t="s">
        <v>152</v>
      </c>
      <c r="V69" s="274">
        <v>28</v>
      </c>
      <c r="X69" s="278">
        <v>357775</v>
      </c>
      <c r="Y69" s="278">
        <v>179389</v>
      </c>
      <c r="Z69" s="2" t="s">
        <v>279</v>
      </c>
      <c r="AA69" s="2" t="str">
        <f t="shared" si="0"/>
        <v>2026</v>
      </c>
      <c r="AB69" s="276" t="s">
        <v>292</v>
      </c>
      <c r="AC69" s="276"/>
      <c r="AD69" s="275">
        <v>46116</v>
      </c>
      <c r="AE69" s="276">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6"/>
      <c r="AJ69" s="276"/>
      <c r="AK69" s="2" t="s">
        <v>56</v>
      </c>
      <c r="AL69" s="276"/>
      <c r="AM69" s="276"/>
      <c r="AN69" s="2" t="s">
        <v>56</v>
      </c>
      <c r="AO69" s="276"/>
      <c r="AP69" s="276"/>
      <c r="AQ69" s="2" t="s">
        <v>56</v>
      </c>
      <c r="AR69" s="276"/>
      <c r="AS69" s="276"/>
      <c r="AT69" s="2" t="s">
        <v>56</v>
      </c>
      <c r="AU69" s="276"/>
      <c r="AV69" s="276"/>
      <c r="AW69" s="2" t="s">
        <v>73</v>
      </c>
      <c r="AX69" s="276"/>
      <c r="AY69" s="276"/>
      <c r="AZ69" s="2" t="s">
        <v>304</v>
      </c>
      <c r="BA69" s="276"/>
      <c r="BB69" s="276"/>
      <c r="BC69" s="2" t="str">
        <f t="shared" si="20"/>
        <v>Complete</v>
      </c>
      <c r="BE69" s="119" t="str">
        <f t="shared" si="21"/>
        <v>READY</v>
      </c>
    </row>
    <row r="70" spans="1:58">
      <c r="A70" s="2" t="str">
        <f>IFERROR(VLOOKUP(E70,'Customer '!$A$4:$D$23,3,FALSE),"")</f>
        <v>NON RH</v>
      </c>
      <c r="B70" s="2" t="s">
        <v>267</v>
      </c>
      <c r="C70" s="2" t="s">
        <v>308</v>
      </c>
      <c r="D70" s="2" t="s">
        <v>357</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271</v>
      </c>
      <c r="K70" s="2" t="s">
        <v>272</v>
      </c>
      <c r="L70" s="119" t="s">
        <v>311</v>
      </c>
      <c r="M70" s="276">
        <v>46144</v>
      </c>
      <c r="N70" s="276">
        <v>46144</v>
      </c>
      <c r="O70" s="277"/>
      <c r="P70" s="2" t="s">
        <v>51</v>
      </c>
      <c r="Q70" s="2" t="s">
        <v>152</v>
      </c>
      <c r="R70" s="2">
        <v>0</v>
      </c>
      <c r="S70" s="2">
        <v>0</v>
      </c>
      <c r="V70" s="274">
        <v>13</v>
      </c>
      <c r="X70" s="278">
        <v>100242</v>
      </c>
      <c r="Y70" s="278">
        <v>49464</v>
      </c>
      <c r="Z70" s="2" t="s">
        <v>303</v>
      </c>
      <c r="AA70" s="2" t="str">
        <f t="shared" si="0"/>
        <v>2026</v>
      </c>
      <c r="AB70" s="276" t="s">
        <v>292</v>
      </c>
      <c r="AC70" s="276"/>
      <c r="AD70" s="275">
        <v>46290</v>
      </c>
      <c r="AE70" s="276">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6"/>
      <c r="AJ70" s="276">
        <v>46191</v>
      </c>
      <c r="AK70" s="2" t="s">
        <v>56</v>
      </c>
      <c r="AL70" s="276"/>
      <c r="AM70" s="276"/>
      <c r="AN70" s="2" t="s">
        <v>56</v>
      </c>
      <c r="AO70" s="276"/>
      <c r="AP70" s="276"/>
      <c r="AQ70" s="2" t="s">
        <v>56</v>
      </c>
      <c r="AR70" s="276"/>
      <c r="AS70" s="276"/>
      <c r="AT70" s="2" t="s">
        <v>73</v>
      </c>
      <c r="AU70" s="276"/>
      <c r="AV70" s="276"/>
      <c r="AW70" s="2" t="s">
        <v>73</v>
      </c>
      <c r="AX70" s="276"/>
      <c r="AY70" s="276"/>
      <c r="AZ70" s="2" t="s">
        <v>56</v>
      </c>
      <c r="BA70" s="276"/>
      <c r="BB70" s="276"/>
      <c r="BC70" s="2" t="str">
        <f t="shared" si="20"/>
        <v>Complete</v>
      </c>
      <c r="BE70" s="119" t="str">
        <f t="shared" si="21"/>
        <v>READY</v>
      </c>
      <c r="BF70" s="2" t="s">
        <v>185</v>
      </c>
    </row>
    <row r="71" spans="1:58">
      <c r="A71" s="2" t="str">
        <f>IFERROR(VLOOKUP(E71,'Customer '!$A$4:$D$23,3,FALSE),"")</f>
        <v>NON RH</v>
      </c>
      <c r="B71" s="2" t="s">
        <v>267</v>
      </c>
      <c r="C71" s="2" t="s">
        <v>308</v>
      </c>
      <c r="D71" s="2" t="s">
        <v>357</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271</v>
      </c>
      <c r="K71" s="2" t="s">
        <v>272</v>
      </c>
      <c r="L71" s="119" t="s">
        <v>311</v>
      </c>
      <c r="M71" s="276">
        <v>46144</v>
      </c>
      <c r="N71" s="276">
        <v>46144</v>
      </c>
      <c r="O71" s="277"/>
      <c r="P71" s="2" t="s">
        <v>51</v>
      </c>
      <c r="Q71" s="2" t="s">
        <v>152</v>
      </c>
      <c r="R71" s="2">
        <v>0</v>
      </c>
      <c r="S71" s="2">
        <v>0</v>
      </c>
      <c r="V71" s="274">
        <v>13</v>
      </c>
      <c r="X71" s="278">
        <v>100242</v>
      </c>
      <c r="Y71" s="278">
        <v>50779</v>
      </c>
      <c r="Z71" s="2" t="s">
        <v>303</v>
      </c>
      <c r="AA71" s="2" t="str">
        <f t="shared" si="0"/>
        <v>2026</v>
      </c>
      <c r="AB71" s="276" t="s">
        <v>292</v>
      </c>
      <c r="AC71" s="276"/>
      <c r="AD71" s="275">
        <v>46290</v>
      </c>
      <c r="AE71" s="276">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6"/>
      <c r="AJ71" s="276">
        <v>46191</v>
      </c>
      <c r="AK71" s="2" t="s">
        <v>56</v>
      </c>
      <c r="AL71" s="276"/>
      <c r="AM71" s="276"/>
      <c r="AN71" s="2" t="s">
        <v>56</v>
      </c>
      <c r="AO71" s="276"/>
      <c r="AP71" s="276"/>
      <c r="AQ71" s="2" t="s">
        <v>56</v>
      </c>
      <c r="AR71" s="276"/>
      <c r="AS71" s="276"/>
      <c r="AT71" s="2" t="s">
        <v>73</v>
      </c>
      <c r="AU71" s="276"/>
      <c r="AV71" s="276"/>
      <c r="AW71" s="2" t="s">
        <v>73</v>
      </c>
      <c r="AX71" s="276"/>
      <c r="AY71" s="276"/>
      <c r="AZ71" s="2" t="s">
        <v>56</v>
      </c>
      <c r="BA71" s="276"/>
      <c r="BB71" s="276"/>
      <c r="BC71" s="2" t="str">
        <f t="shared" si="20"/>
        <v>Complete</v>
      </c>
      <c r="BE71" s="119" t="str">
        <f t="shared" si="21"/>
        <v>READY</v>
      </c>
      <c r="BF71" s="2" t="s">
        <v>185</v>
      </c>
    </row>
    <row r="72" spans="1:58">
      <c r="A72" s="2" t="str">
        <f>IFERROR(VLOOKUP(E72,'Customer '!$A$4:$D$23,3,FALSE),"")</f>
        <v>NON RH</v>
      </c>
      <c r="B72" s="2" t="s">
        <v>267</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321</v>
      </c>
      <c r="K72" s="2" t="s">
        <v>272</v>
      </c>
      <c r="L72" s="119" t="s">
        <v>331</v>
      </c>
      <c r="M72" s="276">
        <v>45758</v>
      </c>
      <c r="N72" s="276" t="s">
        <v>292</v>
      </c>
      <c r="O72" s="277"/>
      <c r="P72" s="2" t="s">
        <v>274</v>
      </c>
      <c r="Q72" s="2" t="s">
        <v>275</v>
      </c>
      <c r="R72" s="2">
        <v>0</v>
      </c>
      <c r="S72" s="2">
        <v>0</v>
      </c>
      <c r="V72" s="274">
        <v>117</v>
      </c>
      <c r="X72" s="278">
        <v>3134000</v>
      </c>
      <c r="Y72" s="278">
        <v>1044666.66666667</v>
      </c>
      <c r="Z72" s="2" t="s">
        <v>343</v>
      </c>
      <c r="AA72" s="2" t="str">
        <f t="shared" si="0"/>
        <v>2027</v>
      </c>
      <c r="AB72" s="276" t="s">
        <v>292</v>
      </c>
      <c r="AC72" s="276"/>
      <c r="AD72" s="275">
        <v>46661</v>
      </c>
      <c r="AE72" s="276">
        <v>46745</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2027/W40</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2027/W52</v>
      </c>
      <c r="AH72" s="2" t="s">
        <v>56</v>
      </c>
      <c r="AI72" s="276"/>
      <c r="AJ72" s="276"/>
      <c r="AK72" s="2" t="s">
        <v>56</v>
      </c>
      <c r="AL72" s="276"/>
      <c r="AM72" s="276"/>
      <c r="AO72" s="276"/>
      <c r="AP72" s="276"/>
      <c r="AR72" s="276"/>
      <c r="AS72" s="276"/>
      <c r="AU72" s="276"/>
      <c r="AV72" s="276"/>
      <c r="AX72" s="276"/>
      <c r="AY72" s="276"/>
      <c r="BA72" s="276"/>
      <c r="BB72" s="276"/>
      <c r="BC72" s="2" t="str">
        <f t="shared" si="20"/>
        <v>Active</v>
      </c>
      <c r="BE72" s="119" t="str">
        <f t="shared" si="21"/>
        <v>NPI: All development items approved/closed for SW52</v>
      </c>
    </row>
    <row r="73" spans="1:58">
      <c r="A73" s="2" t="str">
        <f>IFERROR(VLOOKUP(E73,'Customer '!$A$4:$D$23,3,FALSE),"")</f>
        <v>NON RH</v>
      </c>
      <c r="B73" s="2" t="s">
        <v>267</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321</v>
      </c>
      <c r="K73" s="2" t="s">
        <v>272</v>
      </c>
      <c r="L73" s="119" t="s">
        <v>331</v>
      </c>
      <c r="M73" s="276">
        <v>45758</v>
      </c>
      <c r="N73" s="276" t="s">
        <v>292</v>
      </c>
      <c r="O73" s="277"/>
      <c r="P73" s="2" t="s">
        <v>274</v>
      </c>
      <c r="Q73" s="2" t="s">
        <v>275</v>
      </c>
      <c r="R73" s="2">
        <v>0</v>
      </c>
      <c r="S73" s="2">
        <v>0</v>
      </c>
      <c r="V73" s="274">
        <v>117</v>
      </c>
      <c r="X73" s="278">
        <v>3134000</v>
      </c>
      <c r="Y73" s="278">
        <v>1044666.66666667</v>
      </c>
      <c r="Z73" s="2" t="s">
        <v>358</v>
      </c>
      <c r="AA73" s="2" t="str">
        <f t="shared" si="0"/>
        <v>2027</v>
      </c>
      <c r="AB73" s="276" t="s">
        <v>292</v>
      </c>
      <c r="AC73" s="276"/>
      <c r="AD73" s="275">
        <v>46661</v>
      </c>
      <c r="AE73" s="276">
        <v>46745</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2027/W40</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2027/W52</v>
      </c>
      <c r="AH73" s="2" t="s">
        <v>56</v>
      </c>
      <c r="AI73" s="276"/>
      <c r="AJ73" s="276"/>
      <c r="AK73" s="2" t="s">
        <v>56</v>
      </c>
      <c r="AL73" s="276"/>
      <c r="AM73" s="276"/>
      <c r="AO73" s="276"/>
      <c r="AP73" s="276"/>
      <c r="AR73" s="276"/>
      <c r="AS73" s="276"/>
      <c r="AU73" s="276"/>
      <c r="AV73" s="276"/>
      <c r="AX73" s="276"/>
      <c r="AY73" s="276"/>
      <c r="BA73" s="276"/>
      <c r="BB73" s="276"/>
      <c r="BC73" s="2" t="str">
        <f t="shared" si="20"/>
        <v>Active</v>
      </c>
      <c r="BE73" s="119" t="str">
        <f t="shared" si="21"/>
        <v>NPI: All development items approved/closed for SW52</v>
      </c>
    </row>
    <row r="74" spans="1:58">
      <c r="A74" s="2" t="str">
        <f>IFERROR(VLOOKUP(E74,'Customer '!$A$4:$D$23,3,FALSE),"")</f>
        <v>NON RH</v>
      </c>
      <c r="B74" s="2" t="s">
        <v>267</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321</v>
      </c>
      <c r="K74" s="2" t="s">
        <v>272</v>
      </c>
      <c r="L74" s="119" t="s">
        <v>331</v>
      </c>
      <c r="M74" s="276">
        <v>45758</v>
      </c>
      <c r="N74" s="276" t="s">
        <v>292</v>
      </c>
      <c r="O74" s="277"/>
      <c r="P74" s="2" t="s">
        <v>274</v>
      </c>
      <c r="Q74" s="2" t="s">
        <v>275</v>
      </c>
      <c r="R74" s="2">
        <v>0</v>
      </c>
      <c r="S74" s="2">
        <v>0</v>
      </c>
      <c r="V74" s="274">
        <v>117</v>
      </c>
      <c r="X74" s="278">
        <v>3134000</v>
      </c>
      <c r="Y74" s="278">
        <v>1044666.66666667</v>
      </c>
      <c r="Z74" s="2" t="s">
        <v>359</v>
      </c>
      <c r="AA74" s="2" t="str">
        <f t="shared" si="0"/>
        <v>2027</v>
      </c>
      <c r="AB74" s="276" t="s">
        <v>292</v>
      </c>
      <c r="AC74" s="276"/>
      <c r="AD74" s="275">
        <v>46661</v>
      </c>
      <c r="AE74" s="276">
        <v>46745</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2027/W40</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2027/W52</v>
      </c>
      <c r="AH74" s="2" t="s">
        <v>56</v>
      </c>
      <c r="AI74" s="276"/>
      <c r="AJ74" s="276"/>
      <c r="AK74" s="2" t="s">
        <v>56</v>
      </c>
      <c r="AL74" s="276"/>
      <c r="AM74" s="276"/>
      <c r="AO74" s="276"/>
      <c r="AP74" s="276"/>
      <c r="AR74" s="276"/>
      <c r="AS74" s="276"/>
      <c r="AU74" s="276"/>
      <c r="AV74" s="276"/>
      <c r="AX74" s="276"/>
      <c r="AY74" s="276"/>
      <c r="BA74" s="276"/>
      <c r="BB74" s="276"/>
      <c r="BC74" s="2" t="str">
        <f t="shared" si="20"/>
        <v>Active</v>
      </c>
      <c r="BE74" s="119" t="str">
        <f t="shared" si="21"/>
        <v>NPI: All development items approved/closed for SW52</v>
      </c>
    </row>
    <row r="75" spans="1:58">
      <c r="A75" s="2" t="str">
        <f>IFERROR(VLOOKUP(E75,'Customer '!$A$4:$D$23,3,FALSE),"")</f>
        <v>NON RH</v>
      </c>
      <c r="B75" s="2" t="s">
        <v>267</v>
      </c>
      <c r="C75" s="2" t="s">
        <v>341</v>
      </c>
      <c r="E75" s="2" t="s">
        <v>168</v>
      </c>
      <c r="F75" s="2" t="str">
        <f>IFERROR(VLOOKUP(E75,'Customer '!$A$4:$D$28,2,FALSE),"")</f>
        <v>PLUS CORPORATION</v>
      </c>
      <c r="G75" s="2" t="s">
        <v>360</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271</v>
      </c>
      <c r="K75" s="2" t="s">
        <v>272</v>
      </c>
      <c r="L75" s="119" t="s">
        <v>273</v>
      </c>
      <c r="M75" s="276">
        <v>45948</v>
      </c>
      <c r="N75" s="276">
        <v>46087</v>
      </c>
      <c r="O75" s="277"/>
      <c r="P75" s="2" t="s">
        <v>170</v>
      </c>
      <c r="Q75" s="2" t="s">
        <v>361</v>
      </c>
      <c r="V75" s="274">
        <v>48</v>
      </c>
      <c r="X75" s="278">
        <v>24012</v>
      </c>
      <c r="Y75" s="278">
        <v>21344</v>
      </c>
      <c r="Z75" s="2" t="s">
        <v>325</v>
      </c>
      <c r="AA75" s="2" t="str">
        <f t="shared" si="0"/>
        <v>2026</v>
      </c>
      <c r="AB75" s="276">
        <v>46130</v>
      </c>
      <c r="AC75" s="276"/>
      <c r="AD75" s="275">
        <v>46116</v>
      </c>
      <c r="AE75" s="276">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6"/>
      <c r="AJ75" s="276">
        <v>45961</v>
      </c>
      <c r="AK75" s="2" t="s">
        <v>56</v>
      </c>
      <c r="AL75" s="276"/>
      <c r="AM75" s="276">
        <v>45986</v>
      </c>
      <c r="AN75" s="2" t="s">
        <v>56</v>
      </c>
      <c r="AO75" s="276"/>
      <c r="AP75" s="276">
        <v>45986</v>
      </c>
      <c r="AQ75" s="2" t="s">
        <v>56</v>
      </c>
      <c r="AR75" s="276"/>
      <c r="AS75" s="276">
        <v>45986</v>
      </c>
      <c r="AT75" s="2" t="s">
        <v>73</v>
      </c>
      <c r="AU75" s="276"/>
      <c r="AV75" s="276"/>
      <c r="AW75" s="2" t="s">
        <v>73</v>
      </c>
      <c r="AX75" s="276"/>
      <c r="AY75" s="276"/>
      <c r="AZ75" s="2" t="s">
        <v>362</v>
      </c>
      <c r="BA75" s="276"/>
      <c r="BB75" s="276"/>
      <c r="BC75" s="2" t="str">
        <f t="shared" si="20"/>
        <v>Complete</v>
      </c>
      <c r="BE75" s="119" t="str">
        <f t="shared" si="21"/>
        <v>READY</v>
      </c>
    </row>
    <row r="76" spans="1:58">
      <c r="A76" s="2" t="str">
        <f>IFERROR(VLOOKUP(E76,'Customer '!$A$4:$D$23,3,FALSE),"")</f>
        <v>NON RH</v>
      </c>
      <c r="B76" s="2" t="s">
        <v>267</v>
      </c>
      <c r="C76" s="2" t="s">
        <v>341</v>
      </c>
      <c r="E76" s="2" t="s">
        <v>168</v>
      </c>
      <c r="F76" s="2" t="str">
        <f>IFERROR(VLOOKUP(E76,'Customer '!$A$4:$D$28,2,FALSE),"")</f>
        <v>PLUS CORPORATION</v>
      </c>
      <c r="G76" s="2" t="s">
        <v>360</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271</v>
      </c>
      <c r="K76" s="2" t="s">
        <v>291</v>
      </c>
      <c r="L76" s="119" t="s">
        <v>273</v>
      </c>
      <c r="M76" s="276">
        <v>45719</v>
      </c>
      <c r="N76" s="276">
        <v>46087</v>
      </c>
      <c r="O76" s="277"/>
      <c r="P76" s="2" t="s">
        <v>170</v>
      </c>
      <c r="Q76" s="2" t="s">
        <v>361</v>
      </c>
      <c r="V76" s="274">
        <v>48</v>
      </c>
      <c r="X76" s="278">
        <v>24012</v>
      </c>
      <c r="Y76" s="278">
        <v>2668</v>
      </c>
      <c r="Z76" s="2" t="s">
        <v>276</v>
      </c>
      <c r="AA76" s="2" t="str">
        <f t="shared" si="0"/>
        <v>2026</v>
      </c>
      <c r="AB76" s="276">
        <v>46130</v>
      </c>
      <c r="AC76" s="276"/>
      <c r="AD76" s="275">
        <v>46116</v>
      </c>
      <c r="AE76" s="276">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6"/>
      <c r="AJ76" s="276">
        <v>45961</v>
      </c>
      <c r="AK76" s="2" t="s">
        <v>73</v>
      </c>
      <c r="AL76" s="276"/>
      <c r="AM76" s="276">
        <v>45986</v>
      </c>
      <c r="AN76" s="2" t="s">
        <v>56</v>
      </c>
      <c r="AO76" s="276"/>
      <c r="AP76" s="276">
        <v>45986</v>
      </c>
      <c r="AQ76" s="2" t="s">
        <v>56</v>
      </c>
      <c r="AR76" s="276"/>
      <c r="AS76" s="276">
        <v>45986</v>
      </c>
      <c r="AT76" s="2" t="s">
        <v>73</v>
      </c>
      <c r="AU76" s="276"/>
      <c r="AV76" s="276"/>
      <c r="AW76" s="2" t="s">
        <v>73</v>
      </c>
      <c r="AX76" s="276"/>
      <c r="AY76" s="276"/>
      <c r="AZ76" s="2" t="s">
        <v>362</v>
      </c>
      <c r="BA76" s="276"/>
      <c r="BB76" s="276"/>
      <c r="BC76" s="2" t="str">
        <f t="shared" si="20"/>
        <v>Complete</v>
      </c>
      <c r="BE76" s="119" t="str">
        <f t="shared" si="21"/>
        <v>READY</v>
      </c>
    </row>
    <row r="77" spans="1:58">
      <c r="A77" s="2" t="str">
        <f>IFERROR(VLOOKUP(E77,'Customer '!$A$4:$D$23,3,FALSE),"")</f>
        <v>NON RH</v>
      </c>
      <c r="B77" s="2" t="s">
        <v>267</v>
      </c>
      <c r="C77" s="2" t="s">
        <v>341</v>
      </c>
      <c r="E77" s="2" t="s">
        <v>176</v>
      </c>
      <c r="F77" s="2" t="str">
        <f>IFERROR(VLOOKUP(E77,'Customer '!$A$4:$D$28,2,FALSE),"")</f>
        <v>SPECTRUM</v>
      </c>
      <c r="G77" s="2" t="s">
        <v>363</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271</v>
      </c>
      <c r="K77" s="2" t="s">
        <v>272</v>
      </c>
      <c r="L77" s="119" t="s">
        <v>273</v>
      </c>
      <c r="M77" s="276">
        <v>46092</v>
      </c>
      <c r="N77" s="276">
        <v>46094</v>
      </c>
      <c r="O77" s="277">
        <v>46114</v>
      </c>
      <c r="P77" s="2" t="s">
        <v>51</v>
      </c>
      <c r="Q77" s="2" t="s">
        <v>329</v>
      </c>
      <c r="V77" s="274">
        <v>20</v>
      </c>
      <c r="X77" s="278">
        <v>93065.64</v>
      </c>
      <c r="Y77" s="278">
        <v>80755</v>
      </c>
      <c r="Z77" s="2" t="s">
        <v>280</v>
      </c>
      <c r="AA77" s="2" t="str">
        <f t="shared" si="0"/>
        <v>2026</v>
      </c>
      <c r="AB77" s="276">
        <v>46199</v>
      </c>
      <c r="AC77" s="276"/>
      <c r="AD77" s="275">
        <v>46116</v>
      </c>
      <c r="AE77" s="276">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6"/>
      <c r="AJ77" s="276">
        <v>46116</v>
      </c>
      <c r="AK77" s="2" t="s">
        <v>56</v>
      </c>
      <c r="AL77" s="276"/>
      <c r="AM77" s="276">
        <v>46181</v>
      </c>
      <c r="AN77" s="2" t="s">
        <v>73</v>
      </c>
      <c r="AO77" s="276"/>
      <c r="AP77" s="276"/>
      <c r="AQ77" s="2" t="s">
        <v>56</v>
      </c>
      <c r="AR77" s="276"/>
      <c r="AS77" s="276">
        <v>46169</v>
      </c>
      <c r="AT77" s="2" t="s">
        <v>56</v>
      </c>
      <c r="AU77" s="276"/>
      <c r="AV77" s="276">
        <v>46094</v>
      </c>
      <c r="AW77" s="2" t="s">
        <v>73</v>
      </c>
      <c r="AX77" s="276"/>
      <c r="AY77" s="276"/>
      <c r="AZ77" s="2" t="s">
        <v>73</v>
      </c>
      <c r="BA77" s="276"/>
      <c r="BB77" s="276"/>
      <c r="BC77" s="2" t="str">
        <f t="shared" si="20"/>
        <v>Complete</v>
      </c>
      <c r="BE77" s="119" t="str">
        <f t="shared" si="21"/>
        <v>READY</v>
      </c>
    </row>
    <row r="78" spans="1:58">
      <c r="A78" s="2" t="str">
        <f>IFERROR(VLOOKUP(E78,'Customer '!$A$4:$D$23,3,FALSE),"")</f>
        <v>NON RH</v>
      </c>
      <c r="B78" s="2" t="s">
        <v>267</v>
      </c>
      <c r="C78" s="2" t="s">
        <v>341</v>
      </c>
      <c r="E78" s="2" t="s">
        <v>176</v>
      </c>
      <c r="F78" s="2" t="str">
        <f>IFERROR(VLOOKUP(E78,'Customer '!$A$4:$D$28,2,FALSE),"")</f>
        <v>SPECTRUM</v>
      </c>
      <c r="G78" s="2" t="s">
        <v>363</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271</v>
      </c>
      <c r="K78" s="2" t="s">
        <v>272</v>
      </c>
      <c r="L78" s="119" t="s">
        <v>273</v>
      </c>
      <c r="M78" s="276">
        <v>46092</v>
      </c>
      <c r="N78" s="276">
        <v>46094</v>
      </c>
      <c r="O78" s="277">
        <v>46114</v>
      </c>
      <c r="P78" s="2" t="s">
        <v>51</v>
      </c>
      <c r="Q78" s="2" t="s">
        <v>329</v>
      </c>
      <c r="V78" s="274">
        <v>20</v>
      </c>
      <c r="X78" s="278">
        <v>93065.64</v>
      </c>
      <c r="Y78" s="278">
        <v>12310</v>
      </c>
      <c r="Z78" s="2" t="s">
        <v>280</v>
      </c>
      <c r="AA78" s="2" t="str">
        <f t="shared" si="0"/>
        <v>2026</v>
      </c>
      <c r="AB78" s="276">
        <v>46199</v>
      </c>
      <c r="AC78" s="276"/>
      <c r="AD78" s="275">
        <v>46116</v>
      </c>
      <c r="AE78" s="276">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6"/>
      <c r="AJ78" s="276">
        <v>46116</v>
      </c>
      <c r="AK78" s="2" t="s">
        <v>56</v>
      </c>
      <c r="AL78" s="276"/>
      <c r="AM78" s="276">
        <v>46181</v>
      </c>
      <c r="AN78" s="2" t="s">
        <v>73</v>
      </c>
      <c r="AO78" s="276"/>
      <c r="AP78" s="276"/>
      <c r="AQ78" s="2" t="s">
        <v>56</v>
      </c>
      <c r="AR78" s="276"/>
      <c r="AS78" s="276">
        <v>46169</v>
      </c>
      <c r="AT78" s="2" t="s">
        <v>56</v>
      </c>
      <c r="AU78" s="276"/>
      <c r="AV78" s="276">
        <v>46094</v>
      </c>
      <c r="AW78" s="2" t="s">
        <v>73</v>
      </c>
      <c r="AX78" s="276"/>
      <c r="AY78" s="276"/>
      <c r="AZ78" s="2" t="s">
        <v>73</v>
      </c>
      <c r="BA78" s="276"/>
      <c r="BB78" s="276"/>
      <c r="BC78" s="2" t="str">
        <f t="shared" si="20"/>
        <v>Complete</v>
      </c>
      <c r="BE78" s="119" t="str">
        <f t="shared" si="21"/>
        <v>READY</v>
      </c>
    </row>
    <row r="79" spans="1:58">
      <c r="A79" s="2" t="str">
        <f>IFERROR(VLOOKUP(E79,'Customer '!$A$4:$D$23,3,FALSE),"")</f>
        <v>LOCAL</v>
      </c>
      <c r="B79" s="2" t="s">
        <v>267</v>
      </c>
      <c r="C79" s="2" t="s">
        <v>341</v>
      </c>
      <c r="E79" s="2" t="s">
        <v>364</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271</v>
      </c>
      <c r="K79" s="2" t="s">
        <v>272</v>
      </c>
      <c r="L79" s="119" t="s">
        <v>273</v>
      </c>
      <c r="M79" s="276"/>
      <c r="N79" s="276" t="s">
        <v>292</v>
      </c>
      <c r="O79" s="277"/>
      <c r="P79" s="2" t="s">
        <v>182</v>
      </c>
      <c r="Q79" s="2" t="s">
        <v>365</v>
      </c>
      <c r="V79" s="274">
        <v>7</v>
      </c>
      <c r="X79" s="278">
        <v>10003.5</v>
      </c>
      <c r="Y79" s="278">
        <v>10003.5</v>
      </c>
      <c r="Z79" s="2" t="s">
        <v>325</v>
      </c>
      <c r="AA79" s="2" t="str">
        <f t="shared" ref="AA79:AA148" si="22">IF(Z79="","",IF(OR(Z79="TBC",Z79="Removed"),Z79,LEFT(Z79,4)))</f>
        <v>2026</v>
      </c>
      <c r="AB79" s="276">
        <v>46115</v>
      </c>
      <c r="AC79" s="276"/>
      <c r="AD79" s="275">
        <v>46116</v>
      </c>
      <c r="AE79" s="276">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6"/>
      <c r="AJ79" s="276">
        <v>46037</v>
      </c>
      <c r="AK79" s="2" t="s">
        <v>56</v>
      </c>
      <c r="AL79" s="276"/>
      <c r="AM79" s="276">
        <v>46037</v>
      </c>
      <c r="AO79" s="276"/>
      <c r="AP79" s="276" t="s">
        <v>56</v>
      </c>
      <c r="AQ79" s="2">
        <v>46037</v>
      </c>
      <c r="AR79" s="276"/>
      <c r="AS79" s="276" t="s">
        <v>56</v>
      </c>
      <c r="AT79" s="2">
        <v>46037</v>
      </c>
      <c r="AU79" s="276"/>
      <c r="AV79" s="276"/>
      <c r="AW79" s="2" t="s">
        <v>73</v>
      </c>
      <c r="AX79" s="276"/>
      <c r="AY79" s="276"/>
      <c r="AZ79" s="2" t="s">
        <v>73</v>
      </c>
      <c r="BA79" s="276"/>
      <c r="BB79" s="276"/>
      <c r="BC79" s="2" t="str">
        <f t="shared" si="20"/>
        <v>Complete</v>
      </c>
      <c r="BE79" s="119" t="str">
        <f t="shared" si="21"/>
        <v>READY</v>
      </c>
    </row>
    <row r="80" spans="1:58">
      <c r="A80" s="2" t="str">
        <f>IFERROR(VLOOKUP(E80,'Customer '!$A$4:$D$23,3,FALSE),"")</f>
        <v>NON RH</v>
      </c>
      <c r="B80" s="2" t="s">
        <v>267</v>
      </c>
      <c r="C80" s="2" t="s">
        <v>328</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271</v>
      </c>
      <c r="K80" s="2" t="s">
        <v>272</v>
      </c>
      <c r="L80" s="119" t="s">
        <v>273</v>
      </c>
      <c r="M80" s="276">
        <v>46084</v>
      </c>
      <c r="N80" s="276">
        <v>46090</v>
      </c>
      <c r="O80" s="277"/>
      <c r="P80" s="2" t="s">
        <v>198</v>
      </c>
      <c r="Q80" s="2" t="s">
        <v>366</v>
      </c>
      <c r="V80" s="274">
        <v>4</v>
      </c>
      <c r="X80" s="278">
        <v>1022211</v>
      </c>
      <c r="Y80" s="278">
        <v>525145.19999999995</v>
      </c>
      <c r="Z80" s="2" t="s">
        <v>280</v>
      </c>
      <c r="AA80" s="2" t="str">
        <f t="shared" si="22"/>
        <v>2026</v>
      </c>
      <c r="AB80" s="276">
        <v>46234</v>
      </c>
      <c r="AC80" s="276">
        <v>46265</v>
      </c>
      <c r="AD80" s="275">
        <v>46216</v>
      </c>
      <c r="AE80" s="275">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6"/>
      <c r="AJ80" s="276">
        <v>46164</v>
      </c>
      <c r="AK80" s="2" t="s">
        <v>56</v>
      </c>
      <c r="AL80" s="276"/>
      <c r="AM80" s="276"/>
      <c r="AN80" s="2" t="s">
        <v>73</v>
      </c>
      <c r="AO80" s="276"/>
      <c r="AP80" s="276"/>
      <c r="AQ80" s="2" t="s">
        <v>56</v>
      </c>
      <c r="AR80" s="276"/>
      <c r="AS80" s="276"/>
      <c r="AT80" s="2" t="s">
        <v>73</v>
      </c>
      <c r="AU80" s="276"/>
      <c r="AV80" s="276"/>
      <c r="AW80" s="2" t="s">
        <v>73</v>
      </c>
      <c r="AX80" s="276"/>
      <c r="AY80" s="276"/>
      <c r="AZ80" s="2" t="s">
        <v>342</v>
      </c>
      <c r="BA80" s="276"/>
      <c r="BB80" s="276">
        <v>46178</v>
      </c>
      <c r="BC80" s="2" t="str">
        <f t="shared" si="20"/>
        <v>Complete</v>
      </c>
      <c r="BE80" s="119" t="str">
        <f t="shared" si="21"/>
        <v>READY</v>
      </c>
    </row>
    <row r="81" spans="1:58">
      <c r="A81" s="2" t="str">
        <f>IFERROR(VLOOKUP(E81,'Customer '!$A$4:$D$23,3,FALSE),"")</f>
        <v>NON RH</v>
      </c>
      <c r="B81" s="2" t="s">
        <v>267</v>
      </c>
      <c r="C81" s="2" t="s">
        <v>328</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271</v>
      </c>
      <c r="K81" s="2" t="s">
        <v>272</v>
      </c>
      <c r="L81" s="119" t="s">
        <v>273</v>
      </c>
      <c r="M81" s="276">
        <v>46084</v>
      </c>
      <c r="N81" s="276">
        <v>46090</v>
      </c>
      <c r="O81" s="277"/>
      <c r="P81" s="2" t="s">
        <v>198</v>
      </c>
      <c r="Q81" s="2" t="s">
        <v>366</v>
      </c>
      <c r="V81" s="274">
        <v>4</v>
      </c>
      <c r="X81" s="278">
        <v>1022211</v>
      </c>
      <c r="Y81" s="278">
        <v>471952.96</v>
      </c>
      <c r="Z81" s="2" t="s">
        <v>281</v>
      </c>
      <c r="AA81" s="2" t="str">
        <f t="shared" ref="AA81" si="23">IF(Z81="","",IF(OR(Z81="TBC",Z81="Removed"),Z81,LEFT(Z81,4)))</f>
        <v>2026</v>
      </c>
      <c r="AB81" s="276">
        <v>46234</v>
      </c>
      <c r="AC81" s="276">
        <v>46265</v>
      </c>
      <c r="AD81" s="275">
        <v>46216</v>
      </c>
      <c r="AE81" s="275">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6"/>
      <c r="AJ81" s="276">
        <v>46164</v>
      </c>
      <c r="AK81" s="2" t="s">
        <v>56</v>
      </c>
      <c r="AL81" s="276"/>
      <c r="AM81" s="276"/>
      <c r="AN81" s="2" t="s">
        <v>73</v>
      </c>
      <c r="AO81" s="276"/>
      <c r="AP81" s="276"/>
      <c r="AQ81" s="2" t="s">
        <v>56</v>
      </c>
      <c r="AR81" s="276"/>
      <c r="AS81" s="276"/>
      <c r="AT81" s="2" t="s">
        <v>73</v>
      </c>
      <c r="AU81" s="276"/>
      <c r="AV81" s="276"/>
      <c r="AW81" s="2" t="s">
        <v>73</v>
      </c>
      <c r="AX81" s="276"/>
      <c r="AY81" s="276"/>
      <c r="AZ81" s="2" t="s">
        <v>342</v>
      </c>
      <c r="BA81" s="276"/>
      <c r="BB81" s="276">
        <v>46178</v>
      </c>
      <c r="BC81" s="2" t="str">
        <f t="shared" si="20"/>
        <v>Complete</v>
      </c>
      <c r="BE81" s="119" t="str">
        <f t="shared" si="21"/>
        <v>READY</v>
      </c>
    </row>
    <row r="82" spans="1:58">
      <c r="A82" s="2" t="str">
        <f>IFERROR(VLOOKUP(E82,'Customer '!$A$4:$D$23,3,FALSE),"")</f>
        <v>NON RH</v>
      </c>
      <c r="B82" s="2" t="s">
        <v>267</v>
      </c>
      <c r="C82" s="2" t="s">
        <v>328</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271</v>
      </c>
      <c r="K82" s="2" t="s">
        <v>272</v>
      </c>
      <c r="L82" s="119" t="s">
        <v>367</v>
      </c>
      <c r="M82" s="276">
        <v>46084</v>
      </c>
      <c r="N82" s="276">
        <v>46090</v>
      </c>
      <c r="O82" s="277"/>
      <c r="P82" s="2" t="s">
        <v>198</v>
      </c>
      <c r="Q82" s="2" t="s">
        <v>366</v>
      </c>
      <c r="R82" s="2">
        <v>0</v>
      </c>
      <c r="S82" s="2">
        <v>0</v>
      </c>
      <c r="V82" s="274">
        <v>4</v>
      </c>
      <c r="X82" s="278">
        <v>1022211</v>
      </c>
      <c r="Y82" s="278">
        <v>38212.51</v>
      </c>
      <c r="Z82" s="2" t="s">
        <v>297</v>
      </c>
      <c r="AA82" s="2" t="str">
        <f t="shared" si="22"/>
        <v>2026</v>
      </c>
      <c r="AB82" s="276">
        <v>46234</v>
      </c>
      <c r="AC82" s="276">
        <v>46265</v>
      </c>
      <c r="AD82" s="275">
        <v>46216</v>
      </c>
      <c r="AE82" s="275">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6"/>
      <c r="AJ82" s="276">
        <v>46164</v>
      </c>
      <c r="AK82" s="2" t="s">
        <v>56</v>
      </c>
      <c r="AL82" s="276"/>
      <c r="AM82" s="276"/>
      <c r="AN82" s="2" t="s">
        <v>73</v>
      </c>
      <c r="AO82" s="276"/>
      <c r="AP82" s="276"/>
      <c r="AQ82" s="2" t="s">
        <v>56</v>
      </c>
      <c r="AR82" s="276"/>
      <c r="AS82" s="276"/>
      <c r="AT82" s="2" t="s">
        <v>73</v>
      </c>
      <c r="AU82" s="276"/>
      <c r="AV82" s="276"/>
      <c r="AW82" s="2" t="s">
        <v>73</v>
      </c>
      <c r="AX82" s="276"/>
      <c r="AY82" s="276"/>
      <c r="AZ82" s="2" t="s">
        <v>342</v>
      </c>
      <c r="BA82" s="276"/>
      <c r="BB82" s="276">
        <v>46178</v>
      </c>
      <c r="BC82" s="2" t="str">
        <f t="shared" si="20"/>
        <v>Complete</v>
      </c>
      <c r="BE82" s="119" t="str">
        <f t="shared" si="21"/>
        <v>READY</v>
      </c>
    </row>
    <row r="83" spans="1:58">
      <c r="A83" s="2" t="str">
        <f>IFERROR(VLOOKUP(E83,'Customer '!$A$4:$D$23,3,FALSE),"")</f>
        <v>NON RH</v>
      </c>
      <c r="B83" s="2" t="s">
        <v>327</v>
      </c>
      <c r="C83" s="2" t="s">
        <v>341</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271</v>
      </c>
      <c r="K83" s="2" t="s">
        <v>272</v>
      </c>
      <c r="L83" s="119" t="s">
        <v>273</v>
      </c>
      <c r="M83" s="276">
        <v>46027</v>
      </c>
      <c r="N83" s="276">
        <v>46009</v>
      </c>
      <c r="O83" s="277"/>
      <c r="P83" s="2" t="s">
        <v>51</v>
      </c>
      <c r="Q83" s="2" t="s">
        <v>329</v>
      </c>
      <c r="R83" s="2">
        <v>0</v>
      </c>
      <c r="S83" s="2">
        <v>0</v>
      </c>
      <c r="V83" s="274">
        <v>8</v>
      </c>
      <c r="X83" s="278">
        <v>3015.9900000000002</v>
      </c>
      <c r="Y83" s="278">
        <v>3015.9900000000002</v>
      </c>
      <c r="Z83" s="2" t="s">
        <v>297</v>
      </c>
      <c r="AA83" s="2" t="str">
        <f t="shared" si="22"/>
        <v>2026</v>
      </c>
      <c r="AB83" s="276" t="s">
        <v>292</v>
      </c>
      <c r="AC83" s="276"/>
      <c r="AD83" s="275">
        <v>46242</v>
      </c>
      <c r="AE83" s="276">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6"/>
      <c r="AJ83" s="276"/>
      <c r="AK83" s="2" t="s">
        <v>56</v>
      </c>
      <c r="AL83" s="276"/>
      <c r="AM83" s="276"/>
      <c r="AN83" s="2" t="s">
        <v>56</v>
      </c>
      <c r="AO83" s="276"/>
      <c r="AP83" s="276"/>
      <c r="AQ83" s="2" t="s">
        <v>56</v>
      </c>
      <c r="AR83" s="276"/>
      <c r="AS83" s="276"/>
      <c r="AT83" s="2" t="s">
        <v>56</v>
      </c>
      <c r="AU83" s="276"/>
      <c r="AV83" s="276"/>
      <c r="AW83" s="2" t="s">
        <v>73</v>
      </c>
      <c r="AX83" s="276"/>
      <c r="AY83" s="276"/>
      <c r="AZ83" s="2" t="s">
        <v>277</v>
      </c>
      <c r="BA83" s="276"/>
      <c r="BB83" s="276"/>
      <c r="BC83" s="2" t="str">
        <f t="shared" si="20"/>
        <v>Complete</v>
      </c>
      <c r="BE83" s="119" t="str">
        <f t="shared" si="21"/>
        <v>READY</v>
      </c>
      <c r="BF83" s="2" t="s">
        <v>368</v>
      </c>
    </row>
    <row r="84" spans="1:58">
      <c r="A84" s="2" t="str">
        <f>IFERROR(VLOOKUP(E84,'Customer '!$A$4:$D$23,3,FALSE),"")</f>
        <v>NON RH</v>
      </c>
      <c r="B84" s="2" t="s">
        <v>327</v>
      </c>
      <c r="C84" s="2" t="s">
        <v>298</v>
      </c>
      <c r="E84" s="2" t="s">
        <v>369</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271</v>
      </c>
      <c r="K84" s="2" t="s">
        <v>272</v>
      </c>
      <c r="L84" s="119" t="s">
        <v>273</v>
      </c>
      <c r="M84" s="276">
        <v>46037</v>
      </c>
      <c r="N84" s="276">
        <v>46055</v>
      </c>
      <c r="O84" s="277"/>
      <c r="P84" s="2" t="s">
        <v>152</v>
      </c>
      <c r="Q84" s="2" t="s">
        <v>293</v>
      </c>
      <c r="V84" s="274">
        <v>9</v>
      </c>
      <c r="X84" s="278">
        <v>14470.66</v>
      </c>
      <c r="Y84" s="278">
        <v>14470.66</v>
      </c>
      <c r="Z84" s="2" t="s">
        <v>276</v>
      </c>
      <c r="AA84" s="2" t="str">
        <f t="shared" si="22"/>
        <v>2026</v>
      </c>
      <c r="AB84" s="276">
        <v>46150</v>
      </c>
      <c r="AC84" s="276"/>
      <c r="AD84" s="275">
        <v>46116</v>
      </c>
      <c r="AE84" s="276">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6"/>
      <c r="AJ84" s="276"/>
      <c r="AK84" s="2" t="s">
        <v>56</v>
      </c>
      <c r="AL84" s="276"/>
      <c r="AM84" s="276"/>
      <c r="AN84" s="2" t="s">
        <v>304</v>
      </c>
      <c r="AO84" s="276"/>
      <c r="AP84" s="276"/>
      <c r="AQ84" s="2" t="s">
        <v>304</v>
      </c>
      <c r="AR84" s="276"/>
      <c r="AS84" s="276"/>
      <c r="AT84" s="2" t="s">
        <v>304</v>
      </c>
      <c r="AU84" s="276"/>
      <c r="AV84" s="276"/>
      <c r="AW84" s="2" t="s">
        <v>304</v>
      </c>
      <c r="AX84" s="276"/>
      <c r="AY84" s="276"/>
      <c r="AZ84" s="2" t="s">
        <v>57</v>
      </c>
      <c r="BA84" s="276"/>
      <c r="BB84" s="276"/>
      <c r="BC84" s="2" t="str">
        <f t="shared" si="20"/>
        <v>Complete</v>
      </c>
      <c r="BE84" s="119" t="str">
        <f t="shared" si="21"/>
        <v>READY</v>
      </c>
    </row>
    <row r="85" spans="1:58">
      <c r="A85" s="2" t="str">
        <f>IFERROR(VLOOKUP(E85,'Customer '!$A$4:$D$23,3,FALSE),"")</f>
        <v>NON RH</v>
      </c>
      <c r="B85" s="2" t="s">
        <v>267</v>
      </c>
      <c r="C85" s="2" t="s">
        <v>298</v>
      </c>
      <c r="E85" s="2" t="s">
        <v>369</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135</v>
      </c>
      <c r="K85" s="2" t="s">
        <v>272</v>
      </c>
      <c r="L85" s="119" t="s">
        <v>301</v>
      </c>
      <c r="M85" s="276"/>
      <c r="N85" s="276"/>
      <c r="O85" s="277"/>
      <c r="P85" s="2" t="s">
        <v>152</v>
      </c>
      <c r="Q85" s="2" t="s">
        <v>293</v>
      </c>
      <c r="R85" s="2" t="s">
        <v>149</v>
      </c>
      <c r="S85" s="2" t="s">
        <v>149</v>
      </c>
      <c r="V85" s="274">
        <v>9</v>
      </c>
      <c r="X85" s="278">
        <v>802234</v>
      </c>
      <c r="Y85" s="278">
        <f>DetailTracker[[#This Row],[PROJECT VALUE $]]/2</f>
        <v>401117</v>
      </c>
      <c r="Z85" s="2" t="s">
        <v>332</v>
      </c>
      <c r="AA85" s="2" t="str">
        <f t="shared" ref="AA85" si="24">IF(Z85="","",IF(OR(Z85="TBC",Z85="Removed"),Z85,LEFT(Z85,4)))</f>
        <v>2027</v>
      </c>
      <c r="AB85" s="276" t="s">
        <v>292</v>
      </c>
      <c r="AC85" s="276"/>
      <c r="AD85" s="275" t="s">
        <v>149</v>
      </c>
      <c r="AE85" s="276"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344</v>
      </c>
      <c r="AI85" s="276"/>
      <c r="AJ85" s="276"/>
      <c r="AK85" s="2" t="s">
        <v>287</v>
      </c>
      <c r="AL85" s="276"/>
      <c r="AM85" s="276"/>
      <c r="AN85" s="2" t="s">
        <v>344</v>
      </c>
      <c r="AO85" s="276"/>
      <c r="AP85" s="276"/>
      <c r="AQ85" s="2" t="s">
        <v>344</v>
      </c>
      <c r="AR85" s="276"/>
      <c r="AS85" s="276"/>
      <c r="AT85" s="2" t="s">
        <v>344</v>
      </c>
      <c r="AU85" s="276"/>
      <c r="AV85" s="276"/>
      <c r="AW85" s="2" t="s">
        <v>344</v>
      </c>
      <c r="AX85" s="276"/>
      <c r="AY85" s="276"/>
      <c r="AZ85" s="2" t="s">
        <v>344</v>
      </c>
      <c r="BA85" s="276"/>
      <c r="BB85" s="276"/>
      <c r="BC85" s="2" t="str">
        <f t="shared" si="20"/>
        <v>Complete</v>
      </c>
      <c r="BE85" s="119" t="str">
        <f t="shared" si="21"/>
        <v>NPI: Not started: Veneer/Wood for SW TBC</v>
      </c>
    </row>
    <row r="86" spans="1:58">
      <c r="A86" s="2" t="str">
        <f>IFERROR(VLOOKUP(E86,'Customer '!$A$4:$D$23,3,FALSE),"")</f>
        <v>NON RH</v>
      </c>
      <c r="B86" s="2" t="s">
        <v>267</v>
      </c>
      <c r="C86" s="2" t="s">
        <v>298</v>
      </c>
      <c r="E86" s="2" t="s">
        <v>369</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135</v>
      </c>
      <c r="K86" s="2" t="s">
        <v>272</v>
      </c>
      <c r="L86" s="119" t="s">
        <v>301</v>
      </c>
      <c r="M86" s="276"/>
      <c r="N86" s="276"/>
      <c r="O86" s="277"/>
      <c r="P86" s="2" t="s">
        <v>152</v>
      </c>
      <c r="Q86" s="2" t="s">
        <v>293</v>
      </c>
      <c r="R86" s="2" t="s">
        <v>149</v>
      </c>
      <c r="S86" s="2" t="s">
        <v>149</v>
      </c>
      <c r="V86" s="274">
        <v>9</v>
      </c>
      <c r="X86" s="278">
        <v>802234</v>
      </c>
      <c r="Y86" s="278">
        <f>DetailTracker[[#This Row],[PROJECT VALUE $]]/2</f>
        <v>401117</v>
      </c>
      <c r="Z86" s="2" t="s">
        <v>286</v>
      </c>
      <c r="AA86" s="2" t="str">
        <f t="shared" si="22"/>
        <v>2027</v>
      </c>
      <c r="AB86" s="276" t="s">
        <v>292</v>
      </c>
      <c r="AC86" s="276"/>
      <c r="AD86" s="275" t="s">
        <v>149</v>
      </c>
      <c r="AE86" s="276"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344</v>
      </c>
      <c r="AI86" s="276"/>
      <c r="AJ86" s="276"/>
      <c r="AK86" s="2" t="s">
        <v>287</v>
      </c>
      <c r="AL86" s="276"/>
      <c r="AM86" s="276"/>
      <c r="AN86" s="2" t="s">
        <v>344</v>
      </c>
      <c r="AO86" s="276"/>
      <c r="AP86" s="276"/>
      <c r="AQ86" s="2" t="s">
        <v>344</v>
      </c>
      <c r="AR86" s="276"/>
      <c r="AS86" s="276"/>
      <c r="AT86" s="2" t="s">
        <v>344</v>
      </c>
      <c r="AU86" s="276"/>
      <c r="AV86" s="276"/>
      <c r="AW86" s="2" t="s">
        <v>344</v>
      </c>
      <c r="AX86" s="276"/>
      <c r="AY86" s="276"/>
      <c r="AZ86" s="2" t="s">
        <v>344</v>
      </c>
      <c r="BA86" s="276"/>
      <c r="BB86" s="276"/>
      <c r="BC86" s="2" t="str">
        <f t="shared" si="20"/>
        <v>Complete</v>
      </c>
      <c r="BE86" s="119" t="str">
        <f t="shared" si="21"/>
        <v>NPI: Not started: Veneer/Wood for SW TBC</v>
      </c>
    </row>
    <row r="87" spans="1:58">
      <c r="A87" s="2" t="str">
        <f>IFERROR(VLOOKUP(E87,'Customer '!$A$4:$D$23,3,FALSE),"")</f>
        <v>NON RH</v>
      </c>
      <c r="B87" s="2" t="s">
        <v>327</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271</v>
      </c>
      <c r="K87" s="2" t="s">
        <v>272</v>
      </c>
      <c r="L87" s="119" t="s">
        <v>273</v>
      </c>
      <c r="M87" s="276">
        <v>45939</v>
      </c>
      <c r="N87" s="276">
        <v>45973</v>
      </c>
      <c r="O87" s="277"/>
      <c r="P87" s="2" t="s">
        <v>51</v>
      </c>
      <c r="Q87" s="2" t="s">
        <v>335</v>
      </c>
      <c r="V87" s="274">
        <v>12</v>
      </c>
      <c r="X87" s="278">
        <v>15271.3</v>
      </c>
      <c r="Y87" s="278">
        <v>15271.3</v>
      </c>
      <c r="Z87" s="2" t="s">
        <v>325</v>
      </c>
      <c r="AA87" s="2" t="str">
        <f t="shared" si="22"/>
        <v>2026</v>
      </c>
      <c r="AB87" s="276" t="s">
        <v>292</v>
      </c>
      <c r="AC87" s="276"/>
      <c r="AD87" s="275">
        <v>46116</v>
      </c>
      <c r="AE87" s="276">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6"/>
      <c r="AJ87" s="276"/>
      <c r="AK87" s="2" t="s">
        <v>56</v>
      </c>
      <c r="AL87" s="276"/>
      <c r="AM87" s="276"/>
      <c r="AN87" s="2" t="s">
        <v>56</v>
      </c>
      <c r="AO87" s="276"/>
      <c r="AP87" s="276"/>
      <c r="AQ87" s="2" t="s">
        <v>56</v>
      </c>
      <c r="AR87" s="276"/>
      <c r="AS87" s="276"/>
      <c r="AT87" s="2" t="s">
        <v>56</v>
      </c>
      <c r="AU87" s="276"/>
      <c r="AV87" s="276"/>
      <c r="AW87" s="2" t="s">
        <v>304</v>
      </c>
      <c r="AX87" s="276"/>
      <c r="AY87" s="276"/>
      <c r="AZ87" s="2" t="s">
        <v>57</v>
      </c>
      <c r="BA87" s="276"/>
      <c r="BB87" s="276"/>
      <c r="BC87" s="2" t="str">
        <f t="shared" si="20"/>
        <v>Complete</v>
      </c>
      <c r="BE87" s="119" t="str">
        <f t="shared" si="21"/>
        <v>READY</v>
      </c>
    </row>
    <row r="88" spans="1:58">
      <c r="A88" s="2" t="str">
        <f>IFERROR(VLOOKUP(E88,'Customer '!$A$4:$D$23,3,FALSE),"")</f>
        <v>NON RH</v>
      </c>
      <c r="B88" s="2" t="s">
        <v>267</v>
      </c>
      <c r="C88" s="2" t="s">
        <v>282</v>
      </c>
      <c r="D88" s="2" t="s">
        <v>370</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272</v>
      </c>
      <c r="L88" s="119" t="s">
        <v>301</v>
      </c>
      <c r="M88" s="276">
        <v>45939</v>
      </c>
      <c r="N88" s="282" t="s">
        <v>371</v>
      </c>
      <c r="O88" s="282" t="s">
        <v>371</v>
      </c>
      <c r="P88" s="2" t="s">
        <v>51</v>
      </c>
      <c r="Q88" s="2" t="s">
        <v>335</v>
      </c>
      <c r="R88" s="2">
        <v>0</v>
      </c>
      <c r="S88" s="2">
        <v>0</v>
      </c>
      <c r="V88" s="274">
        <v>12</v>
      </c>
      <c r="X88" s="278">
        <v>3466407</v>
      </c>
      <c r="Y88" s="278">
        <v>1155469</v>
      </c>
      <c r="Z88" s="2" t="s">
        <v>332</v>
      </c>
      <c r="AA88" s="2" t="str">
        <f t="shared" si="22"/>
        <v>2027</v>
      </c>
      <c r="AB88" s="276" t="s">
        <v>292</v>
      </c>
      <c r="AC88" s="276"/>
      <c r="AD88" s="275" t="s">
        <v>149</v>
      </c>
      <c r="AE88" s="276"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344</v>
      </c>
      <c r="AI88" s="276"/>
      <c r="AJ88" s="276"/>
      <c r="AK88" s="2" t="s">
        <v>287</v>
      </c>
      <c r="AL88" s="276"/>
      <c r="AM88" s="276"/>
      <c r="AO88" s="276"/>
      <c r="AP88" s="276"/>
      <c r="AR88" s="276"/>
      <c r="AS88" s="276"/>
      <c r="AU88" s="276"/>
      <c r="AV88" s="276"/>
      <c r="AX88" s="276"/>
      <c r="AY88" s="276"/>
      <c r="BA88" s="276"/>
      <c r="BB88" s="276"/>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c r="A89" s="2" t="str">
        <f>IFERROR(VLOOKUP(E89,'Customer '!$A$4:$D$23,3,FALSE),"")</f>
        <v>NON RH</v>
      </c>
      <c r="B89" s="2" t="s">
        <v>267</v>
      </c>
      <c r="C89" s="2" t="s">
        <v>282</v>
      </c>
      <c r="D89" s="2" t="s">
        <v>370</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272</v>
      </c>
      <c r="L89" s="119" t="s">
        <v>301</v>
      </c>
      <c r="M89" s="276">
        <v>45939</v>
      </c>
      <c r="N89" s="282" t="s">
        <v>371</v>
      </c>
      <c r="O89" s="282" t="s">
        <v>371</v>
      </c>
      <c r="P89" s="2" t="s">
        <v>51</v>
      </c>
      <c r="Q89" s="2" t="s">
        <v>335</v>
      </c>
      <c r="R89" s="2">
        <v>0</v>
      </c>
      <c r="S89" s="2">
        <v>0</v>
      </c>
      <c r="V89" s="274">
        <v>12</v>
      </c>
      <c r="X89" s="278">
        <v>3466407</v>
      </c>
      <c r="Y89" s="278">
        <v>1155469</v>
      </c>
      <c r="Z89" s="2" t="s">
        <v>286</v>
      </c>
      <c r="AA89" s="2" t="str">
        <f t="shared" si="22"/>
        <v>2027</v>
      </c>
      <c r="AB89" s="276" t="s">
        <v>292</v>
      </c>
      <c r="AC89" s="276"/>
      <c r="AD89" s="275" t="s">
        <v>149</v>
      </c>
      <c r="AE89" s="276"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344</v>
      </c>
      <c r="AI89" s="276"/>
      <c r="AJ89" s="276"/>
      <c r="AK89" s="2" t="s">
        <v>287</v>
      </c>
      <c r="AL89" s="276"/>
      <c r="AM89" s="276"/>
      <c r="AO89" s="276"/>
      <c r="AP89" s="276"/>
      <c r="AR89" s="276"/>
      <c r="AS89" s="276"/>
      <c r="AU89" s="276"/>
      <c r="AV89" s="276"/>
      <c r="AX89" s="276"/>
      <c r="AY89" s="276"/>
      <c r="BA89" s="276"/>
      <c r="BB89" s="276"/>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c r="A90" s="2" t="str">
        <f>IFERROR(VLOOKUP(E90,'Customer '!$A$4:$D$23,3,FALSE),"")</f>
        <v>NON RH</v>
      </c>
      <c r="B90" s="2" t="s">
        <v>267</v>
      </c>
      <c r="C90" s="2" t="s">
        <v>282</v>
      </c>
      <c r="D90" s="2" t="s">
        <v>370</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272</v>
      </c>
      <c r="L90" s="119" t="s">
        <v>301</v>
      </c>
      <c r="M90" s="276">
        <v>45939</v>
      </c>
      <c r="N90" s="282" t="s">
        <v>371</v>
      </c>
      <c r="O90" s="282" t="s">
        <v>371</v>
      </c>
      <c r="P90" s="2" t="s">
        <v>51</v>
      </c>
      <c r="Q90" s="2" t="s">
        <v>335</v>
      </c>
      <c r="R90" s="2">
        <v>0</v>
      </c>
      <c r="S90" s="2">
        <v>0</v>
      </c>
      <c r="V90" s="274">
        <v>12</v>
      </c>
      <c r="X90" s="278">
        <v>3466407</v>
      </c>
      <c r="Y90" s="278">
        <v>1155469</v>
      </c>
      <c r="Z90" s="2" t="s">
        <v>288</v>
      </c>
      <c r="AA90" s="2" t="str">
        <f t="shared" si="22"/>
        <v>2027</v>
      </c>
      <c r="AB90" s="276" t="s">
        <v>292</v>
      </c>
      <c r="AC90" s="276"/>
      <c r="AD90" s="275" t="s">
        <v>149</v>
      </c>
      <c r="AE90" s="276"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344</v>
      </c>
      <c r="AI90" s="276"/>
      <c r="AJ90" s="276"/>
      <c r="AK90" s="2" t="s">
        <v>287</v>
      </c>
      <c r="AL90" s="276"/>
      <c r="AM90" s="276"/>
      <c r="AO90" s="276"/>
      <c r="AP90" s="276"/>
      <c r="AR90" s="276"/>
      <c r="AS90" s="276"/>
      <c r="AU90" s="276"/>
      <c r="AV90" s="276"/>
      <c r="AX90" s="276"/>
      <c r="AY90" s="276"/>
      <c r="BA90" s="276"/>
      <c r="BB90" s="276"/>
      <c r="BC90" s="2" t="str">
        <f t="shared" ref="BC90:BC122" si="25">IF(J90="","",IF(OR(J90="OB",J90="NOR",J90="FC",J90="PIPELINE"),"Active","Complete"))</f>
        <v>Active</v>
      </c>
      <c r="BE90" s="119" t="str">
        <f t="shared" ref="BE90:BE122" si="26">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8.8">
      <c r="A91" s="2" t="str">
        <f>IFERROR(VLOOKUP(E91,'Customer '!$A$4:$D$23,3,FALSE),"")</f>
        <v>NON RH</v>
      </c>
      <c r="B91" s="2" t="s">
        <v>327</v>
      </c>
      <c r="C91" s="2" t="s">
        <v>341</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372</v>
      </c>
      <c r="K91" s="2" t="s">
        <v>272</v>
      </c>
      <c r="L91" s="119" t="s">
        <v>354</v>
      </c>
      <c r="M91" s="276">
        <v>46141</v>
      </c>
      <c r="N91" s="276">
        <v>46175</v>
      </c>
      <c r="O91" s="277">
        <v>46100</v>
      </c>
      <c r="P91" s="2" t="s">
        <v>51</v>
      </c>
      <c r="Q91" s="2" t="s">
        <v>373</v>
      </c>
      <c r="R91" s="2">
        <v>0</v>
      </c>
      <c r="S91" s="2">
        <v>0</v>
      </c>
      <c r="V91" s="274">
        <v>16</v>
      </c>
      <c r="W91" s="274">
        <v>20</v>
      </c>
      <c r="X91" s="278">
        <v>6614.04</v>
      </c>
      <c r="Y91" s="278">
        <v>6614.04</v>
      </c>
      <c r="Z91" s="2" t="s">
        <v>297</v>
      </c>
      <c r="AA91" s="2" t="str">
        <f t="shared" si="22"/>
        <v>2026</v>
      </c>
      <c r="AB91" s="276">
        <v>46234</v>
      </c>
      <c r="AC91" s="276"/>
      <c r="AD91" s="275">
        <v>46311</v>
      </c>
      <c r="AE91" s="276">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6"/>
      <c r="AJ91" s="276"/>
      <c r="AK91" s="2" t="s">
        <v>322</v>
      </c>
      <c r="AL91" s="276"/>
      <c r="AM91" s="276"/>
      <c r="AN91" s="2" t="s">
        <v>304</v>
      </c>
      <c r="AO91" s="276"/>
      <c r="AP91" s="276"/>
      <c r="AQ91" s="2" t="s">
        <v>322</v>
      </c>
      <c r="AR91" s="276"/>
      <c r="AS91" s="276"/>
      <c r="AT91" s="2" t="s">
        <v>72</v>
      </c>
      <c r="AU91" s="276"/>
      <c r="AV91" s="276"/>
      <c r="AW91" s="2" t="s">
        <v>304</v>
      </c>
      <c r="AX91" s="276"/>
      <c r="AY91" s="276"/>
      <c r="AZ91" s="2" t="s">
        <v>73</v>
      </c>
      <c r="BA91" s="276"/>
      <c r="BB91" s="276"/>
      <c r="BC91" s="2" t="str">
        <f t="shared" si="25"/>
        <v>Complete</v>
      </c>
      <c r="BE91" s="119" t="str">
        <f t="shared" si="26"/>
        <v>NPD: In progress: Drawing, Marble, Electrical; Pending approval: Veneer/Wood, Metal, Mirror for SW44</v>
      </c>
    </row>
    <row r="92" spans="1:58">
      <c r="A92" s="2" t="str">
        <f>IFERROR(VLOOKUP(E92,'Customer '!$A$4:$D$23,3,FALSE),"")</f>
        <v>NON RH</v>
      </c>
      <c r="B92" s="2" t="s">
        <v>267</v>
      </c>
      <c r="C92" s="2" t="s">
        <v>341</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372</v>
      </c>
      <c r="K92" s="2" t="s">
        <v>272</v>
      </c>
      <c r="L92" s="119" t="s">
        <v>317</v>
      </c>
      <c r="M92" s="276"/>
      <c r="N92" s="276"/>
      <c r="O92" s="277"/>
      <c r="P92" s="2" t="s">
        <v>51</v>
      </c>
      <c r="Q92" s="2" t="s">
        <v>373</v>
      </c>
      <c r="R92" s="2">
        <v>20</v>
      </c>
      <c r="S92" s="2">
        <v>34</v>
      </c>
      <c r="V92" s="274">
        <v>5</v>
      </c>
      <c r="X92" s="278">
        <v>1500000</v>
      </c>
      <c r="Y92" s="278">
        <f>DetailTracker[[#This Row],[PROJECT VALUE $]]/2</f>
        <v>750000</v>
      </c>
      <c r="Z92" s="2" t="s">
        <v>374</v>
      </c>
      <c r="AA92" s="2" t="str">
        <f t="shared" si="22"/>
        <v>2027</v>
      </c>
      <c r="AB92" s="276"/>
      <c r="AC92" s="276"/>
      <c r="AD92" s="275" t="s">
        <v>149</v>
      </c>
      <c r="AE92" s="276"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6"/>
      <c r="AJ92" s="276"/>
      <c r="AK92" s="2" t="s">
        <v>304</v>
      </c>
      <c r="AL92" s="276"/>
      <c r="AM92" s="276"/>
      <c r="AO92" s="276"/>
      <c r="AP92" s="276"/>
      <c r="AR92" s="276"/>
      <c r="AS92" s="276"/>
      <c r="AU92" s="276"/>
      <c r="AV92" s="276"/>
      <c r="AX92" s="276"/>
      <c r="AY92" s="276"/>
      <c r="BA92" s="276"/>
      <c r="BB92" s="276"/>
      <c r="BC92" s="2" t="str">
        <f t="shared" si="25"/>
        <v>Complete</v>
      </c>
      <c r="BE92" s="119" t="str">
        <f t="shared" si="26"/>
        <v>NPI: In progress: Drawing, Veneer/Wood for SW TBC</v>
      </c>
    </row>
    <row r="93" spans="1:58">
      <c r="A93" s="2" t="str">
        <f>IFERROR(VLOOKUP(E93,'Customer '!$A$4:$D$23,3,FALSE),"")</f>
        <v>NON RH</v>
      </c>
      <c r="B93" s="2" t="s">
        <v>267</v>
      </c>
      <c r="C93" s="2" t="s">
        <v>341</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372</v>
      </c>
      <c r="K93" s="2" t="s">
        <v>272</v>
      </c>
      <c r="L93" s="119" t="s">
        <v>317</v>
      </c>
      <c r="M93" s="276"/>
      <c r="N93" s="276"/>
      <c r="O93" s="277"/>
      <c r="P93" s="2" t="s">
        <v>51</v>
      </c>
      <c r="Q93" s="2" t="s">
        <v>373</v>
      </c>
      <c r="R93" s="2">
        <v>20</v>
      </c>
      <c r="S93" s="2">
        <v>34</v>
      </c>
      <c r="V93" s="274">
        <v>5</v>
      </c>
      <c r="X93" s="278">
        <v>1500000</v>
      </c>
      <c r="Y93" s="278">
        <f>DetailTracker[[#This Row],[PROJECT VALUE $]]/2</f>
        <v>750000</v>
      </c>
      <c r="Z93" s="2" t="s">
        <v>343</v>
      </c>
      <c r="AA93" s="2" t="str">
        <f t="shared" si="22"/>
        <v>2027</v>
      </c>
      <c r="AB93" s="276"/>
      <c r="AC93" s="276"/>
      <c r="AD93" s="275" t="s">
        <v>149</v>
      </c>
      <c r="AE93" s="276"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6"/>
      <c r="AJ93" s="276"/>
      <c r="AK93" s="2" t="s">
        <v>304</v>
      </c>
      <c r="AL93" s="276"/>
      <c r="AM93" s="276"/>
      <c r="AO93" s="276"/>
      <c r="AP93" s="276"/>
      <c r="AR93" s="276"/>
      <c r="AS93" s="276"/>
      <c r="AU93" s="276"/>
      <c r="AV93" s="276"/>
      <c r="AX93" s="276"/>
      <c r="AY93" s="276"/>
      <c r="BA93" s="276"/>
      <c r="BB93" s="276"/>
      <c r="BC93" s="2" t="str">
        <f t="shared" si="25"/>
        <v>Complete</v>
      </c>
      <c r="BE93" s="119" t="str">
        <f t="shared" si="26"/>
        <v>NPI: In progress: Drawing, Veneer/Wood for SW TBC</v>
      </c>
    </row>
    <row r="94" spans="1:58">
      <c r="A94" s="2" t="str">
        <f>IFERROR(VLOOKUP(E94,'Customer '!$A$4:$D$23,3,FALSE),"")</f>
        <v>NON RH</v>
      </c>
      <c r="B94" s="2" t="s">
        <v>327</v>
      </c>
      <c r="C94" s="2" t="s">
        <v>298</v>
      </c>
      <c r="E94" s="2" t="s">
        <v>176</v>
      </c>
      <c r="F94" s="2" t="str">
        <f>IFERROR(VLOOKUP(E94,'Customer '!$A$4:$D$28,2,FALSE),"")</f>
        <v>SPECTRUM</v>
      </c>
      <c r="G94" s="2" t="s">
        <v>375</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271</v>
      </c>
      <c r="K94" s="2" t="s">
        <v>272</v>
      </c>
      <c r="L94" s="119" t="s">
        <v>311</v>
      </c>
      <c r="M94" s="276">
        <v>46091</v>
      </c>
      <c r="N94" s="276">
        <v>46099</v>
      </c>
      <c r="O94" s="277"/>
      <c r="P94" s="2" t="s">
        <v>51</v>
      </c>
      <c r="Q94" s="2" t="s">
        <v>329</v>
      </c>
      <c r="R94" s="2">
        <v>0</v>
      </c>
      <c r="S94" s="2">
        <v>0</v>
      </c>
      <c r="V94" s="274">
        <v>4</v>
      </c>
      <c r="W94" s="274">
        <v>4</v>
      </c>
      <c r="X94" s="278">
        <v>4027.44</v>
      </c>
      <c r="Y94" s="278">
        <v>3273</v>
      </c>
      <c r="Z94" s="2" t="s">
        <v>281</v>
      </c>
      <c r="AA94" s="2" t="str">
        <f t="shared" si="22"/>
        <v>2026</v>
      </c>
      <c r="AB94" s="276" t="s">
        <v>292</v>
      </c>
      <c r="AC94" s="276"/>
      <c r="AD94" s="275">
        <v>46276</v>
      </c>
      <c r="AE94" s="276">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6"/>
      <c r="AJ94" s="276"/>
      <c r="AK94" s="2" t="s">
        <v>56</v>
      </c>
      <c r="AL94" s="276"/>
      <c r="AM94" s="276"/>
      <c r="AN94" s="2" t="s">
        <v>73</v>
      </c>
      <c r="AO94" s="276"/>
      <c r="AP94" s="276"/>
      <c r="AQ94" s="2" t="s">
        <v>56</v>
      </c>
      <c r="AR94" s="276"/>
      <c r="AS94" s="276"/>
      <c r="AT94" s="2" t="s">
        <v>56</v>
      </c>
      <c r="AU94" s="276"/>
      <c r="AV94" s="276"/>
      <c r="AW94" s="2" t="s">
        <v>73</v>
      </c>
      <c r="AX94" s="276"/>
      <c r="AY94" s="276"/>
      <c r="AZ94" s="2" t="s">
        <v>73</v>
      </c>
      <c r="BA94" s="276"/>
      <c r="BB94" s="276"/>
      <c r="BC94" s="2" t="str">
        <f t="shared" si="25"/>
        <v>Complete</v>
      </c>
      <c r="BE94" s="119" t="str">
        <f t="shared" si="26"/>
        <v>READY</v>
      </c>
    </row>
    <row r="95" spans="1:58">
      <c r="A95" s="2" t="str">
        <f>IFERROR(VLOOKUP(E95,'Customer '!$A$4:$D$23,3,FALSE),"")</f>
        <v>NON RH</v>
      </c>
      <c r="B95" s="2" t="s">
        <v>267</v>
      </c>
      <c r="C95" s="2" t="s">
        <v>298</v>
      </c>
      <c r="E95" s="2" t="s">
        <v>176</v>
      </c>
      <c r="F95" s="2" t="str">
        <f>IFERROR(VLOOKUP(E95,'Customer '!$A$4:$D$28,2,FALSE),"")</f>
        <v>SPECTRUM</v>
      </c>
      <c r="G95" s="2" t="s">
        <v>375</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272</v>
      </c>
      <c r="L95" s="119" t="s">
        <v>301</v>
      </c>
      <c r="M95" s="276"/>
      <c r="N95" s="276" t="s">
        <v>292</v>
      </c>
      <c r="O95" s="277"/>
      <c r="P95" s="2" t="s">
        <v>51</v>
      </c>
      <c r="Q95" s="2" t="s">
        <v>329</v>
      </c>
      <c r="R95" s="2">
        <v>0</v>
      </c>
      <c r="S95" s="2">
        <v>0</v>
      </c>
      <c r="V95" s="274">
        <v>4</v>
      </c>
      <c r="X95" s="278">
        <v>179782</v>
      </c>
      <c r="Y95" s="278">
        <v>179782</v>
      </c>
      <c r="Z95" s="2" t="s">
        <v>337</v>
      </c>
      <c r="AA95" s="2" t="str">
        <f t="shared" si="22"/>
        <v>2027</v>
      </c>
      <c r="AB95" s="276" t="s">
        <v>292</v>
      </c>
      <c r="AC95" s="276"/>
      <c r="AD95" s="275">
        <v>46479</v>
      </c>
      <c r="AE95" s="276">
        <v>46486</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2027/W14</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2027/W15</v>
      </c>
      <c r="AH95" s="2" t="s">
        <v>344</v>
      </c>
      <c r="AI95" s="276"/>
      <c r="AJ95" s="276"/>
      <c r="AK95" s="2" t="s">
        <v>287</v>
      </c>
      <c r="AL95" s="276"/>
      <c r="AM95" s="276"/>
      <c r="AN95" s="2" t="s">
        <v>73</v>
      </c>
      <c r="AO95" s="276"/>
      <c r="AP95" s="276"/>
      <c r="AQ95" s="2" t="s">
        <v>344</v>
      </c>
      <c r="AR95" s="276"/>
      <c r="AS95" s="276"/>
      <c r="AT95" s="2" t="s">
        <v>344</v>
      </c>
      <c r="AU95" s="276"/>
      <c r="AV95" s="276"/>
      <c r="AW95" s="2" t="s">
        <v>344</v>
      </c>
      <c r="AX95" s="276"/>
      <c r="AY95" s="276"/>
      <c r="AZ95" s="2" t="s">
        <v>344</v>
      </c>
      <c r="BA95" s="276"/>
      <c r="BB95" s="276"/>
      <c r="BC95" s="2" t="str">
        <f t="shared" si="25"/>
        <v>Active</v>
      </c>
      <c r="BE95" s="119" t="str">
        <f t="shared" si="26"/>
        <v>NPI: Not started: Veneer/Wood for SW15</v>
      </c>
    </row>
    <row r="96" spans="1:58">
      <c r="A96" s="2" t="str">
        <f>IFERROR(VLOOKUP(E96,'Customer '!$A$4:$D$23,3,FALSE),"")</f>
        <v>NON RH</v>
      </c>
      <c r="B96" s="2" t="s">
        <v>327</v>
      </c>
      <c r="C96" s="2" t="s">
        <v>282</v>
      </c>
      <c r="E96" s="2" t="s">
        <v>376</v>
      </c>
      <c r="F96" s="2" t="str">
        <f>IFERROR(VLOOKUP(E96,'Customer '!$A$4:$D$28,2,FALSE),"")</f>
        <v>AYALA</v>
      </c>
      <c r="G96" s="2" t="s">
        <v>377</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271</v>
      </c>
      <c r="K96" s="2" t="s">
        <v>272</v>
      </c>
      <c r="L96" s="119" t="s">
        <v>273</v>
      </c>
      <c r="M96" s="276">
        <v>46156</v>
      </c>
      <c r="N96" s="276">
        <v>46177</v>
      </c>
      <c r="O96" s="277">
        <v>46197</v>
      </c>
      <c r="P96" s="2" t="s">
        <v>132</v>
      </c>
      <c r="Q96" s="2" t="s">
        <v>355</v>
      </c>
      <c r="R96" s="2">
        <v>0</v>
      </c>
      <c r="S96" s="2">
        <v>0</v>
      </c>
      <c r="V96" s="274">
        <v>9</v>
      </c>
      <c r="W96" s="274">
        <v>9</v>
      </c>
      <c r="X96" s="278">
        <v>7901.24</v>
      </c>
      <c r="Y96" s="278">
        <v>7901.24</v>
      </c>
      <c r="Z96" s="2" t="s">
        <v>281</v>
      </c>
      <c r="AA96" s="2" t="str">
        <f t="shared" si="22"/>
        <v>2026</v>
      </c>
      <c r="AB96" s="276">
        <v>46237</v>
      </c>
      <c r="AC96" s="276">
        <v>46241</v>
      </c>
      <c r="AD96" s="275">
        <v>46262</v>
      </c>
      <c r="AE96" s="276">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6"/>
      <c r="AJ96" s="276"/>
      <c r="AK96" s="2" t="s">
        <v>304</v>
      </c>
      <c r="AL96" s="276"/>
      <c r="AM96" s="276"/>
      <c r="AN96" s="2" t="s">
        <v>56</v>
      </c>
      <c r="AO96" s="276"/>
      <c r="AP96" s="276">
        <v>46196</v>
      </c>
      <c r="AQ96" s="2" t="s">
        <v>322</v>
      </c>
      <c r="AR96" s="276"/>
      <c r="AS96" s="276"/>
      <c r="AT96" s="2" t="s">
        <v>73</v>
      </c>
      <c r="AU96" s="276"/>
      <c r="AV96" s="276"/>
      <c r="AW96" s="2" t="s">
        <v>73</v>
      </c>
      <c r="AX96" s="276"/>
      <c r="AY96" s="276"/>
      <c r="AZ96" s="2" t="s">
        <v>57</v>
      </c>
      <c r="BA96" s="276"/>
      <c r="BB96" s="276">
        <v>46210</v>
      </c>
      <c r="BC96" s="2" t="str">
        <f t="shared" si="25"/>
        <v>Complete</v>
      </c>
      <c r="BE96" s="119" t="str">
        <f t="shared" si="26"/>
        <v>READY</v>
      </c>
    </row>
    <row r="97" spans="1:57" ht="43.2">
      <c r="A97" s="2" t="str">
        <f>IFERROR(VLOOKUP(E97,'Customer '!$A$4:$D$23,3,FALSE),"")</f>
        <v>NON RH</v>
      </c>
      <c r="B97" s="2" t="s">
        <v>327</v>
      </c>
      <c r="C97" s="2" t="s">
        <v>282</v>
      </c>
      <c r="E97" s="2" t="s">
        <v>378</v>
      </c>
      <c r="F97" s="2" t="str">
        <f>IFERROR(VLOOKUP(E97,'Customer '!$A$4:$D$28,2,FALSE),"")</f>
        <v>BENJAMIN</v>
      </c>
      <c r="G97" s="2" t="s">
        <v>379</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310</v>
      </c>
      <c r="K97" s="2" t="s">
        <v>272</v>
      </c>
      <c r="L97" s="119" t="s">
        <v>380</v>
      </c>
      <c r="M97" s="276">
        <v>46202</v>
      </c>
      <c r="N97" s="276">
        <v>46233</v>
      </c>
      <c r="O97" s="277"/>
      <c r="P97" s="2" t="s">
        <v>147</v>
      </c>
      <c r="Q97" s="2" t="s">
        <v>314</v>
      </c>
      <c r="R97" s="2">
        <v>0</v>
      </c>
      <c r="S97" s="2">
        <v>0</v>
      </c>
      <c r="V97" s="274">
        <v>21</v>
      </c>
      <c r="W97" s="274">
        <v>23</v>
      </c>
      <c r="X97" s="278">
        <v>32000</v>
      </c>
      <c r="Y97" s="278">
        <v>32000</v>
      </c>
      <c r="Z97" s="2" t="s">
        <v>333</v>
      </c>
      <c r="AA97" s="2" t="str">
        <f t="shared" si="22"/>
        <v>2026</v>
      </c>
      <c r="AB97" s="276"/>
      <c r="AC97" s="276"/>
      <c r="AD97" s="275">
        <v>46339</v>
      </c>
      <c r="AE97" s="276">
        <v>46370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2026/W51</v>
      </c>
      <c r="AH97" s="2" t="s">
        <v>322</v>
      </c>
      <c r="AI97" s="276">
        <v>46291</v>
      </c>
      <c r="AJ97" s="276"/>
      <c r="AK97" s="2" t="s">
        <v>322</v>
      </c>
      <c r="AL97" s="276">
        <v>46291</v>
      </c>
      <c r="AM97" s="276"/>
      <c r="AN97" s="2" t="s">
        <v>304</v>
      </c>
      <c r="AO97" s="276">
        <v>46291</v>
      </c>
      <c r="AP97" s="276"/>
      <c r="AQ97" s="2" t="s">
        <v>304</v>
      </c>
      <c r="AR97" s="276">
        <v>46291</v>
      </c>
      <c r="AS97" s="276"/>
      <c r="AT97" s="2" t="s">
        <v>73</v>
      </c>
      <c r="AU97" s="276"/>
      <c r="AV97" s="276"/>
      <c r="AW97" s="2" t="s">
        <v>73</v>
      </c>
      <c r="AX97" s="276"/>
      <c r="AY97" s="276"/>
      <c r="AZ97" s="2" t="s">
        <v>342</v>
      </c>
      <c r="BA97" s="276"/>
      <c r="BB97" s="276"/>
      <c r="BC97" s="2" t="str">
        <f t="shared" si="25"/>
        <v>Active</v>
      </c>
      <c r="BE97" s="119" t="str">
        <f t="shared" si="26"/>
        <v>NPD: In progress: Marble, Metal; Pending approval: Drawing, Veneer/Wood; Fabric is com pending; need approval by 26-Sep-26 for SW51</v>
      </c>
    </row>
    <row r="98" spans="1:57">
      <c r="A98" s="2" t="str">
        <f>IFERROR(VLOOKUP(E98,'Customer '!$A$4:$D$23,3,FALSE),"")</f>
        <v>NON RH</v>
      </c>
      <c r="B98" s="2" t="s">
        <v>267</v>
      </c>
      <c r="C98" s="2" t="s">
        <v>282</v>
      </c>
      <c r="E98" s="2" t="s">
        <v>378</v>
      </c>
      <c r="F98" s="2" t="str">
        <f>IFERROR(VLOOKUP(E98,'Customer '!$A$4:$D$28,2,FALSE),"")</f>
        <v>BENJAMIN</v>
      </c>
      <c r="G98" s="2" t="s">
        <v>379</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272</v>
      </c>
      <c r="L98" s="119" t="s">
        <v>317</v>
      </c>
      <c r="M98" s="276"/>
      <c r="N98" s="276"/>
      <c r="O98" s="277"/>
      <c r="P98" s="2" t="s">
        <v>147</v>
      </c>
      <c r="Q98" s="2" t="s">
        <v>314</v>
      </c>
      <c r="R98" s="2">
        <v>64</v>
      </c>
      <c r="S98" s="2">
        <v>137</v>
      </c>
      <c r="V98" s="274">
        <v>122</v>
      </c>
      <c r="W98" s="274">
        <v>1011</v>
      </c>
      <c r="X98" s="278">
        <v>596794</v>
      </c>
      <c r="Y98" s="278">
        <v>596794</v>
      </c>
      <c r="Z98" s="2" t="s">
        <v>286</v>
      </c>
      <c r="AA98" s="2" t="str">
        <f t="shared" si="22"/>
        <v>2027</v>
      </c>
      <c r="AB98" s="276"/>
      <c r="AC98" s="276"/>
      <c r="AD98" s="275" t="s">
        <v>149</v>
      </c>
      <c r="AE98" s="276"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6"/>
      <c r="AJ98" s="276"/>
      <c r="AK98" s="2" t="s">
        <v>287</v>
      </c>
      <c r="AL98" s="276"/>
      <c r="AM98" s="276"/>
      <c r="AO98" s="276"/>
      <c r="AP98" s="276"/>
      <c r="AR98" s="276"/>
      <c r="AS98" s="276"/>
      <c r="AU98" s="276"/>
      <c r="AV98" s="276"/>
      <c r="AX98" s="276"/>
      <c r="AY98" s="276"/>
      <c r="BA98" s="276"/>
      <c r="BB98" s="276"/>
      <c r="BC98" s="2" t="str">
        <f t="shared" si="25"/>
        <v>Active</v>
      </c>
      <c r="BE98" s="119" t="str">
        <f t="shared" si="26"/>
        <v>NPI: Not started: Drawing, Veneer/Wood for SW TBC</v>
      </c>
    </row>
    <row r="99" spans="1:57">
      <c r="A99" s="2" t="str">
        <f>IFERROR(VLOOKUP(E99,'Customer '!$A$4:$D$23,3,FALSE),"")</f>
        <v>RH</v>
      </c>
      <c r="B99" s="2" t="s">
        <v>267</v>
      </c>
      <c r="C99" s="2" t="s">
        <v>271</v>
      </c>
      <c r="D99" s="2" t="s">
        <v>269</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271</v>
      </c>
      <c r="K99" s="2" t="s">
        <v>272</v>
      </c>
      <c r="L99" s="119" t="s">
        <v>273</v>
      </c>
      <c r="M99" s="276">
        <v>45917</v>
      </c>
      <c r="N99" s="276"/>
      <c r="O99" s="277"/>
      <c r="P99" s="2" t="s">
        <v>152</v>
      </c>
      <c r="Q99" s="2" t="s">
        <v>152</v>
      </c>
      <c r="V99" s="274">
        <v>26</v>
      </c>
      <c r="X99" s="278">
        <v>71837</v>
      </c>
      <c r="Y99" s="278">
        <v>71837</v>
      </c>
      <c r="Z99" s="2" t="s">
        <v>381</v>
      </c>
      <c r="AA99" s="2" t="str">
        <f t="shared" si="22"/>
        <v>2026</v>
      </c>
      <c r="AB99" s="276"/>
      <c r="AC99" s="276"/>
      <c r="AD99" s="275">
        <v>45674</v>
      </c>
      <c r="AE99" s="276">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6"/>
      <c r="AJ99" s="276"/>
      <c r="AK99" s="2" t="s">
        <v>56</v>
      </c>
      <c r="AL99" s="276"/>
      <c r="AM99" s="276"/>
      <c r="AN99" s="2" t="s">
        <v>73</v>
      </c>
      <c r="AO99" s="276"/>
      <c r="AP99" s="276"/>
      <c r="AQ99" s="2" t="s">
        <v>56</v>
      </c>
      <c r="AR99" s="276"/>
      <c r="AS99" s="276"/>
      <c r="AT99" s="2" t="s">
        <v>73</v>
      </c>
      <c r="AU99" s="276"/>
      <c r="AV99" s="276"/>
      <c r="AW99" s="2" t="s">
        <v>73</v>
      </c>
      <c r="AX99" s="276"/>
      <c r="AY99" s="276"/>
      <c r="AZ99" s="2" t="s">
        <v>57</v>
      </c>
      <c r="BA99" s="276"/>
      <c r="BB99" s="276"/>
      <c r="BC99" s="2" t="str">
        <f t="shared" si="25"/>
        <v>Complete</v>
      </c>
      <c r="BD99" s="2" t="s">
        <v>278</v>
      </c>
      <c r="BE99" s="119" t="str">
        <f t="shared" si="26"/>
        <v>READY</v>
      </c>
    </row>
    <row r="100" spans="1:57">
      <c r="A100" s="2" t="str">
        <f>IFERROR(VLOOKUP(E100,'Customer '!$A$4:$D$23,3,FALSE),"")</f>
        <v>NON RH</v>
      </c>
      <c r="B100" s="2" t="s">
        <v>267</v>
      </c>
      <c r="C100" s="2" t="s">
        <v>308</v>
      </c>
      <c r="E100" s="2" t="s">
        <v>382</v>
      </c>
      <c r="F100" s="2" t="str">
        <f>IFERROR(VLOOKUP(E100,'Customer '!$A$4:$D$28,2,FALSE),"")</f>
        <v>WOODHAUS</v>
      </c>
      <c r="G100" s="2" t="s">
        <v>383</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271</v>
      </c>
      <c r="K100" s="2" t="s">
        <v>272</v>
      </c>
      <c r="L100" s="119" t="s">
        <v>273</v>
      </c>
      <c r="M100" s="276">
        <v>46128</v>
      </c>
      <c r="N100" s="276">
        <v>46158</v>
      </c>
      <c r="O100" s="277"/>
      <c r="P100" s="2" t="s">
        <v>51</v>
      </c>
      <c r="Q100" s="2" t="s">
        <v>351</v>
      </c>
      <c r="V100" s="274">
        <v>12</v>
      </c>
      <c r="X100" s="278">
        <v>22198</v>
      </c>
      <c r="Y100" s="278">
        <v>22198</v>
      </c>
      <c r="Z100" s="2" t="s">
        <v>281</v>
      </c>
      <c r="AA100" s="2" t="str">
        <f t="shared" si="22"/>
        <v>2026</v>
      </c>
      <c r="AB100" s="276">
        <v>46218</v>
      </c>
      <c r="AC100" s="276">
        <v>46234</v>
      </c>
      <c r="AD100" s="275">
        <v>46238</v>
      </c>
      <c r="AE100" s="275">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6"/>
      <c r="AJ100" s="276">
        <v>46156</v>
      </c>
      <c r="AK100" s="2" t="s">
        <v>56</v>
      </c>
      <c r="AL100" s="276"/>
      <c r="AM100" s="276"/>
      <c r="AN100" s="2" t="s">
        <v>73</v>
      </c>
      <c r="AO100" s="276"/>
      <c r="AP100" s="276"/>
      <c r="AQ100" s="2" t="s">
        <v>73</v>
      </c>
      <c r="AR100" s="276"/>
      <c r="AS100" s="276"/>
      <c r="AT100" s="2" t="s">
        <v>73</v>
      </c>
      <c r="AU100" s="276"/>
      <c r="AV100" s="276"/>
      <c r="AW100" s="2" t="s">
        <v>73</v>
      </c>
      <c r="AX100" s="276"/>
      <c r="AY100" s="276"/>
      <c r="AZ100" s="2" t="s">
        <v>73</v>
      </c>
      <c r="BA100" s="276"/>
      <c r="BB100" s="276"/>
      <c r="BC100" s="2" t="str">
        <f t="shared" si="25"/>
        <v>Complete</v>
      </c>
      <c r="BE100" s="119" t="str">
        <f t="shared" si="26"/>
        <v>READY</v>
      </c>
    </row>
    <row r="101" spans="1:57">
      <c r="A101" s="2" t="str">
        <f>IFERROR(VLOOKUP(E101,'Customer '!$A$4:$D$23,3,FALSE),"")</f>
        <v>NON RH</v>
      </c>
      <c r="B101" s="2" t="s">
        <v>267</v>
      </c>
      <c r="C101" s="2" t="s">
        <v>341</v>
      </c>
      <c r="E101" s="2" t="s">
        <v>196</v>
      </c>
      <c r="F101" s="2" t="str">
        <f>IFERROR(VLOOKUP(E101,'Customer '!$A$4:$D$28,2,FALSE),"")</f>
        <v>TRIMA</v>
      </c>
      <c r="G101" s="2" t="s">
        <v>384</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321</v>
      </c>
      <c r="K101" s="2" t="s">
        <v>272</v>
      </c>
      <c r="L101" s="119" t="s">
        <v>285</v>
      </c>
      <c r="M101" s="276"/>
      <c r="N101" s="276"/>
      <c r="O101" s="277"/>
      <c r="P101" s="2" t="s">
        <v>385</v>
      </c>
      <c r="Q101" s="2" t="s">
        <v>386</v>
      </c>
      <c r="R101" s="2">
        <v>0</v>
      </c>
      <c r="S101" s="2">
        <v>0</v>
      </c>
      <c r="X101" s="278">
        <v>1131814</v>
      </c>
      <c r="Y101" s="278">
        <v>1131814</v>
      </c>
      <c r="Z101" s="2" t="s">
        <v>288</v>
      </c>
      <c r="AA101" s="2" t="str">
        <f t="shared" si="22"/>
        <v>2027</v>
      </c>
      <c r="AB101" s="276"/>
      <c r="AC101" s="276"/>
      <c r="AD101" s="275" t="s">
        <v>149</v>
      </c>
      <c r="AE101" s="276"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344</v>
      </c>
      <c r="AI101" s="276"/>
      <c r="AJ101" s="276"/>
      <c r="AL101" s="276"/>
      <c r="AM101" s="276"/>
      <c r="AO101" s="276"/>
      <c r="AP101" s="276"/>
      <c r="AR101" s="276"/>
      <c r="AS101" s="276"/>
      <c r="AU101" s="276"/>
      <c r="AV101" s="276"/>
      <c r="AX101" s="276"/>
      <c r="AY101" s="276"/>
      <c r="BA101" s="276"/>
      <c r="BB101" s="276"/>
      <c r="BC101" s="2" t="str">
        <f t="shared" si="25"/>
        <v>Active</v>
      </c>
      <c r="BE101" s="119" t="str">
        <f t="shared" si="26"/>
        <v>NPI: All development items approved/closed for SW TBC</v>
      </c>
    </row>
    <row r="102" spans="1:57">
      <c r="A102" s="2" t="str">
        <f>IFERROR(VLOOKUP(E102,'Customer '!$A$4:$D$23,3,FALSE),"")</f>
        <v>NON RH</v>
      </c>
      <c r="B102" s="2" t="s">
        <v>267</v>
      </c>
      <c r="C102" s="2" t="s">
        <v>341</v>
      </c>
      <c r="E102" s="2" t="s">
        <v>196</v>
      </c>
      <c r="F102" s="2" t="str">
        <f>IFERROR(VLOOKUP(E102,'Customer '!$A$4:$D$28,2,FALSE),"")</f>
        <v>TRIMA</v>
      </c>
      <c r="G102" s="2" t="s">
        <v>384</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321</v>
      </c>
      <c r="K102" s="2" t="s">
        <v>272</v>
      </c>
      <c r="L102" s="119" t="s">
        <v>285</v>
      </c>
      <c r="M102" s="276"/>
      <c r="N102" s="276"/>
      <c r="O102" s="277"/>
      <c r="P102" s="2" t="s">
        <v>385</v>
      </c>
      <c r="Q102" s="2" t="s">
        <v>386</v>
      </c>
      <c r="R102" s="2">
        <v>0</v>
      </c>
      <c r="S102" s="2">
        <v>0</v>
      </c>
      <c r="X102" s="278">
        <v>1131814</v>
      </c>
      <c r="Y102" s="278">
        <v>1131814</v>
      </c>
      <c r="Z102" s="2" t="s">
        <v>289</v>
      </c>
      <c r="AA102" s="2" t="str">
        <f t="shared" si="22"/>
        <v>2027</v>
      </c>
      <c r="AB102" s="276"/>
      <c r="AC102" s="276"/>
      <c r="AD102" s="275" t="s">
        <v>149</v>
      </c>
      <c r="AE102" s="276"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344</v>
      </c>
      <c r="AI102" s="276"/>
      <c r="AJ102" s="276"/>
      <c r="AL102" s="276"/>
      <c r="AM102" s="276"/>
      <c r="AO102" s="276"/>
      <c r="AP102" s="276"/>
      <c r="AR102" s="276"/>
      <c r="AS102" s="276"/>
      <c r="AU102" s="276"/>
      <c r="AV102" s="276"/>
      <c r="AX102" s="276"/>
      <c r="AY102" s="276"/>
      <c r="BA102" s="276"/>
      <c r="BB102" s="276"/>
      <c r="BC102" s="2" t="str">
        <f t="shared" si="25"/>
        <v>Active</v>
      </c>
      <c r="BE102" s="119" t="str">
        <f t="shared" si="26"/>
        <v>NPI: All development items approved/closed for SW TBC</v>
      </c>
    </row>
    <row r="103" spans="1:57">
      <c r="A103" s="2" t="str">
        <f>IFERROR(VLOOKUP(E103,'Customer '!$A$4:$D$23,3,FALSE),"")</f>
        <v>RH</v>
      </c>
      <c r="B103" s="2" t="s">
        <v>267</v>
      </c>
      <c r="C103" s="2" t="s">
        <v>149</v>
      </c>
      <c r="D103" s="2" t="s">
        <v>313</v>
      </c>
      <c r="E103" s="2" t="s">
        <v>61</v>
      </c>
      <c r="F103" s="2" t="str">
        <f>IFERROR(VLOOKUP(E103,'Customer '!$A$4:$D$28,2,FALSE),"")</f>
        <v>RH</v>
      </c>
      <c r="G103" s="2" t="s">
        <v>387</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272</v>
      </c>
      <c r="L103" s="119" t="s">
        <v>285</v>
      </c>
      <c r="M103" s="276"/>
      <c r="N103" s="276"/>
      <c r="O103" s="277"/>
      <c r="P103" s="2" t="s">
        <v>132</v>
      </c>
      <c r="Q103" s="2" t="s">
        <v>132</v>
      </c>
      <c r="R103" s="2">
        <v>0</v>
      </c>
      <c r="S103" s="2">
        <v>0</v>
      </c>
      <c r="X103" s="278">
        <v>1000000</v>
      </c>
      <c r="Y103" s="278">
        <v>1000000</v>
      </c>
      <c r="Z103" s="2" t="s">
        <v>374</v>
      </c>
      <c r="AA103" s="2" t="str">
        <f t="shared" si="22"/>
        <v>2027</v>
      </c>
      <c r="AB103" s="276"/>
      <c r="AC103" s="276"/>
      <c r="AD103" s="275">
        <v>46641</v>
      </c>
      <c r="AE103" s="276">
        <v>46655</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2027/W37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2027/W39</v>
      </c>
      <c r="AH103" s="2" t="s">
        <v>344</v>
      </c>
      <c r="AI103" s="276"/>
      <c r="AJ103" s="276"/>
      <c r="AL103" s="276"/>
      <c r="AM103" s="276"/>
      <c r="AO103" s="276"/>
      <c r="AP103" s="276"/>
      <c r="AR103" s="276"/>
      <c r="AS103" s="276"/>
      <c r="AU103" s="276"/>
      <c r="AV103" s="276"/>
      <c r="AX103" s="276"/>
      <c r="AY103" s="276"/>
      <c r="BA103" s="276"/>
      <c r="BB103" s="276"/>
      <c r="BC103" s="2" t="str">
        <f t="shared" si="25"/>
        <v>Active</v>
      </c>
      <c r="BD103" s="2" t="s">
        <v>278</v>
      </c>
      <c r="BE103" s="119" t="str">
        <f t="shared" si="26"/>
        <v>NPI: All development items approved/closed for SW39</v>
      </c>
    </row>
    <row r="104" spans="1:57">
      <c r="A104" s="2" t="str">
        <f>IFERROR(VLOOKUP(E104,'Customer '!$A$4:$D$23,3,FALSE),"")</f>
        <v>RH</v>
      </c>
      <c r="B104" s="2" t="s">
        <v>267</v>
      </c>
      <c r="C104" s="2" t="s">
        <v>282</v>
      </c>
      <c r="D104" s="2" t="s">
        <v>313</v>
      </c>
      <c r="E104" s="2" t="s">
        <v>61</v>
      </c>
      <c r="F104" s="2" t="str">
        <f>IFERROR(VLOOKUP(E104,'Customer '!$A$4:$D$28,2,FALSE),"")</f>
        <v>RH</v>
      </c>
      <c r="G104" s="2" t="s">
        <v>388</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271</v>
      </c>
      <c r="K104" s="2" t="s">
        <v>272</v>
      </c>
      <c r="L104" s="119" t="s">
        <v>311</v>
      </c>
      <c r="M104" s="276">
        <v>46104</v>
      </c>
      <c r="N104" s="276">
        <v>46118</v>
      </c>
      <c r="O104" s="277"/>
      <c r="P104" s="2" t="s">
        <v>389</v>
      </c>
      <c r="Q104" s="2" t="s">
        <v>390</v>
      </c>
      <c r="R104" s="2">
        <v>0</v>
      </c>
      <c r="S104" s="2">
        <v>0</v>
      </c>
      <c r="V104" s="274">
        <v>18</v>
      </c>
      <c r="X104" s="278">
        <v>149029</v>
      </c>
      <c r="Y104" s="278">
        <f>DetailTracker[[#This Row],[PROJECT VALUE $]]/2</f>
        <v>74514.5</v>
      </c>
      <c r="Z104" s="2" t="s">
        <v>297</v>
      </c>
      <c r="AA104" s="2" t="str">
        <f t="shared" si="22"/>
        <v>2026</v>
      </c>
      <c r="AB104" s="276">
        <v>46241</v>
      </c>
      <c r="AC104" s="276">
        <v>46241</v>
      </c>
      <c r="AD104" s="275">
        <v>46291</v>
      </c>
      <c r="AE104" s="276">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6"/>
      <c r="AJ104" s="276"/>
      <c r="AK104" s="2" t="s">
        <v>56</v>
      </c>
      <c r="AL104" s="276"/>
      <c r="AM104" s="276"/>
      <c r="AN104" s="2" t="s">
        <v>56</v>
      </c>
      <c r="AO104" s="276"/>
      <c r="AP104" s="276"/>
      <c r="AQ104" s="2" t="s">
        <v>56</v>
      </c>
      <c r="AR104" s="276"/>
      <c r="AS104" s="276"/>
      <c r="AT104" s="2" t="s">
        <v>56</v>
      </c>
      <c r="AU104" s="276"/>
      <c r="AV104" s="276"/>
      <c r="AW104" s="2" t="s">
        <v>56</v>
      </c>
      <c r="AX104" s="276"/>
      <c r="AY104" s="276"/>
      <c r="AZ104" s="2" t="s">
        <v>277</v>
      </c>
      <c r="BA104" s="276"/>
      <c r="BB104" s="276"/>
      <c r="BC104" s="2" t="str">
        <f t="shared" si="25"/>
        <v>Complete</v>
      </c>
      <c r="BD104" s="2" t="s">
        <v>278</v>
      </c>
      <c r="BE104" s="119" t="str">
        <f t="shared" si="26"/>
        <v>READY</v>
      </c>
    </row>
    <row r="105" spans="1:57">
      <c r="A105" s="2" t="str">
        <f>IFERROR(VLOOKUP(E105,'Customer '!$A$4:$D$23,3,FALSE),"")</f>
        <v>RH</v>
      </c>
      <c r="B105" s="2" t="s">
        <v>267</v>
      </c>
      <c r="C105" s="2" t="s">
        <v>282</v>
      </c>
      <c r="D105" s="2" t="s">
        <v>313</v>
      </c>
      <c r="E105" s="2" t="s">
        <v>61</v>
      </c>
      <c r="F105" s="2" t="str">
        <f>IFERROR(VLOOKUP(E105,'Customer '!$A$4:$D$28,2,FALSE),"")</f>
        <v>RH</v>
      </c>
      <c r="G105" s="2" t="s">
        <v>388</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271</v>
      </c>
      <c r="K105" s="2" t="s">
        <v>272</v>
      </c>
      <c r="L105" s="119" t="s">
        <v>311</v>
      </c>
      <c r="M105" s="276">
        <v>46104</v>
      </c>
      <c r="N105" s="276">
        <v>46118</v>
      </c>
      <c r="O105" s="277"/>
      <c r="P105" s="2" t="s">
        <v>389</v>
      </c>
      <c r="Q105" s="2" t="s">
        <v>390</v>
      </c>
      <c r="R105" s="2">
        <v>0</v>
      </c>
      <c r="S105" s="2">
        <v>0</v>
      </c>
      <c r="V105" s="274">
        <v>18</v>
      </c>
      <c r="X105" s="278">
        <v>149029</v>
      </c>
      <c r="Y105" s="278">
        <f>DetailTracker[[#This Row],[PROJECT VALUE $]]/2</f>
        <v>74514.5</v>
      </c>
      <c r="Z105" s="2" t="s">
        <v>297</v>
      </c>
      <c r="AA105" s="2" t="str">
        <f t="shared" si="22"/>
        <v>2026</v>
      </c>
      <c r="AB105" s="276">
        <v>46241</v>
      </c>
      <c r="AC105" s="276">
        <v>46241</v>
      </c>
      <c r="AD105" s="275">
        <v>46291</v>
      </c>
      <c r="AE105" s="276">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6"/>
      <c r="AJ105" s="276"/>
      <c r="AK105" s="2" t="s">
        <v>56</v>
      </c>
      <c r="AL105" s="276"/>
      <c r="AM105" s="276"/>
      <c r="AN105" s="2" t="s">
        <v>56</v>
      </c>
      <c r="AO105" s="276"/>
      <c r="AP105" s="276"/>
      <c r="AQ105" s="2" t="s">
        <v>56</v>
      </c>
      <c r="AR105" s="276"/>
      <c r="AS105" s="276"/>
      <c r="AT105" s="2" t="s">
        <v>56</v>
      </c>
      <c r="AU105" s="276"/>
      <c r="AV105" s="276"/>
      <c r="AW105" s="2" t="s">
        <v>56</v>
      </c>
      <c r="AX105" s="276"/>
      <c r="AY105" s="276"/>
      <c r="AZ105" s="2" t="s">
        <v>277</v>
      </c>
      <c r="BA105" s="276"/>
      <c r="BB105" s="276"/>
      <c r="BC105" s="2" t="str">
        <f t="shared" si="25"/>
        <v>Complete</v>
      </c>
      <c r="BD105" s="2" t="s">
        <v>278</v>
      </c>
      <c r="BE105" s="119" t="str">
        <f t="shared" si="26"/>
        <v>READY</v>
      </c>
    </row>
    <row r="106" spans="1:57">
      <c r="A106" s="2" t="str">
        <f>IFERROR(VLOOKUP(E106,'Customer '!$A$4:$D$23,3,FALSE),"")</f>
        <v>NON RH</v>
      </c>
      <c r="B106" s="2" t="s">
        <v>267</v>
      </c>
      <c r="C106" s="2" t="s">
        <v>341</v>
      </c>
      <c r="E106" s="2" t="s">
        <v>82</v>
      </c>
      <c r="F106" s="2" t="str">
        <f>IFERROR(VLOOKUP(E106,'Customer '!$A$4:$D$28,2,FALSE),"")</f>
        <v>L&amp;S</v>
      </c>
      <c r="G106" s="2" t="s">
        <v>391</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392</v>
      </c>
      <c r="K106" s="2" t="s">
        <v>272</v>
      </c>
      <c r="L106" s="119" t="s">
        <v>285</v>
      </c>
      <c r="M106" s="276"/>
      <c r="N106" s="276"/>
      <c r="O106" s="277"/>
      <c r="P106" s="2" t="s">
        <v>393</v>
      </c>
      <c r="Q106" s="2" t="s">
        <v>394</v>
      </c>
      <c r="V106" s="274">
        <v>55</v>
      </c>
      <c r="X106" s="278">
        <v>371262</v>
      </c>
      <c r="Y106" s="278">
        <v>371262</v>
      </c>
      <c r="Z106" s="2" t="s">
        <v>149</v>
      </c>
      <c r="AA106" s="2" t="str">
        <f t="shared" si="22"/>
        <v>TBC</v>
      </c>
      <c r="AB106" s="276"/>
      <c r="AC106" s="276"/>
      <c r="AE106" s="276"/>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6"/>
      <c r="AJ106" s="276"/>
      <c r="AL106" s="276"/>
      <c r="AM106" s="276"/>
      <c r="AO106" s="276"/>
      <c r="AP106" s="276"/>
      <c r="AR106" s="276"/>
      <c r="AS106" s="276"/>
      <c r="AU106" s="276"/>
      <c r="AV106" s="276"/>
      <c r="AX106" s="276"/>
      <c r="AY106" s="276"/>
      <c r="BA106" s="276"/>
      <c r="BB106" s="276"/>
      <c r="BC106" s="2" t="str">
        <f t="shared" si="25"/>
        <v>Complete</v>
      </c>
      <c r="BE106" s="119" t="str">
        <f t="shared" si="26"/>
        <v>NPI: All development items approved/closed</v>
      </c>
    </row>
    <row r="107" spans="1:57">
      <c r="A107" s="2" t="str">
        <f>IFERROR(VLOOKUP(E107,'Customer '!$A$4:$D$23,3,FALSE),"")</f>
        <v>NON RH</v>
      </c>
      <c r="B107" s="2" t="s">
        <v>327</v>
      </c>
      <c r="C107" s="2" t="s">
        <v>298</v>
      </c>
      <c r="E107" s="2" t="s">
        <v>176</v>
      </c>
      <c r="F107" s="2" t="str">
        <f>IFERROR(VLOOKUP(E107,'Customer '!$A$4:$D$28,2,FALSE),"")</f>
        <v>SPECTRUM</v>
      </c>
      <c r="G107" s="2" t="s">
        <v>395</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271</v>
      </c>
      <c r="K107" s="2" t="s">
        <v>272</v>
      </c>
      <c r="L107" s="119" t="s">
        <v>311</v>
      </c>
      <c r="M107" s="276">
        <v>46107</v>
      </c>
      <c r="N107" s="276"/>
      <c r="O107" s="277"/>
      <c r="P107" s="2" t="s">
        <v>51</v>
      </c>
      <c r="Q107" s="2" t="s">
        <v>396</v>
      </c>
      <c r="R107" s="2">
        <v>0</v>
      </c>
      <c r="S107" s="2">
        <v>0</v>
      </c>
      <c r="V107" s="274">
        <v>4</v>
      </c>
      <c r="W107" s="274">
        <v>4</v>
      </c>
      <c r="X107" s="278">
        <v>6938.58</v>
      </c>
      <c r="Y107" s="278">
        <v>6938.58</v>
      </c>
      <c r="Z107" s="2" t="s">
        <v>281</v>
      </c>
      <c r="AA107" s="2" t="str">
        <f t="shared" si="22"/>
        <v>2026</v>
      </c>
      <c r="AB107" s="276"/>
      <c r="AC107" s="276"/>
      <c r="AD107" s="275">
        <v>46276</v>
      </c>
      <c r="AE107" s="276">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6"/>
      <c r="AJ107" s="276"/>
      <c r="AK107" s="2" t="s">
        <v>56</v>
      </c>
      <c r="AL107" s="276"/>
      <c r="AM107" s="276"/>
      <c r="AN107" s="2" t="s">
        <v>304</v>
      </c>
      <c r="AO107" s="276"/>
      <c r="AP107" s="276"/>
      <c r="AQ107" s="2" t="s">
        <v>304</v>
      </c>
      <c r="AR107" s="276"/>
      <c r="AS107" s="276"/>
      <c r="AT107" s="2" t="s">
        <v>304</v>
      </c>
      <c r="AU107" s="276"/>
      <c r="AV107" s="276"/>
      <c r="AW107" s="2" t="s">
        <v>304</v>
      </c>
      <c r="AX107" s="276"/>
      <c r="AY107" s="276"/>
      <c r="BA107" s="276"/>
      <c r="BB107" s="276"/>
      <c r="BC107" s="2" t="str">
        <f t="shared" si="25"/>
        <v>Complete</v>
      </c>
      <c r="BE107" s="119" t="str">
        <f t="shared" si="26"/>
        <v>READY</v>
      </c>
    </row>
    <row r="108" spans="1:57" ht="28.8">
      <c r="A108" s="2" t="str">
        <f>IFERROR(VLOOKUP(E108,'Customer '!$A$4:$D$23,3,FALSE),"")</f>
        <v>NON RH</v>
      </c>
      <c r="B108" s="2" t="s">
        <v>267</v>
      </c>
      <c r="C108" s="2" t="s">
        <v>298</v>
      </c>
      <c r="E108" s="2" t="s">
        <v>176</v>
      </c>
      <c r="F108" s="2" t="str">
        <f>IFERROR(VLOOKUP(E108,'Customer '!$A$4:$D$28,2,FALSE),"")</f>
        <v>SPECTRUM</v>
      </c>
      <c r="G108" s="2" t="s">
        <v>395</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272</v>
      </c>
      <c r="L108" s="119" t="s">
        <v>317</v>
      </c>
      <c r="M108" s="276">
        <v>46107</v>
      </c>
      <c r="N108" s="276"/>
      <c r="O108" s="277"/>
      <c r="P108" s="2" t="s">
        <v>51</v>
      </c>
      <c r="Q108" s="2" t="s">
        <v>396</v>
      </c>
      <c r="R108" s="2">
        <v>0</v>
      </c>
      <c r="S108" s="2">
        <v>0</v>
      </c>
      <c r="V108" s="274">
        <v>30</v>
      </c>
      <c r="X108" s="278">
        <v>343070</v>
      </c>
      <c r="Y108" s="278">
        <v>343070</v>
      </c>
      <c r="Z108" s="2" t="s">
        <v>337</v>
      </c>
      <c r="AA108" s="2" t="str">
        <f t="shared" si="22"/>
        <v>2027</v>
      </c>
      <c r="AB108" s="276"/>
      <c r="AC108" s="276"/>
      <c r="AD108" s="275" t="s">
        <v>149</v>
      </c>
      <c r="AE108" s="276"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6"/>
      <c r="AJ108" s="276"/>
      <c r="AK108" s="2" t="s">
        <v>304</v>
      </c>
      <c r="AL108" s="276"/>
      <c r="AM108" s="276"/>
      <c r="AN108" s="2" t="s">
        <v>304</v>
      </c>
      <c r="AO108" s="276"/>
      <c r="AP108" s="276"/>
      <c r="AQ108" s="2" t="s">
        <v>304</v>
      </c>
      <c r="AR108" s="276"/>
      <c r="AS108" s="276"/>
      <c r="AT108" s="2" t="s">
        <v>304</v>
      </c>
      <c r="AU108" s="276"/>
      <c r="AV108" s="276"/>
      <c r="AW108" s="2" t="s">
        <v>304</v>
      </c>
      <c r="AX108" s="276"/>
      <c r="AY108" s="276"/>
      <c r="BA108" s="276"/>
      <c r="BB108" s="276"/>
      <c r="BC108" s="2" t="str">
        <f t="shared" si="25"/>
        <v>Active</v>
      </c>
      <c r="BE108" s="119" t="str">
        <f t="shared" si="26"/>
        <v>NPI: In progress: Drawing, Veneer/Wood, Marble, Metal, Mirror, Electrical for SW TBC</v>
      </c>
    </row>
    <row r="109" spans="1:57" ht="28.8">
      <c r="A109" s="2" t="str">
        <f>IFERROR(VLOOKUP(E109,'Customer '!$A$4:$D$23,3,FALSE),"")</f>
        <v>NON RH</v>
      </c>
      <c r="B109" s="2" t="s">
        <v>327</v>
      </c>
      <c r="C109" s="2" t="s">
        <v>298</v>
      </c>
      <c r="D109" s="2" t="s">
        <v>397</v>
      </c>
      <c r="E109" s="2" t="s">
        <v>98</v>
      </c>
      <c r="F109" s="2" t="str">
        <f>IFERROR(VLOOKUP(E109,'Customer '!$A$4:$D$28,2,FALSE),"")</f>
        <v xml:space="preserve">FLEETWOOD </v>
      </c>
      <c r="G109" s="2" t="s">
        <v>398</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272</v>
      </c>
      <c r="L109" s="119" t="s">
        <v>311</v>
      </c>
      <c r="M109" s="276">
        <v>46112</v>
      </c>
      <c r="N109" s="276">
        <v>46150</v>
      </c>
      <c r="O109" s="277">
        <v>46171</v>
      </c>
      <c r="P109" s="2" t="s">
        <v>51</v>
      </c>
      <c r="Q109" s="2" t="s">
        <v>351</v>
      </c>
      <c r="R109" s="2">
        <v>0</v>
      </c>
      <c r="S109" s="2">
        <v>0</v>
      </c>
      <c r="V109" s="274">
        <v>4</v>
      </c>
      <c r="W109" s="274">
        <v>4</v>
      </c>
      <c r="X109" s="278">
        <v>12609.46</v>
      </c>
      <c r="Y109" s="278">
        <v>15040.19</v>
      </c>
      <c r="Z109" s="2" t="s">
        <v>297</v>
      </c>
      <c r="AA109" s="2" t="str">
        <f t="shared" si="22"/>
        <v>2026</v>
      </c>
      <c r="AB109" s="276" t="s">
        <v>372</v>
      </c>
      <c r="AC109" s="276" t="s">
        <v>372</v>
      </c>
      <c r="AD109" s="276" t="s">
        <v>372</v>
      </c>
      <c r="AE109" s="276" t="s">
        <v>372</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322</v>
      </c>
      <c r="AI109" s="276"/>
      <c r="AJ109" s="276"/>
      <c r="AK109" s="2" t="s">
        <v>56</v>
      </c>
      <c r="AL109" s="276"/>
      <c r="AM109" s="276">
        <v>46260</v>
      </c>
      <c r="AN109" s="2" t="s">
        <v>56</v>
      </c>
      <c r="AO109" s="276"/>
      <c r="AP109" s="276">
        <v>46260</v>
      </c>
      <c r="AQ109" s="2" t="s">
        <v>304</v>
      </c>
      <c r="AR109" s="276"/>
      <c r="AS109" s="276"/>
      <c r="AT109" s="2" t="s">
        <v>56</v>
      </c>
      <c r="AU109" s="276"/>
      <c r="AV109" s="276">
        <v>46260</v>
      </c>
      <c r="AW109" s="2" t="s">
        <v>322</v>
      </c>
      <c r="AX109" s="276"/>
      <c r="AY109" s="276"/>
      <c r="AZ109" s="2" t="s">
        <v>342</v>
      </c>
      <c r="BA109" s="276"/>
      <c r="BB109" s="276"/>
      <c r="BC109" s="2" t="str">
        <f t="shared" si="25"/>
        <v>Complete</v>
      </c>
      <c r="BE109" s="119" t="str">
        <f t="shared" si="26"/>
        <v>NPD: In progress: Metal; Pending approval: Drawing, Electrical; Fabric is com pending for SW ON HOLD</v>
      </c>
    </row>
    <row r="110" spans="1:57">
      <c r="A110" s="2" t="str">
        <f>IFERROR(VLOOKUP(E110,'Customer '!$A$4:$D$23,3,FALSE),"")</f>
        <v>NON RH</v>
      </c>
      <c r="B110" s="2" t="s">
        <v>267</v>
      </c>
      <c r="C110" s="2" t="s">
        <v>298</v>
      </c>
      <c r="D110" s="2" t="s">
        <v>397</v>
      </c>
      <c r="E110" s="2" t="s">
        <v>98</v>
      </c>
      <c r="F110" s="2" t="str">
        <f>IFERROR(VLOOKUP(E110,'Customer '!$A$4:$D$28,2,FALSE),"")</f>
        <v xml:space="preserve">FLEETWOOD </v>
      </c>
      <c r="G110" s="2" t="s">
        <v>398</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272</v>
      </c>
      <c r="L110" s="119" t="s">
        <v>285</v>
      </c>
      <c r="M110" s="276">
        <v>46158</v>
      </c>
      <c r="N110" s="276"/>
      <c r="O110" s="277"/>
      <c r="P110" s="2" t="s">
        <v>51</v>
      </c>
      <c r="Q110" s="2" t="s">
        <v>351</v>
      </c>
      <c r="R110" s="2" t="s">
        <v>149</v>
      </c>
      <c r="S110" s="2" t="s">
        <v>149</v>
      </c>
      <c r="V110" s="274">
        <v>15</v>
      </c>
      <c r="X110" s="278">
        <v>707023.48</v>
      </c>
      <c r="Y110" s="278">
        <v>707023.48</v>
      </c>
      <c r="Z110" s="2" t="s">
        <v>149</v>
      </c>
      <c r="AA110" s="2" t="str">
        <f t="shared" si="22"/>
        <v>TBC</v>
      </c>
      <c r="AB110" s="276"/>
      <c r="AC110" s="276"/>
      <c r="AD110" s="275" t="s">
        <v>149</v>
      </c>
      <c r="AE110" s="276"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344</v>
      </c>
      <c r="AI110" s="276"/>
      <c r="AJ110" s="276"/>
      <c r="AK110" s="2" t="s">
        <v>344</v>
      </c>
      <c r="AL110" s="276"/>
      <c r="AM110" s="276"/>
      <c r="AN110" s="2" t="s">
        <v>344</v>
      </c>
      <c r="AO110" s="276"/>
      <c r="AP110" s="276"/>
      <c r="AQ110" s="2" t="s">
        <v>344</v>
      </c>
      <c r="AR110" s="276"/>
      <c r="AS110" s="276"/>
      <c r="AT110" s="2" t="s">
        <v>344</v>
      </c>
      <c r="AU110" s="276"/>
      <c r="AV110" s="276"/>
      <c r="AW110" s="2" t="s">
        <v>344</v>
      </c>
      <c r="AX110" s="276"/>
      <c r="AY110" s="276"/>
      <c r="AZ110" s="2" t="s">
        <v>344</v>
      </c>
      <c r="BA110" s="276"/>
      <c r="BB110" s="276"/>
      <c r="BC110" s="2" t="str">
        <f t="shared" si="25"/>
        <v>Complete</v>
      </c>
      <c r="BE110" s="119" t="str">
        <f t="shared" si="26"/>
        <v>NPI: All development items approved/closed for SW TBC</v>
      </c>
    </row>
    <row r="111" spans="1:57" ht="28.8">
      <c r="A111" s="2" t="str">
        <f>IFERROR(VLOOKUP(E111,'Customer '!$A$4:$D$23,3,FALSE),"")</f>
        <v>RH</v>
      </c>
      <c r="B111" s="2" t="s">
        <v>327</v>
      </c>
      <c r="C111" s="2" t="s">
        <v>308</v>
      </c>
      <c r="D111" s="2" t="s">
        <v>313</v>
      </c>
      <c r="E111" s="2" t="s">
        <v>61</v>
      </c>
      <c r="F111" s="2" t="str">
        <f>IFERROR(VLOOKUP(E111,'Customer '!$A$4:$D$28,2,FALSE),"")</f>
        <v>RH</v>
      </c>
      <c r="G111" s="2" t="s">
        <v>399</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372</v>
      </c>
      <c r="K111" s="2" t="s">
        <v>272</v>
      </c>
      <c r="L111" s="119" t="s">
        <v>317</v>
      </c>
      <c r="M111" s="276">
        <v>46120</v>
      </c>
      <c r="N111" s="276"/>
      <c r="O111" s="277"/>
      <c r="P111" s="2" t="s">
        <v>51</v>
      </c>
      <c r="Q111" s="2" t="s">
        <v>400</v>
      </c>
      <c r="R111" s="2">
        <v>0</v>
      </c>
      <c r="S111" s="2">
        <v>0</v>
      </c>
      <c r="V111" s="274">
        <v>17</v>
      </c>
      <c r="W111" s="274">
        <v>17</v>
      </c>
      <c r="X111" s="278">
        <v>31219.1</v>
      </c>
      <c r="Y111" s="278">
        <v>31219.1</v>
      </c>
      <c r="Z111" s="2" t="s">
        <v>333</v>
      </c>
      <c r="AA111" s="2" t="str">
        <f t="shared" si="22"/>
        <v>2026</v>
      </c>
      <c r="AB111" s="276"/>
      <c r="AC111" s="276"/>
      <c r="AD111" s="275">
        <v>46367</v>
      </c>
      <c r="AE111" s="276">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322</v>
      </c>
      <c r="AI111" s="276"/>
      <c r="AJ111" s="276"/>
      <c r="AK111" s="2" t="s">
        <v>322</v>
      </c>
      <c r="AL111" s="276"/>
      <c r="AM111" s="276"/>
      <c r="AN111" s="2" t="s">
        <v>287</v>
      </c>
      <c r="AO111" s="276"/>
      <c r="AP111" s="276"/>
      <c r="AQ111" s="2" t="s">
        <v>322</v>
      </c>
      <c r="AR111" s="276"/>
      <c r="AS111" s="276"/>
      <c r="AT111" s="2" t="s">
        <v>73</v>
      </c>
      <c r="AU111" s="276"/>
      <c r="AV111" s="276"/>
      <c r="AW111" s="2" t="s">
        <v>304</v>
      </c>
      <c r="AX111" s="276"/>
      <c r="AY111" s="276"/>
      <c r="AZ111" s="2" t="s">
        <v>57</v>
      </c>
      <c r="BA111" s="276"/>
      <c r="BB111" s="276"/>
      <c r="BC111" s="2" t="str">
        <f t="shared" si="25"/>
        <v>Complete</v>
      </c>
      <c r="BD111" s="2" t="s">
        <v>278</v>
      </c>
      <c r="BE111" s="119" t="str">
        <f t="shared" si="26"/>
        <v>NPD: In progress: Electrical; Pending approval: Drawing, Veneer/Wood, Metal; Not started: Marble; Fabric is com for SW52</v>
      </c>
    </row>
    <row r="112" spans="1:57" ht="28.8">
      <c r="A112" s="2" t="str">
        <f>IFERROR(VLOOKUP(E112,'Customer '!$A$4:$D$23,3,FALSE),"")</f>
        <v>RH</v>
      </c>
      <c r="B112" s="2" t="s">
        <v>267</v>
      </c>
      <c r="C112" s="2" t="s">
        <v>308</v>
      </c>
      <c r="D112" s="2" t="s">
        <v>313</v>
      </c>
      <c r="E112" s="2" t="s">
        <v>61</v>
      </c>
      <c r="F112" s="2" t="str">
        <f>IFERROR(VLOOKUP(E112,'Customer '!$A$4:$D$28,2,FALSE),"")</f>
        <v>RH</v>
      </c>
      <c r="G112" s="2" t="s">
        <v>399</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372</v>
      </c>
      <c r="K112" s="2" t="s">
        <v>272</v>
      </c>
      <c r="L112" s="119" t="s">
        <v>285</v>
      </c>
      <c r="M112" s="276">
        <v>46120</v>
      </c>
      <c r="N112" s="276"/>
      <c r="O112" s="277"/>
      <c r="P112" s="2" t="s">
        <v>51</v>
      </c>
      <c r="Q112" s="2" t="s">
        <v>400</v>
      </c>
      <c r="R112" s="2">
        <v>0</v>
      </c>
      <c r="S112" s="2">
        <v>0</v>
      </c>
      <c r="V112" s="274">
        <v>17</v>
      </c>
      <c r="X112" s="278">
        <v>532175</v>
      </c>
      <c r="Y112" s="278">
        <v>532175</v>
      </c>
      <c r="Z112" s="2" t="s">
        <v>332</v>
      </c>
      <c r="AA112" s="2" t="str">
        <f t="shared" si="22"/>
        <v>2027</v>
      </c>
      <c r="AB112" s="276"/>
      <c r="AC112" s="276"/>
      <c r="AD112" s="275">
        <v>46094</v>
      </c>
      <c r="AE112" s="276">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6"/>
      <c r="AJ112" s="276"/>
      <c r="AK112" s="2" t="s">
        <v>322</v>
      </c>
      <c r="AL112" s="276"/>
      <c r="AM112" s="276"/>
      <c r="AN112" s="2" t="s">
        <v>287</v>
      </c>
      <c r="AO112" s="276"/>
      <c r="AP112" s="276"/>
      <c r="AQ112" s="2" t="s">
        <v>322</v>
      </c>
      <c r="AR112" s="276"/>
      <c r="AS112" s="276"/>
      <c r="AT112" s="2" t="s">
        <v>73</v>
      </c>
      <c r="AU112" s="276"/>
      <c r="AV112" s="276"/>
      <c r="AW112" s="2" t="s">
        <v>304</v>
      </c>
      <c r="AX112" s="276"/>
      <c r="AY112" s="276"/>
      <c r="AZ112" s="2" t="s">
        <v>57</v>
      </c>
      <c r="BA112" s="276"/>
      <c r="BB112" s="276"/>
      <c r="BC112" s="2" t="str">
        <f t="shared" si="25"/>
        <v>Complete</v>
      </c>
      <c r="BD112" s="2" t="s">
        <v>278</v>
      </c>
      <c r="BE112" s="119" t="str">
        <f t="shared" si="26"/>
        <v>NPI: In progress: Drawing, Electrical; Pending approval: Veneer/Wood, Metal; Not started: Marble; Fabric is com for SW13</v>
      </c>
    </row>
    <row r="113" spans="1:58">
      <c r="A113" s="2" t="str">
        <f>IFERROR(VLOOKUP(E113,'Customer '!$A$4:$D$23,3,FALSE),"")</f>
        <v>NON RH</v>
      </c>
      <c r="B113" s="2" t="s">
        <v>267</v>
      </c>
      <c r="C113" s="2" t="s">
        <v>341</v>
      </c>
      <c r="D113" s="2" t="s">
        <v>397</v>
      </c>
      <c r="E113" s="2" t="s">
        <v>98</v>
      </c>
      <c r="F113" s="2" t="str">
        <f>IFERROR(VLOOKUP(E113,'Customer '!$A$4:$D$28,2,FALSE),"")</f>
        <v xml:space="preserve">FLEETWOOD </v>
      </c>
      <c r="G113" s="2" t="s">
        <v>401</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310</v>
      </c>
      <c r="K113" s="2" t="s">
        <v>272</v>
      </c>
      <c r="L113" s="119" t="s">
        <v>311</v>
      </c>
      <c r="M113" s="276">
        <v>46136</v>
      </c>
      <c r="N113" s="276">
        <v>46141</v>
      </c>
      <c r="O113" s="277">
        <v>46159</v>
      </c>
      <c r="P113" s="2" t="s">
        <v>51</v>
      </c>
      <c r="Q113" s="2" t="s">
        <v>152</v>
      </c>
      <c r="R113" s="2">
        <v>7</v>
      </c>
      <c r="S113" s="2">
        <v>17</v>
      </c>
      <c r="T113" s="2">
        <v>74</v>
      </c>
      <c r="V113" s="274">
        <v>15</v>
      </c>
      <c r="W113" s="274">
        <v>74</v>
      </c>
      <c r="X113" s="278">
        <v>64112.41</v>
      </c>
      <c r="Y113" s="278">
        <v>64112.41</v>
      </c>
      <c r="Z113" s="2" t="s">
        <v>312</v>
      </c>
      <c r="AA113" s="2" t="str">
        <f t="shared" si="22"/>
        <v>2026</v>
      </c>
      <c r="AB113" s="276">
        <v>46328</v>
      </c>
      <c r="AC113" s="276">
        <v>46349</v>
      </c>
      <c r="AD113" s="275">
        <v>46332</v>
      </c>
      <c r="AE113" s="275">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6"/>
      <c r="AJ113" s="276">
        <v>46270</v>
      </c>
      <c r="AK113" s="2" t="s">
        <v>56</v>
      </c>
      <c r="AL113" s="276"/>
      <c r="AM113" s="276">
        <v>46223</v>
      </c>
      <c r="AN113" s="2" t="s">
        <v>56</v>
      </c>
      <c r="AO113" s="276"/>
      <c r="AP113" s="276">
        <v>46252</v>
      </c>
      <c r="AQ113" s="2" t="s">
        <v>56</v>
      </c>
      <c r="AR113" s="276"/>
      <c r="AS113" s="276">
        <v>46223</v>
      </c>
      <c r="AT113" s="2" t="s">
        <v>73</v>
      </c>
      <c r="AU113" s="276"/>
      <c r="AV113" s="276"/>
      <c r="AW113" s="2" t="s">
        <v>56</v>
      </c>
      <c r="AX113" s="276"/>
      <c r="AY113" s="276">
        <v>46270</v>
      </c>
      <c r="AZ113" s="2" t="s">
        <v>73</v>
      </c>
      <c r="BA113" s="276"/>
      <c r="BB113" s="276"/>
      <c r="BC113" s="2" t="str">
        <f t="shared" si="25"/>
        <v>Active</v>
      </c>
      <c r="BE113" s="119" t="str">
        <f t="shared" si="26"/>
        <v>NPI: All development items approved/closed for SW48</v>
      </c>
    </row>
    <row r="114" spans="1:58">
      <c r="A114" s="2" t="str">
        <f>IFERROR(VLOOKUP(E114,'Customer '!$A$4:$D$23,3,FALSE),"")</f>
        <v>NON RH</v>
      </c>
      <c r="B114" s="2" t="s">
        <v>267</v>
      </c>
      <c r="C114" s="2" t="s">
        <v>323</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271</v>
      </c>
      <c r="K114" s="2" t="s">
        <v>272</v>
      </c>
      <c r="L114" s="119" t="s">
        <v>273</v>
      </c>
      <c r="M114" s="276"/>
      <c r="N114" s="276"/>
      <c r="O114" s="277"/>
      <c r="P114" s="2" t="s">
        <v>51</v>
      </c>
      <c r="Q114" s="2" t="s">
        <v>329</v>
      </c>
      <c r="V114" s="274">
        <v>17</v>
      </c>
      <c r="X114" s="278">
        <v>51127</v>
      </c>
      <c r="Y114" s="278">
        <v>51127</v>
      </c>
      <c r="Z114" s="2" t="s">
        <v>402</v>
      </c>
      <c r="AA114" s="2" t="str">
        <f t="shared" si="22"/>
        <v>2026</v>
      </c>
      <c r="AB114" s="276"/>
      <c r="AC114" s="276"/>
      <c r="AE114" s="276"/>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6"/>
      <c r="AJ114" s="276"/>
      <c r="AK114" s="2" t="s">
        <v>56</v>
      </c>
      <c r="AL114" s="276"/>
      <c r="AM114" s="276"/>
      <c r="AN114" s="2" t="s">
        <v>56</v>
      </c>
      <c r="AO114" s="276"/>
      <c r="AP114" s="276"/>
      <c r="AQ114" s="2" t="s">
        <v>56</v>
      </c>
      <c r="AR114" s="276"/>
      <c r="AS114" s="276"/>
      <c r="AT114" s="2" t="s">
        <v>56</v>
      </c>
      <c r="AU114" s="276"/>
      <c r="AV114" s="276"/>
      <c r="AW114" s="2" t="s">
        <v>56</v>
      </c>
      <c r="AX114" s="276"/>
      <c r="AY114" s="276"/>
      <c r="AZ114" s="2" t="s">
        <v>57</v>
      </c>
      <c r="BA114" s="276"/>
      <c r="BB114" s="276"/>
      <c r="BC114" s="2" t="str">
        <f t="shared" si="25"/>
        <v>Complete</v>
      </c>
      <c r="BE114" s="119" t="str">
        <f t="shared" si="26"/>
        <v>READY</v>
      </c>
    </row>
    <row r="115" spans="1:58">
      <c r="A115" s="2" t="str">
        <f>IFERROR(VLOOKUP(E115,'Customer '!$A$4:$D$23,3,FALSE),"")</f>
        <v>NON RH</v>
      </c>
      <c r="B115" s="2" t="s">
        <v>267</v>
      </c>
      <c r="C115" s="2" t="s">
        <v>271</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271</v>
      </c>
      <c r="K115" s="2" t="s">
        <v>272</v>
      </c>
      <c r="L115" s="119" t="s">
        <v>273</v>
      </c>
      <c r="M115" s="276"/>
      <c r="N115" s="276"/>
      <c r="O115" s="277"/>
      <c r="P115" s="2" t="s">
        <v>51</v>
      </c>
      <c r="V115" s="274">
        <v>7</v>
      </c>
      <c r="X115" s="278">
        <v>1601</v>
      </c>
      <c r="Y115" s="278">
        <v>1601</v>
      </c>
      <c r="Z115" s="2" t="s">
        <v>381</v>
      </c>
      <c r="AA115" s="2" t="str">
        <f t="shared" si="22"/>
        <v>2026</v>
      </c>
      <c r="AB115" s="276"/>
      <c r="AC115" s="276"/>
      <c r="AE115" s="276"/>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6"/>
      <c r="AJ115" s="276"/>
      <c r="AL115" s="276"/>
      <c r="AM115" s="276"/>
      <c r="AO115" s="276"/>
      <c r="AP115" s="276"/>
      <c r="AR115" s="276"/>
      <c r="AS115" s="276"/>
      <c r="AU115" s="276"/>
      <c r="AV115" s="276"/>
      <c r="AX115" s="276"/>
      <c r="AY115" s="276"/>
      <c r="BA115" s="276"/>
      <c r="BB115" s="276"/>
      <c r="BC115" s="2" t="str">
        <f t="shared" si="25"/>
        <v>Complete</v>
      </c>
      <c r="BE115" s="119" t="str">
        <f t="shared" si="26"/>
        <v>READY</v>
      </c>
    </row>
    <row r="116" spans="1:58">
      <c r="A116" s="2" t="str">
        <f>IFERROR(VLOOKUP(E116,'Customer '!$A$4:$D$23,3,FALSE),"")</f>
        <v>NON RH</v>
      </c>
      <c r="B116" s="2" t="s">
        <v>267</v>
      </c>
      <c r="C116" s="2" t="s">
        <v>271</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271</v>
      </c>
      <c r="K116" s="2" t="s">
        <v>272</v>
      </c>
      <c r="L116" s="119" t="s">
        <v>273</v>
      </c>
      <c r="M116" s="276"/>
      <c r="N116" s="276"/>
      <c r="O116" s="277"/>
      <c r="P116" s="2" t="s">
        <v>51</v>
      </c>
      <c r="V116" s="274">
        <v>30</v>
      </c>
      <c r="X116" s="278">
        <v>362480.94</v>
      </c>
      <c r="Y116" s="278">
        <v>362480.94</v>
      </c>
      <c r="Z116" s="2" t="s">
        <v>381</v>
      </c>
      <c r="AA116" s="2" t="str">
        <f t="shared" si="22"/>
        <v>2026</v>
      </c>
      <c r="AB116" s="276"/>
      <c r="AC116" s="276"/>
      <c r="AE116" s="276"/>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6"/>
      <c r="AJ116" s="276"/>
      <c r="AK116" s="2" t="s">
        <v>56</v>
      </c>
      <c r="AL116" s="276"/>
      <c r="AM116" s="276"/>
      <c r="AN116" s="2" t="s">
        <v>56</v>
      </c>
      <c r="AO116" s="276"/>
      <c r="AP116" s="276"/>
      <c r="AQ116" s="2" t="s">
        <v>56</v>
      </c>
      <c r="AR116" s="276"/>
      <c r="AS116" s="276"/>
      <c r="AT116" s="2" t="s">
        <v>56</v>
      </c>
      <c r="AU116" s="276"/>
      <c r="AV116" s="276"/>
      <c r="AW116" s="2" t="s">
        <v>56</v>
      </c>
      <c r="AX116" s="276"/>
      <c r="AY116" s="276"/>
      <c r="AZ116" s="2" t="s">
        <v>57</v>
      </c>
      <c r="BA116" s="276"/>
      <c r="BB116" s="276"/>
      <c r="BC116" s="2" t="str">
        <f t="shared" si="25"/>
        <v>Complete</v>
      </c>
      <c r="BE116" s="119" t="str">
        <f t="shared" si="26"/>
        <v>READY</v>
      </c>
    </row>
    <row r="117" spans="1:58">
      <c r="A117" s="2" t="str">
        <f>IFERROR(VLOOKUP(E117,'Customer '!$A$4:$D$23,3,FALSE),"")</f>
        <v>NON RH</v>
      </c>
      <c r="B117" s="2" t="s">
        <v>267</v>
      </c>
      <c r="C117" s="2" t="s">
        <v>271</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271</v>
      </c>
      <c r="K117" s="2" t="s">
        <v>272</v>
      </c>
      <c r="L117" s="119" t="s">
        <v>273</v>
      </c>
      <c r="M117" s="276"/>
      <c r="N117" s="276"/>
      <c r="O117" s="277"/>
      <c r="P117" s="2" t="s">
        <v>51</v>
      </c>
      <c r="V117" s="274">
        <v>30</v>
      </c>
      <c r="X117" s="278">
        <v>33400</v>
      </c>
      <c r="Y117" s="278">
        <v>33400</v>
      </c>
      <c r="Z117" s="2" t="s">
        <v>402</v>
      </c>
      <c r="AA117" s="2" t="str">
        <f t="shared" si="22"/>
        <v>2026</v>
      </c>
      <c r="AB117" s="276"/>
      <c r="AC117" s="276"/>
      <c r="AE117" s="276"/>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6"/>
      <c r="AJ117" s="276"/>
      <c r="AK117" s="2" t="s">
        <v>56</v>
      </c>
      <c r="AL117" s="276"/>
      <c r="AM117" s="276"/>
      <c r="AN117" s="2" t="s">
        <v>56</v>
      </c>
      <c r="AO117" s="276"/>
      <c r="AP117" s="276"/>
      <c r="AQ117" s="2" t="s">
        <v>56</v>
      </c>
      <c r="AR117" s="276"/>
      <c r="AS117" s="276"/>
      <c r="AT117" s="2" t="s">
        <v>56</v>
      </c>
      <c r="AU117" s="276"/>
      <c r="AV117" s="276"/>
      <c r="AW117" s="2" t="s">
        <v>56</v>
      </c>
      <c r="AX117" s="276"/>
      <c r="AY117" s="276"/>
      <c r="AZ117" s="2" t="s">
        <v>57</v>
      </c>
      <c r="BA117" s="276"/>
      <c r="BB117" s="276"/>
      <c r="BC117" s="2" t="str">
        <f t="shared" si="25"/>
        <v>Complete</v>
      </c>
      <c r="BE117" s="119" t="str">
        <f t="shared" si="26"/>
        <v>READY</v>
      </c>
    </row>
    <row r="118" spans="1:58">
      <c r="A118" s="2" t="str">
        <f>IFERROR(VLOOKUP(E118,'Customer '!$A$4:$D$23,3,FALSE),"")</f>
        <v>NON RH</v>
      </c>
      <c r="B118" s="2" t="s">
        <v>267</v>
      </c>
      <c r="C118" s="2" t="s">
        <v>352</v>
      </c>
      <c r="E118" s="2" t="s">
        <v>122</v>
      </c>
      <c r="F118" s="2" t="str">
        <f>IFERROR(VLOOKUP(E118,'Customer '!$A$4:$D$28,2,FALSE),"")</f>
        <v>KD</v>
      </c>
      <c r="G118" s="2" t="s">
        <v>1652</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DALLAS- 1198-1509</v>
      </c>
      <c r="I118" s="2">
        <f ca="1">IF(OR($H118="",$B118=""),0,--(COUNTIFS($H$3:$H118,$H118,$B$3:$B118,$B118)=1))</f>
        <v>1</v>
      </c>
      <c r="J118" s="2" t="s">
        <v>316</v>
      </c>
      <c r="K118" s="2" t="s">
        <v>272</v>
      </c>
      <c r="L118" s="119" t="s">
        <v>317</v>
      </c>
      <c r="M118" s="281">
        <v>46318</v>
      </c>
      <c r="N118" s="281">
        <v>46318</v>
      </c>
      <c r="O118" s="282"/>
      <c r="P118" s="2" t="s">
        <v>51</v>
      </c>
      <c r="Q118" s="2" t="s">
        <v>51</v>
      </c>
      <c r="T118" s="274">
        <v>1</v>
      </c>
      <c r="U118" s="274"/>
      <c r="V118" s="274">
        <v>1</v>
      </c>
      <c r="W118" s="274">
        <v>10</v>
      </c>
      <c r="X118" s="278">
        <v>7894</v>
      </c>
      <c r="Y118" s="278">
        <v>7894</v>
      </c>
      <c r="Z118" s="2" t="s">
        <v>337</v>
      </c>
      <c r="AA118" s="2" t="str">
        <f>IF(Z118="","",IF(OR(Z118="TBC",Z118="Removed"),Z118,LEFT(Z118,4)))</f>
        <v>2027</v>
      </c>
      <c r="AB118" s="281">
        <v>46412</v>
      </c>
      <c r="AC118" s="281">
        <v>46412</v>
      </c>
      <c r="AD118" s="275">
        <v>46479</v>
      </c>
      <c r="AE118" s="281">
        <v>46479</v>
      </c>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2027/W14</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2027/W14</v>
      </c>
      <c r="AH118" s="2" t="s">
        <v>304</v>
      </c>
      <c r="AI118" s="254"/>
      <c r="AJ118" s="281"/>
      <c r="AK118" s="2" t="s">
        <v>304</v>
      </c>
      <c r="AL118" s="254"/>
      <c r="AM118" s="281"/>
      <c r="AO118" s="254"/>
      <c r="AP118" s="281"/>
      <c r="AR118" s="254"/>
      <c r="AS118" s="281"/>
      <c r="AT118" s="2" t="s">
        <v>304</v>
      </c>
      <c r="AU118" s="254"/>
      <c r="AV118" s="281"/>
      <c r="AX118" s="254"/>
      <c r="AY118" s="281"/>
      <c r="BA118" s="319"/>
      <c r="BB118" s="281"/>
      <c r="BC118" s="2" t="str">
        <f>IF(J118="","",IF(OR(J118="OB",J118="NOR",J118="FC",J118="PIPELINE"),"Active","Complete"))</f>
        <v>Active</v>
      </c>
      <c r="BE118" s="119" t="str">
        <f>IF(UPPER(TRIM(J118))="SHIPPED","READY",_xlfn.LET(_xlpm.stage,IF(B118="","",B118&amp;": "),_xlpm.ip,_xlfn.TEXTJOIN(", ",TRUE,IF(LOWER(AH118)="in progress","Drawing",""),IF(LOWER(AK118)="in progress","Veneer/Wood",""),IF(LOWER(AN118)="in progress","Marble",""),IF(LOWER(AQ118)="in progress","Metal",""),IF(LOWER(AT118)="in progress","Mirror",""),IF(LOWER(AW118)="in progress","Electrical",""),IF(LOWER(AZ118)="in progress","Fabric","")),_xlpm.pa,_xlfn.TEXTJOIN(", ",TRUE,IF(LOWER(AH118)="pending approval","Drawing",""),IF(LOWER(AK118)="pending approval","Veneer/Wood",""),IF(LOWER(AN118)="pending approval","Marble",""),IF(LOWER(AQ118)="pending approval","Metal",""),IF(LOWER(AT118)="pending approval","Mirror",""),IF(LOWER(AW118)="pending approval","Electrical",""),IF(LOWER(AZ118)="pending approval","Fabric","")),_xlpm.ns,_xlfn.TEXTJOIN(", ",TRUE,IF(LOWER(AH118)="not started","Drawing",""),IF(LOWER(AK118)="not started","Veneer/Wood",""),IF(LOWER(AN118)="not started","Marble",""),IF(LOWER(AQ118)="not started","Metal",""),IF(LOWER(AT118)="not started","Mirror",""),IF(LOWER(AW118)="not started","Electrical",""),IF(LOWER(AZ118)="not started","Fabric","")),_xlpm.fab,IF(OR(LOWER(AZ118)="com",LOWER(AZ118)="com pending",LOWER(AZ118)="com received"),"Fabric is "&amp;LOWER(AZ118),""),_xlpm.parts,_xlfn.TEXTJOIN("; ",TRUE,IF(_xlpm.ip&lt;&gt;"","In progress: "&amp;_xlpm.ip,""),IF(_xlpm.pa&lt;&gt;"","Pending approval: "&amp;_xlpm.pa,""),IF(_xlpm.ns&lt;&gt;"","Not started: "&amp;_xlpm.ns,""),_xlpm.fab),_xlpm.deadline,MIN(IF(AND(AH118&lt;&gt;"",LOWER(AH118)&lt;&gt;"approved",LOWER(AH118)&lt;&gt;"n/a",ISNUMBER(AI118)),AI118,1E+99),IF(AND(AK118&lt;&gt;"",LOWER(AK118)&lt;&gt;"approved",LOWER(AK118)&lt;&gt;"n/a",ISNUMBER(AL118)),AL118,1E+99),IF(AND(AN118&lt;&gt;"",LOWER(AN118)&lt;&gt;"approved",LOWER(AN118)&lt;&gt;"n/a",ISNUMBER(AO118)),AO118,1E+99),IF(AND(AQ118&lt;&gt;"",LOWER(AQ118)&lt;&gt;"approved",LOWER(AQ118)&lt;&gt;"n/a",ISNUMBER(AR118)),AR118,1E+99),IF(AND(AT118&lt;&gt;"",LOWER(AT118)&lt;&gt;"approved",LOWER(AT118)&lt;&gt;"n/a",ISNUMBER(AU118)),AU118,1E+99),IF(AND(AW118&lt;&gt;"",LOWER(AW118)&lt;&gt;"approved",LOWER(AW118)&lt;&gt;"n/a",ISNUMBER(AX118)),AX118,1E+99),IF(AND(AZ118&lt;&gt;"",LOWER(AZ118)&lt;&gt;"approved",LOWER(AZ118)&lt;&gt;"n/a",ISNUMBER(BA118)),BA118,1E+99)),_xlpm.sw,IF(AG118="","",IFERROR("SW"&amp;MID(AG118,FIND("/W",AG118)+2,99),"SW "&amp;AG118)),_xlpm.stage&amp;IF(_xlpm.parts="","All development items approved/closed",_xlpm.parts)&amp;IF(AND(_xlpm.parts&lt;&gt;"",_xlpm.deadline&lt;1E+99),"; need approval by "&amp;TEXT(_xlpm.deadline,"d-mmm-yy"),"")&amp;IF(_xlpm.sw&lt;&gt;""," for "&amp;_xlpm.sw,"")))</f>
        <v>NPI: In progress: Drawing, Veneer/Wood, Mirror for SW14</v>
      </c>
    </row>
    <row r="119" spans="1:58">
      <c r="A119" s="2" t="str">
        <f>IFERROR(VLOOKUP(E119,'Customer '!$A$4:$D$23,3,FALSE),"")</f>
        <v>NON RH</v>
      </c>
      <c r="B119" s="2" t="s">
        <v>267</v>
      </c>
      <c r="C119" s="2" t="s">
        <v>271</v>
      </c>
      <c r="E119" s="2" t="s">
        <v>168</v>
      </c>
      <c r="F119" s="2" t="str">
        <f>IFERROR(VLOOKUP(E119,'Customer '!$A$4:$D$28,2,FALSE),"")</f>
        <v>PLUS CORPORATION</v>
      </c>
      <c r="G119" s="2" t="s">
        <v>360</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1</v>
      </c>
      <c r="J119" s="2" t="s">
        <v>271</v>
      </c>
      <c r="K119" s="2" t="s">
        <v>272</v>
      </c>
      <c r="L119" s="119" t="s">
        <v>273</v>
      </c>
      <c r="M119" s="276"/>
      <c r="N119" s="276"/>
      <c r="O119" s="277"/>
      <c r="P119" s="2" t="s">
        <v>361</v>
      </c>
      <c r="Q119" s="2" t="s">
        <v>361</v>
      </c>
      <c r="V119" s="274">
        <v>48</v>
      </c>
      <c r="X119" s="278">
        <v>24407</v>
      </c>
      <c r="Y119" s="278">
        <v>24407</v>
      </c>
      <c r="Z119" s="2" t="s">
        <v>381</v>
      </c>
      <c r="AA119" s="2" t="str">
        <f t="shared" si="22"/>
        <v>2026</v>
      </c>
      <c r="AB119" s="276"/>
      <c r="AC119" s="276"/>
      <c r="AE119" s="276"/>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6"/>
      <c r="AJ119" s="276"/>
      <c r="AL119" s="276"/>
      <c r="AM119" s="276"/>
      <c r="AO119" s="276"/>
      <c r="AP119" s="276"/>
      <c r="AR119" s="276"/>
      <c r="AS119" s="276"/>
      <c r="AU119" s="276"/>
      <c r="AV119" s="276"/>
      <c r="AX119" s="276"/>
      <c r="AY119" s="276"/>
      <c r="BA119" s="276"/>
      <c r="BB119" s="276"/>
      <c r="BC119" s="2" t="str">
        <f t="shared" si="25"/>
        <v>Complete</v>
      </c>
      <c r="BE119" s="119" t="str">
        <f t="shared" si="26"/>
        <v>READY</v>
      </c>
    </row>
    <row r="120" spans="1:58">
      <c r="A120" s="2" t="str">
        <f>IFERROR(VLOOKUP(E120,'Customer '!$A$4:$D$23,3,FALSE),"")</f>
        <v>NON RH</v>
      </c>
      <c r="B120" s="2" t="s">
        <v>267</v>
      </c>
      <c r="C120" s="2" t="s">
        <v>271</v>
      </c>
      <c r="E120" s="2" t="s">
        <v>168</v>
      </c>
      <c r="F120" s="2" t="str">
        <f>IFERROR(VLOOKUP(E120,'Customer '!$A$4:$D$28,2,FALSE),"")</f>
        <v>PLUS CORPORATION</v>
      </c>
      <c r="G120" s="2" t="s">
        <v>360</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20" s="2">
        <f ca="1">IF(OR($H120="",$B120=""),0,--(COUNTIFS($H$3:$H120,$H120,$B$3:$B120,$B120)=1))</f>
        <v>0</v>
      </c>
      <c r="J120" s="2" t="s">
        <v>271</v>
      </c>
      <c r="K120" s="2" t="s">
        <v>272</v>
      </c>
      <c r="L120" s="119" t="s">
        <v>273</v>
      </c>
      <c r="M120" s="276"/>
      <c r="N120" s="276"/>
      <c r="O120" s="277"/>
      <c r="P120" s="2" t="s">
        <v>361</v>
      </c>
      <c r="Q120" s="2" t="s">
        <v>361</v>
      </c>
      <c r="V120" s="274">
        <v>48</v>
      </c>
      <c r="X120" s="278">
        <v>80520</v>
      </c>
      <c r="Y120" s="278">
        <v>80520</v>
      </c>
      <c r="Z120" s="2" t="s">
        <v>402</v>
      </c>
      <c r="AA120" s="2" t="str">
        <f t="shared" si="22"/>
        <v>2026</v>
      </c>
      <c r="AB120" s="276"/>
      <c r="AC120" s="276"/>
      <c r="AE120" s="276"/>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6"/>
      <c r="AJ120" s="276"/>
      <c r="AL120" s="276"/>
      <c r="AM120" s="276"/>
      <c r="AO120" s="276"/>
      <c r="AP120" s="276"/>
      <c r="AR120" s="276"/>
      <c r="AS120" s="276"/>
      <c r="AU120" s="276"/>
      <c r="AV120" s="276"/>
      <c r="AX120" s="276"/>
      <c r="AY120" s="276"/>
      <c r="BA120" s="276"/>
      <c r="BB120" s="276"/>
      <c r="BC120" s="2" t="str">
        <f t="shared" si="25"/>
        <v>Complete</v>
      </c>
      <c r="BE120" s="119" t="str">
        <f t="shared" si="26"/>
        <v>READY</v>
      </c>
    </row>
    <row r="121" spans="1:58">
      <c r="A121" s="2" t="str">
        <f>IFERROR(VLOOKUP(E121,'Customer '!$A$4:$D$23,3,FALSE),"")</f>
        <v>RH</v>
      </c>
      <c r="B121" s="2" t="s">
        <v>267</v>
      </c>
      <c r="C121" s="2" t="s">
        <v>271</v>
      </c>
      <c r="D121" s="2" t="s">
        <v>269</v>
      </c>
      <c r="E121" s="2" t="s">
        <v>61</v>
      </c>
      <c r="F121" s="2" t="str">
        <f>IFERROR(VLOOKUP(E121,'Customer '!$A$4:$D$28,2,FALSE),"")</f>
        <v>RH</v>
      </c>
      <c r="G121" s="2" t="s">
        <v>403</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1" s="2">
        <f ca="1">IF(OR($H121="",$B121=""),0,--(COUNTIFS($H$3:$H121,$H121,$B$3:$B121,$B121)=1))</f>
        <v>1</v>
      </c>
      <c r="J121" s="2" t="s">
        <v>271</v>
      </c>
      <c r="K121" s="2" t="s">
        <v>272</v>
      </c>
      <c r="L121" s="119" t="s">
        <v>273</v>
      </c>
      <c r="M121" s="276"/>
      <c r="N121" s="276"/>
      <c r="O121" s="277"/>
      <c r="P121" s="2" t="s">
        <v>51</v>
      </c>
      <c r="V121" s="274">
        <v>2</v>
      </c>
      <c r="X121" s="278">
        <v>5432.2</v>
      </c>
      <c r="Y121" s="278">
        <v>5432.2</v>
      </c>
      <c r="Z121" s="2" t="s">
        <v>381</v>
      </c>
      <c r="AA121" s="2" t="str">
        <f t="shared" si="22"/>
        <v>2026</v>
      </c>
      <c r="AB121" s="276"/>
      <c r="AC121" s="276"/>
      <c r="AE121" s="276"/>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
      </c>
      <c r="AH121" s="2" t="s">
        <v>56</v>
      </c>
      <c r="AI121" s="276"/>
      <c r="AJ121" s="276"/>
      <c r="AK121" s="2" t="s">
        <v>56</v>
      </c>
      <c r="AL121" s="276"/>
      <c r="AM121" s="276"/>
      <c r="AN121" s="2" t="s">
        <v>73</v>
      </c>
      <c r="AO121" s="276"/>
      <c r="AP121" s="276"/>
      <c r="AQ121" s="2" t="s">
        <v>73</v>
      </c>
      <c r="AR121" s="276"/>
      <c r="AS121" s="276"/>
      <c r="AT121" s="2" t="s">
        <v>73</v>
      </c>
      <c r="AU121" s="276"/>
      <c r="AV121" s="276"/>
      <c r="AW121" s="2" t="s">
        <v>73</v>
      </c>
      <c r="AX121" s="276"/>
      <c r="AY121" s="276"/>
      <c r="AZ121" s="2" t="s">
        <v>73</v>
      </c>
      <c r="BA121" s="276"/>
      <c r="BB121" s="276"/>
      <c r="BC121" s="2" t="str">
        <f t="shared" si="25"/>
        <v>Complete</v>
      </c>
      <c r="BD121" s="2" t="s">
        <v>278</v>
      </c>
      <c r="BE121" s="119" t="str">
        <f t="shared" si="26"/>
        <v>READY</v>
      </c>
    </row>
    <row r="122" spans="1:58">
      <c r="A122" s="2" t="str">
        <f>IFERROR(VLOOKUP(E122,'Customer '!$A$4:$D$23,3,FALSE),"")</f>
        <v>NON RH</v>
      </c>
      <c r="B122" s="2" t="s">
        <v>327</v>
      </c>
      <c r="C122" s="2" t="s">
        <v>298</v>
      </c>
      <c r="E122" s="2" t="s">
        <v>369</v>
      </c>
      <c r="F122" s="2" t="str">
        <f>IFERROR(VLOOKUP(E122,'Customer '!$A$4:$D$28,2,FALSE),"")</f>
        <v>BROOKFIELD</v>
      </c>
      <c r="G122" s="2" t="s">
        <v>404</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2" s="2">
        <f ca="1">IF(OR($H122="",$B122=""),0,--(COUNTIFS($H$3:$H122,$H122,$B$3:$B122,$B122)=1))</f>
        <v>1</v>
      </c>
      <c r="J122" s="2" t="s">
        <v>271</v>
      </c>
      <c r="K122" s="2" t="s">
        <v>272</v>
      </c>
      <c r="L122" s="119" t="s">
        <v>273</v>
      </c>
      <c r="M122" s="276">
        <v>46144</v>
      </c>
      <c r="N122" s="276">
        <v>46149</v>
      </c>
      <c r="O122" s="277"/>
      <c r="P122" s="2" t="s">
        <v>51</v>
      </c>
      <c r="Q122" s="2" t="s">
        <v>405</v>
      </c>
      <c r="V122" s="274">
        <v>6</v>
      </c>
      <c r="X122" s="278">
        <v>11414.99</v>
      </c>
      <c r="Y122" s="278">
        <v>13583.73</v>
      </c>
      <c r="Z122" s="2" t="s">
        <v>280</v>
      </c>
      <c r="AA122" s="2" t="str">
        <f t="shared" si="22"/>
        <v>2026</v>
      </c>
      <c r="AB122" s="276">
        <v>46220</v>
      </c>
      <c r="AC122" s="276"/>
      <c r="AD122" s="275">
        <v>46220</v>
      </c>
      <c r="AE122" s="276">
        <v>46220</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6"/>
      <c r="AJ122" s="276"/>
      <c r="AK122" s="2" t="s">
        <v>56</v>
      </c>
      <c r="AL122" s="276"/>
      <c r="AM122" s="276"/>
      <c r="AN122" s="2" t="s">
        <v>56</v>
      </c>
      <c r="AO122" s="276"/>
      <c r="AP122" s="276"/>
      <c r="AQ122" s="2" t="s">
        <v>56</v>
      </c>
      <c r="AR122" s="276"/>
      <c r="AS122" s="276"/>
      <c r="AT122" s="2" t="s">
        <v>73</v>
      </c>
      <c r="AU122" s="276"/>
      <c r="AV122" s="276"/>
      <c r="AW122" s="2" t="s">
        <v>56</v>
      </c>
      <c r="AX122" s="276"/>
      <c r="AY122" s="276"/>
      <c r="AZ122" s="2" t="s">
        <v>277</v>
      </c>
      <c r="BA122" s="276"/>
      <c r="BB122" s="276"/>
      <c r="BC122" s="2" t="str">
        <f t="shared" si="25"/>
        <v>Complete</v>
      </c>
      <c r="BE122" s="119" t="str">
        <f t="shared" si="26"/>
        <v>READY</v>
      </c>
    </row>
    <row r="123" spans="1:58">
      <c r="A123" s="2" t="str">
        <f>IFERROR(VLOOKUP(E123,'Customer '!$A$4:$D$23,3,FALSE),"")</f>
        <v>RH</v>
      </c>
      <c r="B123" s="2" t="s">
        <v>327</v>
      </c>
      <c r="C123" s="2" t="s">
        <v>282</v>
      </c>
      <c r="D123" s="2" t="s">
        <v>406</v>
      </c>
      <c r="E123" s="2" t="s">
        <v>61</v>
      </c>
      <c r="F123" s="2" t="str">
        <f>IFERROR(VLOOKUP(E123,'Customer '!$A$4:$D$28,2,FALSE),"")</f>
        <v>RH</v>
      </c>
      <c r="G123" s="2" t="s">
        <v>407</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3" s="2">
        <f ca="1">IF(OR($H123="",$B123=""),0,--(COUNTIFS($H$3:$H123,$H123,$B$3:$B123,$B123)=1))</f>
        <v>1</v>
      </c>
      <c r="J123" s="2" t="s">
        <v>271</v>
      </c>
      <c r="K123" s="2" t="s">
        <v>272</v>
      </c>
      <c r="L123" s="119" t="s">
        <v>273</v>
      </c>
      <c r="M123" s="276">
        <v>46128</v>
      </c>
      <c r="N123" s="276">
        <v>46168</v>
      </c>
      <c r="O123" s="277"/>
      <c r="P123" s="2" t="s">
        <v>51</v>
      </c>
      <c r="Q123" s="2" t="s">
        <v>51</v>
      </c>
      <c r="V123" s="274">
        <v>5</v>
      </c>
      <c r="X123" s="278">
        <v>5617.6</v>
      </c>
      <c r="Y123" s="278">
        <v>5617.6</v>
      </c>
      <c r="Z123" s="2" t="s">
        <v>280</v>
      </c>
      <c r="AA123" s="2" t="str">
        <f t="shared" si="22"/>
        <v>2026</v>
      </c>
      <c r="AB123" s="276">
        <v>46277</v>
      </c>
      <c r="AC123" s="276">
        <v>46284</v>
      </c>
      <c r="AD123" s="275">
        <v>46218</v>
      </c>
      <c r="AE123" s="276">
        <v>46218</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2026/W29</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2026/W29</v>
      </c>
      <c r="AH123" s="2" t="s">
        <v>56</v>
      </c>
      <c r="AI123" s="276"/>
      <c r="AJ123" s="276">
        <v>46167</v>
      </c>
      <c r="AK123" s="2" t="s">
        <v>56</v>
      </c>
      <c r="AL123" s="276"/>
      <c r="AM123" s="276">
        <v>46177</v>
      </c>
      <c r="AN123" s="2" t="s">
        <v>73</v>
      </c>
      <c r="AO123" s="276"/>
      <c r="AP123" s="276"/>
      <c r="AQ123" s="2" t="s">
        <v>73</v>
      </c>
      <c r="AR123" s="276"/>
      <c r="AS123" s="276"/>
      <c r="AT123" s="2" t="s">
        <v>56</v>
      </c>
      <c r="AU123" s="276"/>
      <c r="AV123" s="276"/>
      <c r="AW123" s="2" t="s">
        <v>73</v>
      </c>
      <c r="AX123" s="276"/>
      <c r="AY123" s="276"/>
      <c r="AZ123" s="2" t="s">
        <v>73</v>
      </c>
      <c r="BA123" s="276"/>
      <c r="BB123" s="276"/>
      <c r="BC123" s="2" t="str">
        <f t="shared" ref="BC123:BC153" si="27">IF(J123="","",IF(OR(J123="OB",J123="NOR",J123="FC",J123="PIPELINE"),"Active","Complete"))</f>
        <v>Complete</v>
      </c>
      <c r="BD123" s="2" t="s">
        <v>278</v>
      </c>
      <c r="BE123" s="119" t="str">
        <f t="shared" ref="BE123:BE153" si="28">IF(UPPER(TRIM(J123))="SHIPPED","READY",_xlfn.LET(_xlpm.stage,IF(B123="","",B123&amp;": "),_xlpm.ip,_xlfn.TEXTJOIN(", ",TRUE,IF(LOWER(AH123)="in progress","Drawing",""),IF(LOWER(AK123)="in progress","Veneer/Wood",""),IF(LOWER(AN123)="in progress","Marble",""),IF(LOWER(AQ123)="in progress","Metal",""),IF(LOWER(AT123)="in progress","Mirror",""),IF(LOWER(AW123)="in progress","Electrical",""),IF(LOWER(AZ123)="in progress","Fabric","")),_xlpm.pa,_xlfn.TEXTJOIN(", ",TRUE,IF(LOWER(AH123)="pending approval","Drawing",""),IF(LOWER(AK123)="pending approval","Veneer/Wood",""),IF(LOWER(AN123)="pending approval","Marble",""),IF(LOWER(AQ123)="pending approval","Metal",""),IF(LOWER(AT123)="pending approval","Mirror",""),IF(LOWER(AW123)="pending approval","Electrical",""),IF(LOWER(AZ123)="pending approval","Fabric","")),_xlpm.ns,_xlfn.TEXTJOIN(", ",TRUE,IF(LOWER(AH123)="not started","Drawing",""),IF(LOWER(AK123)="not started","Veneer/Wood",""),IF(LOWER(AN123)="not started","Marble",""),IF(LOWER(AQ123)="not started","Metal",""),IF(LOWER(AT123)="not started","Mirror",""),IF(LOWER(AW123)="not started","Electrical",""),IF(LOWER(AZ123)="not started","Fabric","")),_xlpm.fab,IF(OR(LOWER(AZ123)="com",LOWER(AZ123)="com pending",LOWER(AZ123)="com received"),"Fabric is "&amp;LOWER(AZ123),""),_xlpm.parts,_xlfn.TEXTJOIN("; ",TRUE,IF(_xlpm.ip&lt;&gt;"","In progress: "&amp;_xlpm.ip,""),IF(_xlpm.pa&lt;&gt;"","Pending approval: "&amp;_xlpm.pa,""),IF(_xlpm.ns&lt;&gt;"","Not started: "&amp;_xlpm.ns,""),_xlpm.fab),_xlpm.deadline,MIN(IF(AND(AH123&lt;&gt;"",LOWER(AH123)&lt;&gt;"approved",LOWER(AH123)&lt;&gt;"n/a",ISNUMBER(AI123)),AI123,1E+99),IF(AND(AK123&lt;&gt;"",LOWER(AK123)&lt;&gt;"approved",LOWER(AK123)&lt;&gt;"n/a",ISNUMBER(AL123)),AL123,1E+99),IF(AND(AN123&lt;&gt;"",LOWER(AN123)&lt;&gt;"approved",LOWER(AN123)&lt;&gt;"n/a",ISNUMBER(AO123)),AO123,1E+99),IF(AND(AQ123&lt;&gt;"",LOWER(AQ123)&lt;&gt;"approved",LOWER(AQ123)&lt;&gt;"n/a",ISNUMBER(AR123)),AR123,1E+99),IF(AND(AT123&lt;&gt;"",LOWER(AT123)&lt;&gt;"approved",LOWER(AT123)&lt;&gt;"n/a",ISNUMBER(AU123)),AU123,1E+99),IF(AND(AW123&lt;&gt;"",LOWER(AW123)&lt;&gt;"approved",LOWER(AW123)&lt;&gt;"n/a",ISNUMBER(AX123)),AX123,1E+99),IF(AND(AZ123&lt;&gt;"",LOWER(AZ123)&lt;&gt;"approved",LOWER(AZ123)&lt;&gt;"n/a",ISNUMBER(BA123)),BA123,1E+99)),_xlpm.sw,IF(AG123="","",IFERROR("SW"&amp;MID(AG123,FIND("/W",AG123)+2,99),"SW "&amp;AG123)),_xlpm.stage&amp;IF(_xlpm.parts="","All development items approved/closed",_xlpm.parts)&amp;IF(AND(_xlpm.parts&lt;&gt;"",_xlpm.deadline&lt;1E+99),"; need approval by "&amp;TEXT(_xlpm.deadline,"d-mmm-yy"),"")&amp;IF(_xlpm.sw&lt;&gt;""," for "&amp;_xlpm.sw,"")))</f>
        <v>READY</v>
      </c>
    </row>
    <row r="124" spans="1:58">
      <c r="A124" s="2" t="str">
        <f>IFERROR(VLOOKUP(E124,'Customer '!$A$4:$D$23,3,FALSE),"")</f>
        <v>RH</v>
      </c>
      <c r="B124" s="2" t="s">
        <v>327</v>
      </c>
      <c r="C124" s="2" t="s">
        <v>308</v>
      </c>
      <c r="D124" s="2" t="s">
        <v>269</v>
      </c>
      <c r="E124" s="2" t="s">
        <v>61</v>
      </c>
      <c r="F124" s="2" t="str">
        <f>IFERROR(VLOOKUP(E124,'Customer '!$A$4:$D$28,2,FALSE),"")</f>
        <v>RH</v>
      </c>
      <c r="G124" s="2" t="s">
        <v>408</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4" s="2">
        <f ca="1">IF(OR($H124="",$B124=""),0,--(COUNTIFS($H$3:$H124,$H124,$B$3:$B124,$B124)=1))</f>
        <v>1</v>
      </c>
      <c r="J124" s="2" t="s">
        <v>310</v>
      </c>
      <c r="K124" s="2" t="s">
        <v>272</v>
      </c>
      <c r="L124" s="119" t="s">
        <v>301</v>
      </c>
      <c r="M124" s="276">
        <v>46136</v>
      </c>
      <c r="N124" s="276">
        <v>46206</v>
      </c>
      <c r="O124" s="277"/>
      <c r="P124" s="2" t="s">
        <v>51</v>
      </c>
      <c r="Q124" s="2" t="s">
        <v>409</v>
      </c>
      <c r="R124" s="2">
        <v>0</v>
      </c>
      <c r="S124" s="2">
        <v>0</v>
      </c>
      <c r="V124" s="274">
        <v>2</v>
      </c>
      <c r="W124" s="274">
        <v>2</v>
      </c>
      <c r="X124" s="278">
        <v>5542.32</v>
      </c>
      <c r="Y124" s="278">
        <v>5542.32</v>
      </c>
      <c r="Z124" s="2" t="s">
        <v>303</v>
      </c>
      <c r="AA124" s="2" t="str">
        <f t="shared" si="22"/>
        <v>2026</v>
      </c>
      <c r="AB124" s="276"/>
      <c r="AC124" s="276"/>
      <c r="AD124" s="275">
        <v>46324</v>
      </c>
      <c r="AE124" s="275">
        <v>46324</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2026/W44</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2026/W44</v>
      </c>
      <c r="AH124" s="2" t="s">
        <v>56</v>
      </c>
      <c r="AI124" s="276"/>
      <c r="AJ124" s="276">
        <v>46272</v>
      </c>
      <c r="AK124" s="2" t="s">
        <v>56</v>
      </c>
      <c r="AL124" s="276"/>
      <c r="AM124" s="276">
        <v>46227</v>
      </c>
      <c r="AN124" s="2" t="s">
        <v>73</v>
      </c>
      <c r="AO124" s="276"/>
      <c r="AP124" s="276"/>
      <c r="AQ124" s="2" t="s">
        <v>73</v>
      </c>
      <c r="AR124" s="276"/>
      <c r="AS124" s="276"/>
      <c r="AT124" s="2" t="s">
        <v>73</v>
      </c>
      <c r="AU124" s="276"/>
      <c r="AV124" s="276"/>
      <c r="AW124" s="2" t="s">
        <v>56</v>
      </c>
      <c r="AX124" s="276"/>
      <c r="AY124" s="276">
        <v>46272</v>
      </c>
      <c r="AZ124" s="2" t="s">
        <v>277</v>
      </c>
      <c r="BA124" s="276"/>
      <c r="BB124" s="276">
        <v>46255</v>
      </c>
      <c r="BC124" s="2" t="str">
        <f t="shared" si="27"/>
        <v>Active</v>
      </c>
      <c r="BD124" s="2" t="s">
        <v>278</v>
      </c>
      <c r="BE124" s="119" t="str">
        <f t="shared" si="28"/>
        <v>NPD: Fabric is com received for SW44</v>
      </c>
      <c r="BF124" s="2" t="s">
        <v>1644</v>
      </c>
    </row>
    <row r="125" spans="1:58">
      <c r="A125" s="2" t="str">
        <f>IFERROR(VLOOKUP(E125,'Customer '!$A$4:$D$23,3,FALSE),"")</f>
        <v>RH</v>
      </c>
      <c r="B125" s="2" t="s">
        <v>267</v>
      </c>
      <c r="C125" s="2" t="s">
        <v>149</v>
      </c>
      <c r="D125" s="2" t="s">
        <v>406</v>
      </c>
      <c r="E125" s="2" t="s">
        <v>61</v>
      </c>
      <c r="F125" s="2" t="str">
        <f>IFERROR(VLOOKUP(E125,'Customer '!$A$4:$D$28,2,FALSE),"")</f>
        <v>RH</v>
      </c>
      <c r="G125" s="2" t="s">
        <v>410</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5" s="2">
        <f ca="1">IF(OR($H125="",$B125=""),0,--(COUNTIFS($H$3:$H125,$H125,$B$3:$B125,$B125)=1))</f>
        <v>1</v>
      </c>
      <c r="J125" s="2" t="s">
        <v>321</v>
      </c>
      <c r="K125" s="2" t="s">
        <v>272</v>
      </c>
      <c r="L125" s="119" t="s">
        <v>317</v>
      </c>
      <c r="M125" s="276">
        <v>46141</v>
      </c>
      <c r="N125" s="276"/>
      <c r="O125" s="277"/>
      <c r="P125" s="2" t="s">
        <v>51</v>
      </c>
      <c r="R125" s="2">
        <v>0</v>
      </c>
      <c r="S125" s="2">
        <v>0</v>
      </c>
      <c r="V125" s="274">
        <v>3</v>
      </c>
      <c r="X125" s="278">
        <v>847691</v>
      </c>
      <c r="Y125" s="278">
        <v>847691</v>
      </c>
      <c r="Z125" s="2" t="s">
        <v>149</v>
      </c>
      <c r="AA125" s="2" t="str">
        <f t="shared" si="22"/>
        <v>TBC</v>
      </c>
      <c r="AB125" s="276"/>
      <c r="AC125" s="276"/>
      <c r="AD125" s="275" t="s">
        <v>149</v>
      </c>
      <c r="AE125" s="276" t="s">
        <v>149</v>
      </c>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TBC</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TBC</v>
      </c>
      <c r="AH125" s="2" t="s">
        <v>287</v>
      </c>
      <c r="AI125" s="276"/>
      <c r="AJ125" s="276"/>
      <c r="AK125" s="2" t="s">
        <v>287</v>
      </c>
      <c r="AL125" s="276"/>
      <c r="AM125" s="276"/>
      <c r="AO125" s="276"/>
      <c r="AP125" s="276"/>
      <c r="AR125" s="276"/>
      <c r="AS125" s="276"/>
      <c r="AU125" s="276"/>
      <c r="AV125" s="276"/>
      <c r="AX125" s="276"/>
      <c r="AY125" s="276"/>
      <c r="BA125" s="276"/>
      <c r="BB125" s="276"/>
      <c r="BC125" s="2" t="str">
        <f t="shared" si="27"/>
        <v>Active</v>
      </c>
      <c r="BD125" s="2" t="s">
        <v>278</v>
      </c>
      <c r="BE125" s="119" t="str">
        <f t="shared" si="28"/>
        <v>NPI: Not started: Drawing, Veneer/Wood for SW TBC</v>
      </c>
    </row>
    <row r="126" spans="1:58">
      <c r="A126" s="2" t="str">
        <f>IFERROR(VLOOKUP(E126,'Customer '!$A$4:$D$23,3,FALSE),"")</f>
        <v>NON RH</v>
      </c>
      <c r="B126" s="2" t="s">
        <v>267</v>
      </c>
      <c r="C126" s="2" t="s">
        <v>341</v>
      </c>
      <c r="E126" s="2" t="s">
        <v>98</v>
      </c>
      <c r="F126" s="2" t="str">
        <f>IFERROR(VLOOKUP(E126,'Customer '!$A$4:$D$28,2,FALSE),"")</f>
        <v xml:space="preserve">FLEETWOOD </v>
      </c>
      <c r="G126" s="2" t="s">
        <v>411</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1</v>
      </c>
      <c r="J126" s="2" t="s">
        <v>321</v>
      </c>
      <c r="K126" s="2" t="s">
        <v>272</v>
      </c>
      <c r="L126" s="119" t="s">
        <v>285</v>
      </c>
      <c r="M126" s="276">
        <v>46144</v>
      </c>
      <c r="N126" s="276"/>
      <c r="O126" s="277"/>
      <c r="P126" s="2" t="s">
        <v>51</v>
      </c>
      <c r="R126" s="2">
        <v>0</v>
      </c>
      <c r="S126" s="2">
        <v>0</v>
      </c>
      <c r="V126" s="274">
        <v>13</v>
      </c>
      <c r="X126" s="278">
        <v>5665882.9800000004</v>
      </c>
      <c r="Y126" s="278">
        <v>1133176.5960000001</v>
      </c>
      <c r="Z126" s="2" t="s">
        <v>286</v>
      </c>
      <c r="AA126" s="2" t="str">
        <f t="shared" ref="AA126:AA129" si="29">IF(Z126="","",IF(OR(Z126="TBC",Z126="Removed"),Z126,LEFT(Z126,4)))</f>
        <v>2027</v>
      </c>
      <c r="AB126" s="276"/>
      <c r="AC126" s="276"/>
      <c r="AE126" s="276"/>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6"/>
      <c r="AJ126" s="276"/>
      <c r="AL126" s="276"/>
      <c r="AM126" s="276"/>
      <c r="AO126" s="276"/>
      <c r="AP126" s="276"/>
      <c r="AR126" s="276"/>
      <c r="AS126" s="276"/>
      <c r="AU126" s="276"/>
      <c r="AV126" s="276"/>
      <c r="AX126" s="276"/>
      <c r="AY126" s="276"/>
      <c r="BA126" s="276"/>
      <c r="BB126" s="276"/>
      <c r="BC126" s="2" t="str">
        <f t="shared" si="27"/>
        <v>Active</v>
      </c>
      <c r="BE126" s="119" t="str">
        <f t="shared" si="28"/>
        <v>NPI: All development items approved/closed</v>
      </c>
    </row>
    <row r="127" spans="1:58">
      <c r="A127" s="2" t="str">
        <f>IFERROR(VLOOKUP(E127,'Customer '!$A$4:$D$23,3,FALSE),"")</f>
        <v>NON RH</v>
      </c>
      <c r="B127" s="2" t="s">
        <v>267</v>
      </c>
      <c r="C127" s="2" t="s">
        <v>341</v>
      </c>
      <c r="E127" s="2" t="s">
        <v>98</v>
      </c>
      <c r="F127" s="2" t="str">
        <f>IFERROR(VLOOKUP(E127,'Customer '!$A$4:$D$28,2,FALSE),"")</f>
        <v xml:space="preserve">FLEETWOOD </v>
      </c>
      <c r="G127" s="2" t="s">
        <v>411</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321</v>
      </c>
      <c r="K127" s="2" t="s">
        <v>272</v>
      </c>
      <c r="L127" s="119" t="s">
        <v>285</v>
      </c>
      <c r="M127" s="276">
        <v>46144</v>
      </c>
      <c r="N127" s="276"/>
      <c r="O127" s="277"/>
      <c r="P127" s="2" t="s">
        <v>51</v>
      </c>
      <c r="R127" s="2">
        <v>0</v>
      </c>
      <c r="S127" s="2">
        <v>0</v>
      </c>
      <c r="V127" s="274">
        <v>13</v>
      </c>
      <c r="X127" s="278">
        <v>5665882.9800000004</v>
      </c>
      <c r="Y127" s="278">
        <v>1133176.5960000001</v>
      </c>
      <c r="Z127" s="2" t="s">
        <v>288</v>
      </c>
      <c r="AA127" s="2" t="str">
        <f t="shared" si="29"/>
        <v>2027</v>
      </c>
      <c r="AB127" s="276"/>
      <c r="AC127" s="276"/>
      <c r="AE127" s="276"/>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6"/>
      <c r="AJ127" s="276"/>
      <c r="AL127" s="276"/>
      <c r="AM127" s="276"/>
      <c r="AO127" s="276"/>
      <c r="AP127" s="276"/>
      <c r="AR127" s="276"/>
      <c r="AS127" s="276"/>
      <c r="AU127" s="276"/>
      <c r="AV127" s="276"/>
      <c r="AX127" s="276"/>
      <c r="AY127" s="276"/>
      <c r="BA127" s="276"/>
      <c r="BB127" s="276"/>
      <c r="BC127" s="2" t="str">
        <f t="shared" si="27"/>
        <v>Active</v>
      </c>
      <c r="BE127" s="119" t="str">
        <f t="shared" si="28"/>
        <v>NPI: All development items approved/closed</v>
      </c>
    </row>
    <row r="128" spans="1:58">
      <c r="A128" s="2" t="str">
        <f>IFERROR(VLOOKUP(E128,'Customer '!$A$4:$D$23,3,FALSE),"")</f>
        <v>NON RH</v>
      </c>
      <c r="B128" s="2" t="s">
        <v>267</v>
      </c>
      <c r="C128" s="2" t="s">
        <v>341</v>
      </c>
      <c r="E128" s="2" t="s">
        <v>98</v>
      </c>
      <c r="F128" s="2" t="str">
        <f>IFERROR(VLOOKUP(E128,'Customer '!$A$4:$D$28,2,FALSE),"")</f>
        <v xml:space="preserve">FLEETWOOD </v>
      </c>
      <c r="G128" s="2" t="s">
        <v>411</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321</v>
      </c>
      <c r="K128" s="2" t="s">
        <v>272</v>
      </c>
      <c r="L128" s="119" t="s">
        <v>285</v>
      </c>
      <c r="M128" s="276">
        <v>46144</v>
      </c>
      <c r="N128" s="276"/>
      <c r="O128" s="277"/>
      <c r="P128" s="2" t="s">
        <v>51</v>
      </c>
      <c r="R128" s="2">
        <v>0</v>
      </c>
      <c r="S128" s="2">
        <v>0</v>
      </c>
      <c r="V128" s="274">
        <v>13</v>
      </c>
      <c r="X128" s="278">
        <v>5665882.9800000004</v>
      </c>
      <c r="Y128" s="278">
        <v>1133176.5960000001</v>
      </c>
      <c r="Z128" s="2" t="s">
        <v>289</v>
      </c>
      <c r="AA128" s="2" t="str">
        <f t="shared" si="29"/>
        <v>2027</v>
      </c>
      <c r="AB128" s="276"/>
      <c r="AC128" s="276"/>
      <c r="AE128" s="276"/>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6"/>
      <c r="AJ128" s="276"/>
      <c r="AL128" s="276"/>
      <c r="AM128" s="276"/>
      <c r="AO128" s="276"/>
      <c r="AP128" s="276"/>
      <c r="AR128" s="276"/>
      <c r="AS128" s="276"/>
      <c r="AU128" s="276"/>
      <c r="AV128" s="276"/>
      <c r="AX128" s="276"/>
      <c r="AY128" s="276"/>
      <c r="BA128" s="276"/>
      <c r="BB128" s="276"/>
      <c r="BC128" s="2" t="str">
        <f t="shared" si="27"/>
        <v>Active</v>
      </c>
      <c r="BE128" s="119" t="str">
        <f t="shared" si="28"/>
        <v>NPI: All development items approved/closed</v>
      </c>
    </row>
    <row r="129" spans="1:58">
      <c r="A129" s="2" t="str">
        <f>IFERROR(VLOOKUP(E129,'Customer '!$A$4:$D$23,3,FALSE),"")</f>
        <v>NON RH</v>
      </c>
      <c r="B129" s="2" t="s">
        <v>267</v>
      </c>
      <c r="C129" s="2" t="s">
        <v>341</v>
      </c>
      <c r="E129" s="2" t="s">
        <v>98</v>
      </c>
      <c r="F129" s="2" t="str">
        <f>IFERROR(VLOOKUP(E129,'Customer '!$A$4:$D$28,2,FALSE),"")</f>
        <v xml:space="preserve">FLEETWOOD </v>
      </c>
      <c r="G129" s="2" t="s">
        <v>411</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321</v>
      </c>
      <c r="K129" s="2" t="s">
        <v>272</v>
      </c>
      <c r="L129" s="119" t="s">
        <v>285</v>
      </c>
      <c r="M129" s="276">
        <v>46144</v>
      </c>
      <c r="N129" s="276"/>
      <c r="O129" s="277"/>
      <c r="P129" s="2" t="s">
        <v>51</v>
      </c>
      <c r="R129" s="2">
        <v>0</v>
      </c>
      <c r="S129" s="2">
        <v>0</v>
      </c>
      <c r="V129" s="274">
        <v>13</v>
      </c>
      <c r="X129" s="278">
        <v>5665882.9800000004</v>
      </c>
      <c r="Y129" s="278">
        <v>1133176.5960000001</v>
      </c>
      <c r="Z129" s="2" t="s">
        <v>374</v>
      </c>
      <c r="AA129" s="2" t="str">
        <f t="shared" si="29"/>
        <v>2027</v>
      </c>
      <c r="AB129" s="276"/>
      <c r="AC129" s="276"/>
      <c r="AE129" s="276"/>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6"/>
      <c r="AJ129" s="276"/>
      <c r="AL129" s="276"/>
      <c r="AM129" s="276"/>
      <c r="AO129" s="276"/>
      <c r="AP129" s="276"/>
      <c r="AR129" s="276"/>
      <c r="AS129" s="276"/>
      <c r="AU129" s="276"/>
      <c r="AV129" s="276"/>
      <c r="AX129" s="276"/>
      <c r="AY129" s="276"/>
      <c r="BA129" s="276"/>
      <c r="BB129" s="276"/>
      <c r="BC129" s="2" t="str">
        <f t="shared" si="27"/>
        <v>Active</v>
      </c>
      <c r="BE129" s="119" t="str">
        <f t="shared" si="28"/>
        <v>NPI: All development items approved/closed</v>
      </c>
    </row>
    <row r="130" spans="1:58">
      <c r="A130" s="2" t="str">
        <f>IFERROR(VLOOKUP(E130,'Customer '!$A$4:$D$23,3,FALSE),"")</f>
        <v>NON RH</v>
      </c>
      <c r="B130" s="2" t="s">
        <v>267</v>
      </c>
      <c r="C130" s="2" t="s">
        <v>341</v>
      </c>
      <c r="E130" s="2" t="s">
        <v>98</v>
      </c>
      <c r="F130" s="2" t="str">
        <f>IFERROR(VLOOKUP(E130,'Customer '!$A$4:$D$28,2,FALSE),"")</f>
        <v xml:space="preserve">FLEETWOOD </v>
      </c>
      <c r="G130" s="2" t="s">
        <v>411</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30" s="2">
        <f ca="1">IF(OR($H130="",$B130=""),0,--(COUNTIFS($H$3:$H130,$H130,$B$3:$B130,$B130)=1))</f>
        <v>0</v>
      </c>
      <c r="J130" s="2" t="s">
        <v>321</v>
      </c>
      <c r="K130" s="2" t="s">
        <v>272</v>
      </c>
      <c r="L130" s="119" t="s">
        <v>285</v>
      </c>
      <c r="M130" s="276">
        <v>46144</v>
      </c>
      <c r="N130" s="276"/>
      <c r="O130" s="277"/>
      <c r="P130" s="2" t="s">
        <v>51</v>
      </c>
      <c r="R130" s="2">
        <v>0</v>
      </c>
      <c r="S130" s="2">
        <v>0</v>
      </c>
      <c r="V130" s="274">
        <v>13</v>
      </c>
      <c r="X130" s="278">
        <v>5665882.9800000004</v>
      </c>
      <c r="Y130" s="278">
        <v>1133176.5960000001</v>
      </c>
      <c r="Z130" s="2" t="s">
        <v>343</v>
      </c>
      <c r="AA130" s="2" t="str">
        <f t="shared" si="22"/>
        <v>2027</v>
      </c>
      <c r="AB130" s="276"/>
      <c r="AC130" s="276"/>
      <c r="AE130" s="276"/>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
      </c>
      <c r="AI130" s="276"/>
      <c r="AJ130" s="276"/>
      <c r="AL130" s="276"/>
      <c r="AM130" s="276"/>
      <c r="AO130" s="276"/>
      <c r="AP130" s="276"/>
      <c r="AR130" s="276"/>
      <c r="AS130" s="276"/>
      <c r="AU130" s="276"/>
      <c r="AV130" s="276"/>
      <c r="AX130" s="276"/>
      <c r="AY130" s="276"/>
      <c r="BA130" s="276"/>
      <c r="BB130" s="276"/>
      <c r="BC130" s="2" t="str">
        <f t="shared" si="27"/>
        <v>Active</v>
      </c>
      <c r="BE130" s="119" t="str">
        <f t="shared" si="28"/>
        <v>NPI: All development items approved/closed</v>
      </c>
    </row>
    <row r="131" spans="1:58">
      <c r="A131" s="2" t="str">
        <f>IFERROR(VLOOKUP(E131,'Customer '!$A$4:$D$23,3,FALSE),"")</f>
        <v>NON RH</v>
      </c>
      <c r="B131" s="2" t="s">
        <v>267</v>
      </c>
      <c r="C131" s="2" t="s">
        <v>341</v>
      </c>
      <c r="D131" s="2" t="s">
        <v>397</v>
      </c>
      <c r="E131" s="2" t="s">
        <v>98</v>
      </c>
      <c r="F131" s="2" t="str">
        <f>IFERROR(VLOOKUP(E131,'Customer '!$A$4:$D$28,2,FALSE),"")</f>
        <v xml:space="preserve">FLEETWOOD </v>
      </c>
      <c r="G131" s="2" t="s">
        <v>412</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1" s="2">
        <f ca="1">IF(OR($H131="",$B131=""),0,--(COUNTIFS($H$3:$H131,$H131,$B$3:$B131,$B131)=1))</f>
        <v>1</v>
      </c>
      <c r="J131" s="2" t="s">
        <v>271</v>
      </c>
      <c r="K131" s="2" t="s">
        <v>272</v>
      </c>
      <c r="L131" s="119" t="s">
        <v>311</v>
      </c>
      <c r="M131" s="276">
        <v>46144</v>
      </c>
      <c r="N131" s="276">
        <v>46155</v>
      </c>
      <c r="O131" s="277">
        <v>46178</v>
      </c>
      <c r="P131" s="2" t="s">
        <v>51</v>
      </c>
      <c r="Q131" s="2" t="s">
        <v>152</v>
      </c>
      <c r="R131" s="2">
        <v>0</v>
      </c>
      <c r="S131" s="2">
        <v>0</v>
      </c>
      <c r="T131" s="2">
        <v>25</v>
      </c>
      <c r="V131" s="274">
        <v>2</v>
      </c>
      <c r="W131" s="274">
        <v>25</v>
      </c>
      <c r="X131" s="278">
        <v>13541.25</v>
      </c>
      <c r="Y131" s="278">
        <v>13541.25</v>
      </c>
      <c r="Z131" s="2" t="s">
        <v>303</v>
      </c>
      <c r="AA131" s="2" t="str">
        <f t="shared" si="22"/>
        <v>2026</v>
      </c>
      <c r="AB131" s="276">
        <v>46270</v>
      </c>
      <c r="AC131" s="276">
        <v>46270</v>
      </c>
      <c r="AD131" s="275">
        <v>46304</v>
      </c>
      <c r="AE131" s="275">
        <v>46304</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2026/W41</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2026/W41</v>
      </c>
      <c r="AH131" s="2" t="s">
        <v>56</v>
      </c>
      <c r="AI131" s="276"/>
      <c r="AJ131" s="276">
        <v>46200</v>
      </c>
      <c r="AK131" s="2" t="s">
        <v>56</v>
      </c>
      <c r="AL131" s="276"/>
      <c r="AM131" s="276">
        <v>46213</v>
      </c>
      <c r="AN131" s="2" t="s">
        <v>73</v>
      </c>
      <c r="AO131" s="276"/>
      <c r="AP131" s="276"/>
      <c r="AQ131" s="2" t="s">
        <v>56</v>
      </c>
      <c r="AR131" s="276"/>
      <c r="AS131" s="276">
        <v>46213</v>
      </c>
      <c r="AT131" s="2" t="s">
        <v>56</v>
      </c>
      <c r="AU131" s="276"/>
      <c r="AV131" s="276">
        <v>46227</v>
      </c>
      <c r="AW131" s="2" t="s">
        <v>73</v>
      </c>
      <c r="AX131" s="276"/>
      <c r="AY131" s="276"/>
      <c r="AZ131" s="2" t="s">
        <v>73</v>
      </c>
      <c r="BA131" s="276"/>
      <c r="BB131" s="276"/>
      <c r="BC131" s="2" t="str">
        <f t="shared" si="27"/>
        <v>Complete</v>
      </c>
      <c r="BE131" s="119" t="str">
        <f t="shared" si="28"/>
        <v>READY</v>
      </c>
      <c r="BF131" s="2" t="s">
        <v>413</v>
      </c>
    </row>
    <row r="132" spans="1:58">
      <c r="A132" s="2" t="str">
        <f>IFERROR(VLOOKUP(E132,'Customer '!$A$4:$D$23,3,FALSE),"")</f>
        <v>RH</v>
      </c>
      <c r="B132" s="2" t="s">
        <v>327</v>
      </c>
      <c r="C132" s="2" t="s">
        <v>282</v>
      </c>
      <c r="D132" s="2" t="s">
        <v>414</v>
      </c>
      <c r="E132" s="2" t="s">
        <v>61</v>
      </c>
      <c r="F132" s="2" t="str">
        <f>IFERROR(VLOOKUP(E132,'Customer '!$A$4:$D$28,2,FALSE),"")</f>
        <v>RH</v>
      </c>
      <c r="G132" s="2" t="s">
        <v>415</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271</v>
      </c>
      <c r="K132" s="2" t="s">
        <v>272</v>
      </c>
      <c r="L132" s="119" t="s">
        <v>273</v>
      </c>
      <c r="M132" s="276">
        <v>46144</v>
      </c>
      <c r="N132" s="276">
        <v>46154</v>
      </c>
      <c r="O132" s="277"/>
      <c r="P132" s="2" t="s">
        <v>51</v>
      </c>
      <c r="Q132" s="2" t="s">
        <v>51</v>
      </c>
      <c r="V132" s="274">
        <v>1</v>
      </c>
      <c r="X132" s="278">
        <v>1017.32</v>
      </c>
      <c r="Y132" s="278">
        <v>1017.32</v>
      </c>
      <c r="Z132" s="2" t="s">
        <v>279</v>
      </c>
      <c r="AA132" s="2" t="str">
        <f t="shared" si="22"/>
        <v>2026</v>
      </c>
      <c r="AB132" s="276">
        <v>46195</v>
      </c>
      <c r="AC132" s="276">
        <v>46199</v>
      </c>
      <c r="AD132" s="275">
        <v>46202</v>
      </c>
      <c r="AE132" s="276">
        <v>46202</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2026/W27</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2026/W27</v>
      </c>
      <c r="AH132" s="2" t="s">
        <v>56</v>
      </c>
      <c r="AI132" s="276"/>
      <c r="AJ132" s="276">
        <v>46158</v>
      </c>
      <c r="AK132" s="2" t="s">
        <v>56</v>
      </c>
      <c r="AL132" s="276"/>
      <c r="AM132" s="276">
        <v>46158</v>
      </c>
      <c r="AN132" s="2" t="s">
        <v>73</v>
      </c>
      <c r="AQ132" s="2" t="s">
        <v>56</v>
      </c>
      <c r="AR132" s="276"/>
      <c r="AS132" s="276">
        <v>46158</v>
      </c>
      <c r="AT132" s="2" t="s">
        <v>73</v>
      </c>
      <c r="AW132" s="2" t="s">
        <v>73</v>
      </c>
      <c r="AZ132" s="2" t="s">
        <v>73</v>
      </c>
      <c r="BC132" s="2" t="str">
        <f t="shared" si="27"/>
        <v>Complete</v>
      </c>
      <c r="BD132" s="2" t="s">
        <v>278</v>
      </c>
      <c r="BE132" s="119" t="str">
        <f t="shared" si="28"/>
        <v>READY</v>
      </c>
    </row>
    <row r="133" spans="1:58" ht="28.8">
      <c r="A133" s="2" t="str">
        <f>IFERROR(VLOOKUP(E133,'Customer '!$A$4:$D$23,3,FALSE),"")</f>
        <v>RH</v>
      </c>
      <c r="B133" s="2" t="s">
        <v>267</v>
      </c>
      <c r="C133" s="2" t="s">
        <v>352</v>
      </c>
      <c r="D133" s="2" t="s">
        <v>414</v>
      </c>
      <c r="E133" s="2" t="s">
        <v>61</v>
      </c>
      <c r="F133" s="2" t="str">
        <f>IFERROR(VLOOKUP(E133,'Customer '!$A$4:$D$28,2,FALSE),"")</f>
        <v>RH</v>
      </c>
      <c r="G133" s="2" t="s">
        <v>415</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3" s="2">
        <f ca="1">IF(OR($H133="",$B133=""),0,--(COUNTIFS($H$3:$H133,$H133,$B$3:$B133,$B133)=1))</f>
        <v>1</v>
      </c>
      <c r="J133" s="2" t="s">
        <v>310</v>
      </c>
      <c r="K133" s="2" t="s">
        <v>272</v>
      </c>
      <c r="L133" s="119" t="s">
        <v>380</v>
      </c>
      <c r="M133" s="276">
        <v>46283</v>
      </c>
      <c r="N133" s="276">
        <v>46297</v>
      </c>
      <c r="O133" s="277"/>
      <c r="P133" s="2" t="s">
        <v>51</v>
      </c>
      <c r="Q133" s="2" t="s">
        <v>1645</v>
      </c>
      <c r="R133" s="2">
        <v>7</v>
      </c>
      <c r="S133" s="2">
        <v>19</v>
      </c>
      <c r="T133" s="2">
        <v>8</v>
      </c>
      <c r="V133" s="274">
        <v>8</v>
      </c>
      <c r="W133" s="274">
        <v>48</v>
      </c>
      <c r="X133" s="278">
        <v>37552</v>
      </c>
      <c r="Y133" s="278">
        <v>37552</v>
      </c>
      <c r="Z133" s="2" t="s">
        <v>337</v>
      </c>
      <c r="AA133" s="2" t="str">
        <f t="shared" si="22"/>
        <v>2027</v>
      </c>
      <c r="AB133" s="276">
        <v>46087</v>
      </c>
      <c r="AC133" s="276">
        <v>46087</v>
      </c>
      <c r="AD133" s="275">
        <v>46472</v>
      </c>
      <c r="AE133" s="275">
        <v>46479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2027/W13</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2027/W14</v>
      </c>
      <c r="AH133" s="2" t="s">
        <v>322</v>
      </c>
      <c r="AI133" s="276">
        <v>46325</v>
      </c>
      <c r="AJ133" s="316" t="s">
        <v>1646</v>
      </c>
      <c r="AK133" s="2" t="s">
        <v>322</v>
      </c>
      <c r="AL133" s="276">
        <v>46325</v>
      </c>
      <c r="AM133" s="276" t="s">
        <v>1647</v>
      </c>
      <c r="AN133" s="2" t="s">
        <v>56</v>
      </c>
      <c r="AO133" s="276">
        <v>46325</v>
      </c>
      <c r="AP133" s="276">
        <v>46288</v>
      </c>
      <c r="AQ133" s="2" t="s">
        <v>56</v>
      </c>
      <c r="AR133" s="276">
        <v>46325</v>
      </c>
      <c r="AS133" s="276">
        <v>46288</v>
      </c>
      <c r="AT133" s="2" t="s">
        <v>73</v>
      </c>
      <c r="AU133" s="276"/>
      <c r="AV133" s="276"/>
      <c r="AW133" s="2" t="s">
        <v>73</v>
      </c>
      <c r="AX133" s="276"/>
      <c r="AY133" s="276"/>
      <c r="AZ133" s="2" t="s">
        <v>73</v>
      </c>
      <c r="BA133" s="276"/>
      <c r="BB133" s="276"/>
      <c r="BC133" s="2" t="str">
        <f t="shared" si="27"/>
        <v>Active</v>
      </c>
      <c r="BD133" s="2" t="s">
        <v>278</v>
      </c>
      <c r="BE133" s="119" t="str">
        <f t="shared" si="28"/>
        <v>NPI: Pending approval: Drawing, Veneer/Wood; need approval by 30-Oct-26 for SW14</v>
      </c>
    </row>
    <row r="134" spans="1:58">
      <c r="A134" s="2" t="str">
        <f>IFERROR(VLOOKUP(E134,'Customer '!$A$4:$D$23,3,FALSE),"")</f>
        <v>NON RH</v>
      </c>
      <c r="B134" s="2" t="s">
        <v>267</v>
      </c>
      <c r="C134" s="2" t="s">
        <v>298</v>
      </c>
      <c r="E134" s="2" t="s">
        <v>369</v>
      </c>
      <c r="F134" s="2" t="str">
        <f>IFERROR(VLOOKUP(E134,'Customer '!$A$4:$D$28,2,FALSE),"")</f>
        <v>BROOKFIELD</v>
      </c>
      <c r="G134" s="2" t="s">
        <v>404</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1</v>
      </c>
      <c r="J134" s="2" t="s">
        <v>135</v>
      </c>
      <c r="K134" s="2" t="s">
        <v>272</v>
      </c>
      <c r="L134" s="119" t="s">
        <v>285</v>
      </c>
      <c r="M134" s="276"/>
      <c r="N134" s="276"/>
      <c r="O134" s="277"/>
      <c r="P134" s="2" t="s">
        <v>51</v>
      </c>
      <c r="Q134" s="2" t="s">
        <v>405</v>
      </c>
      <c r="R134" s="2">
        <v>0</v>
      </c>
      <c r="S134" s="2">
        <v>0</v>
      </c>
      <c r="V134" s="274">
        <v>11</v>
      </c>
      <c r="X134" s="278">
        <v>1985002.77</v>
      </c>
      <c r="Y134" s="278">
        <v>400000</v>
      </c>
      <c r="Z134" s="2" t="s">
        <v>319</v>
      </c>
      <c r="AA134" s="2" t="str">
        <f t="shared" si="22"/>
        <v>2027</v>
      </c>
      <c r="AB134" s="276"/>
      <c r="AC134" s="276"/>
      <c r="AD134" s="275" t="s">
        <v>149</v>
      </c>
      <c r="AE134" s="276"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344</v>
      </c>
      <c r="AI134" s="276"/>
      <c r="AJ134" s="276"/>
      <c r="AK134" s="2" t="s">
        <v>344</v>
      </c>
      <c r="AL134" s="276"/>
      <c r="AM134" s="276"/>
      <c r="AN134" s="2" t="s">
        <v>344</v>
      </c>
      <c r="AO134" s="276"/>
      <c r="AP134" s="276"/>
      <c r="AQ134" s="2" t="s">
        <v>344</v>
      </c>
      <c r="AR134" s="276"/>
      <c r="AS134" s="276"/>
      <c r="AT134" s="2" t="s">
        <v>73</v>
      </c>
      <c r="AU134" s="276"/>
      <c r="AV134" s="276"/>
      <c r="AW134" s="2" t="s">
        <v>344</v>
      </c>
      <c r="AX134" s="276"/>
      <c r="AY134" s="276"/>
      <c r="AZ134" s="2" t="s">
        <v>344</v>
      </c>
      <c r="BA134" s="276"/>
      <c r="BB134" s="276"/>
      <c r="BC134" s="2" t="str">
        <f t="shared" si="27"/>
        <v>Complete</v>
      </c>
      <c r="BE134" s="119" t="str">
        <f t="shared" si="28"/>
        <v>NPI: All development items approved/closed for SW TBC</v>
      </c>
    </row>
    <row r="135" spans="1:58">
      <c r="A135" s="2" t="str">
        <f>IFERROR(VLOOKUP(E135,'Customer '!$A$4:$D$23,3,FALSE),"")</f>
        <v>NON RH</v>
      </c>
      <c r="B135" s="2" t="s">
        <v>267</v>
      </c>
      <c r="C135" s="2" t="s">
        <v>298</v>
      </c>
      <c r="E135" s="2" t="s">
        <v>369</v>
      </c>
      <c r="F135" s="2" t="str">
        <f>IFERROR(VLOOKUP(E135,'Customer '!$A$4:$D$28,2,FALSE),"")</f>
        <v>BROOKFIELD</v>
      </c>
      <c r="G135" s="2" t="s">
        <v>404</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272</v>
      </c>
      <c r="L135" s="119" t="s">
        <v>285</v>
      </c>
      <c r="M135" s="276"/>
      <c r="N135" s="276"/>
      <c r="O135" s="277"/>
      <c r="P135" s="2" t="s">
        <v>51</v>
      </c>
      <c r="Q135" s="2" t="s">
        <v>405</v>
      </c>
      <c r="R135" s="2">
        <v>0</v>
      </c>
      <c r="S135" s="2">
        <v>0</v>
      </c>
      <c r="V135" s="274">
        <v>11</v>
      </c>
      <c r="X135" s="278">
        <v>1985002.77</v>
      </c>
      <c r="Y135" s="278">
        <v>792500</v>
      </c>
      <c r="Z135" s="2" t="s">
        <v>347</v>
      </c>
      <c r="AA135" s="2" t="str">
        <f t="shared" ref="AA135" si="30">IF(Z135="","",IF(OR(Z135="TBC",Z135="Removed"),Z135,LEFT(Z135,4)))</f>
        <v>2027</v>
      </c>
      <c r="AB135" s="276"/>
      <c r="AC135" s="276"/>
      <c r="AD135" s="275" t="s">
        <v>149</v>
      </c>
      <c r="AE135" s="276"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344</v>
      </c>
      <c r="AI135" s="276"/>
      <c r="AJ135" s="276"/>
      <c r="AK135" s="2" t="s">
        <v>344</v>
      </c>
      <c r="AL135" s="276"/>
      <c r="AM135" s="276"/>
      <c r="AN135" s="2" t="s">
        <v>344</v>
      </c>
      <c r="AO135" s="276"/>
      <c r="AP135" s="276"/>
      <c r="AQ135" s="2" t="s">
        <v>344</v>
      </c>
      <c r="AR135" s="276"/>
      <c r="AS135" s="276"/>
      <c r="AT135" s="2" t="s">
        <v>73</v>
      </c>
      <c r="AU135" s="276"/>
      <c r="AV135" s="276"/>
      <c r="AW135" s="2" t="s">
        <v>344</v>
      </c>
      <c r="AX135" s="276"/>
      <c r="AY135" s="276"/>
      <c r="AZ135" s="2" t="s">
        <v>344</v>
      </c>
      <c r="BA135" s="276"/>
      <c r="BB135" s="276"/>
      <c r="BC135" s="2" t="str">
        <f t="shared" si="27"/>
        <v>Complete</v>
      </c>
      <c r="BE135" s="119" t="str">
        <f t="shared" si="28"/>
        <v>NPI: All development items approved/closed for SW TBC</v>
      </c>
    </row>
    <row r="136" spans="1:58">
      <c r="A136" s="2" t="str">
        <f>IFERROR(VLOOKUP(E136,'Customer '!$A$4:$D$23,3,FALSE),"")</f>
        <v>NON RH</v>
      </c>
      <c r="B136" s="2" t="s">
        <v>267</v>
      </c>
      <c r="C136" s="2" t="s">
        <v>298</v>
      </c>
      <c r="E136" s="2" t="s">
        <v>369</v>
      </c>
      <c r="F136" s="2" t="str">
        <f>IFERROR(VLOOKUP(E136,'Customer '!$A$4:$D$28,2,FALSE),"")</f>
        <v>BROOKFIELD</v>
      </c>
      <c r="G136" s="2" t="s">
        <v>404</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6" s="2">
        <f ca="1">IF(OR($H136="",$B136=""),0,--(COUNTIFS($H$3:$H136,$H136,$B$3:$B136,$B136)=1))</f>
        <v>0</v>
      </c>
      <c r="J136" s="2" t="s">
        <v>135</v>
      </c>
      <c r="K136" s="2" t="s">
        <v>272</v>
      </c>
      <c r="L136" s="119" t="s">
        <v>285</v>
      </c>
      <c r="M136" s="276"/>
      <c r="N136" s="276"/>
      <c r="O136" s="277"/>
      <c r="P136" s="2" t="s">
        <v>51</v>
      </c>
      <c r="Q136" s="2" t="s">
        <v>405</v>
      </c>
      <c r="R136" s="2">
        <v>0</v>
      </c>
      <c r="S136" s="2">
        <v>0</v>
      </c>
      <c r="V136" s="274">
        <v>11</v>
      </c>
      <c r="X136" s="278">
        <v>1985002.77</v>
      </c>
      <c r="Y136" s="278">
        <v>792500</v>
      </c>
      <c r="Z136" s="2" t="s">
        <v>337</v>
      </c>
      <c r="AA136" s="2" t="str">
        <f t="shared" si="22"/>
        <v>2027</v>
      </c>
      <c r="AB136" s="276"/>
      <c r="AC136" s="276"/>
      <c r="AD136" s="275" t="s">
        <v>149</v>
      </c>
      <c r="AE136" s="276" t="s">
        <v>149</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TBC</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TBC</v>
      </c>
      <c r="AH136" s="2" t="s">
        <v>344</v>
      </c>
      <c r="AI136" s="276"/>
      <c r="AJ136" s="276"/>
      <c r="AK136" s="2" t="s">
        <v>344</v>
      </c>
      <c r="AL136" s="276"/>
      <c r="AM136" s="276"/>
      <c r="AN136" s="2" t="s">
        <v>344</v>
      </c>
      <c r="AO136" s="276"/>
      <c r="AP136" s="276"/>
      <c r="AQ136" s="2" t="s">
        <v>344</v>
      </c>
      <c r="AR136" s="276"/>
      <c r="AS136" s="276"/>
      <c r="AT136" s="2" t="s">
        <v>73</v>
      </c>
      <c r="AU136" s="276"/>
      <c r="AV136" s="276"/>
      <c r="AW136" s="2" t="s">
        <v>344</v>
      </c>
      <c r="AX136" s="276"/>
      <c r="AY136" s="276"/>
      <c r="AZ136" s="2" t="s">
        <v>344</v>
      </c>
      <c r="BA136" s="276"/>
      <c r="BB136" s="276"/>
      <c r="BC136" s="2" t="str">
        <f t="shared" si="27"/>
        <v>Complete</v>
      </c>
      <c r="BE136" s="119" t="str">
        <f t="shared" si="28"/>
        <v>NPI: All development items approved/closed for SW TBC</v>
      </c>
    </row>
    <row r="137" spans="1:58">
      <c r="A137" s="2" t="str">
        <f>IFERROR(VLOOKUP(E137,'Customer '!$A$4:$D$23,3,FALSE),"")</f>
        <v>NON RH</v>
      </c>
      <c r="B137" s="2" t="s">
        <v>267</v>
      </c>
      <c r="C137" s="2" t="s">
        <v>282</v>
      </c>
      <c r="E137" s="2" t="s">
        <v>376</v>
      </c>
      <c r="F137" s="2" t="str">
        <f>IFERROR(VLOOKUP(E137,'Customer '!$A$4:$D$28,2,FALSE),"")</f>
        <v>AYALA</v>
      </c>
      <c r="G137" s="2" t="s">
        <v>377</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7" s="2">
        <f ca="1">IF(OR($H137="",$B137=""),0,--(COUNTIFS($H$3:$H137,$H137,$B$3:$B137,$B137)=1))</f>
        <v>1</v>
      </c>
      <c r="J137" s="2" t="s">
        <v>284</v>
      </c>
      <c r="K137" s="2" t="s">
        <v>272</v>
      </c>
      <c r="L137" s="119" t="s">
        <v>285</v>
      </c>
      <c r="M137" s="276"/>
      <c r="N137" s="276"/>
      <c r="O137" s="277"/>
      <c r="P137" s="2" t="s">
        <v>132</v>
      </c>
      <c r="Q137" s="2" t="s">
        <v>355</v>
      </c>
      <c r="R137" s="2">
        <v>0</v>
      </c>
      <c r="S137" s="2">
        <v>0</v>
      </c>
      <c r="V137" s="274">
        <v>9</v>
      </c>
      <c r="X137" s="278">
        <v>897832</v>
      </c>
      <c r="Y137" s="278">
        <v>897832</v>
      </c>
      <c r="Z137" s="2" t="s">
        <v>337</v>
      </c>
      <c r="AA137" s="2" t="str">
        <f t="shared" si="22"/>
        <v>2027</v>
      </c>
      <c r="AB137" s="276"/>
      <c r="AC137" s="276"/>
      <c r="AD137" s="275">
        <v>46447</v>
      </c>
      <c r="AE137" s="276">
        <v>46468</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2027/W10</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2027/W13</v>
      </c>
      <c r="AH137" s="2" t="s">
        <v>344</v>
      </c>
      <c r="AI137" s="276"/>
      <c r="AJ137" s="276"/>
      <c r="AK137" s="2" t="s">
        <v>344</v>
      </c>
      <c r="AL137" s="276"/>
      <c r="AM137" s="276"/>
      <c r="AN137" s="2" t="s">
        <v>344</v>
      </c>
      <c r="AO137" s="276"/>
      <c r="AP137" s="276"/>
      <c r="AQ137" s="2" t="s">
        <v>344</v>
      </c>
      <c r="AR137" s="276"/>
      <c r="AS137" s="276"/>
      <c r="AT137" s="2" t="s">
        <v>344</v>
      </c>
      <c r="AU137" s="276"/>
      <c r="AV137" s="276"/>
      <c r="AW137" s="2" t="s">
        <v>344</v>
      </c>
      <c r="AX137" s="276"/>
      <c r="AY137" s="276"/>
      <c r="AZ137" s="2" t="s">
        <v>344</v>
      </c>
      <c r="BA137" s="276"/>
      <c r="BB137" s="276"/>
      <c r="BC137" s="2" t="str">
        <f t="shared" si="27"/>
        <v>Active</v>
      </c>
      <c r="BE137" s="119" t="str">
        <f t="shared" si="28"/>
        <v>NPI: All development items approved/closed for SW13</v>
      </c>
    </row>
    <row r="138" spans="1:58">
      <c r="A138" s="2" t="str">
        <f>IFERROR(VLOOKUP(E138,'Customer '!$A$4:$D$23,3,FALSE),"")</f>
        <v>NON RH</v>
      </c>
      <c r="B138" s="2" t="s">
        <v>267</v>
      </c>
      <c r="C138" s="2" t="s">
        <v>268</v>
      </c>
      <c r="E138" s="2" t="s">
        <v>196</v>
      </c>
      <c r="F138" s="2" t="str">
        <f>IFERROR(VLOOKUP(E138,'Customer '!$A$4:$D$28,2,FALSE),"")</f>
        <v>TRIMA</v>
      </c>
      <c r="G138" s="2" t="s">
        <v>416</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1</v>
      </c>
      <c r="J138" s="2" t="s">
        <v>271</v>
      </c>
      <c r="K138" s="2" t="s">
        <v>272</v>
      </c>
      <c r="L138" s="119" t="s">
        <v>273</v>
      </c>
      <c r="M138" s="276">
        <v>46152</v>
      </c>
      <c r="N138" s="276"/>
      <c r="O138" s="277"/>
      <c r="P138" s="2" t="s">
        <v>198</v>
      </c>
      <c r="Q138" s="2" t="s">
        <v>366</v>
      </c>
      <c r="R138" s="2">
        <v>23</v>
      </c>
      <c r="S138" s="2">
        <v>27</v>
      </c>
      <c r="V138" s="274">
        <v>32</v>
      </c>
      <c r="X138" s="278">
        <v>169383.67</v>
      </c>
      <c r="Y138" s="278">
        <v>46234.26</v>
      </c>
      <c r="Z138" s="2" t="s">
        <v>281</v>
      </c>
      <c r="AA138" s="2" t="str">
        <f t="shared" si="22"/>
        <v>2026</v>
      </c>
      <c r="AB138" s="276"/>
      <c r="AC138" s="276"/>
      <c r="AD138" s="275">
        <v>46260</v>
      </c>
      <c r="AE138" s="276">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6"/>
      <c r="AJ138" s="276"/>
      <c r="AK138" s="2" t="s">
        <v>56</v>
      </c>
      <c r="AL138" s="276"/>
      <c r="AM138" s="276"/>
      <c r="AN138" s="2" t="s">
        <v>56</v>
      </c>
      <c r="AO138" s="276"/>
      <c r="AP138" s="276"/>
      <c r="AQ138" s="2" t="s">
        <v>56</v>
      </c>
      <c r="AR138" s="276"/>
      <c r="AS138" s="276"/>
      <c r="AT138" s="2" t="s">
        <v>56</v>
      </c>
      <c r="AU138" s="276"/>
      <c r="AV138" s="276"/>
      <c r="AW138" s="2" t="s">
        <v>56</v>
      </c>
      <c r="AX138" s="276"/>
      <c r="AY138" s="276"/>
      <c r="AZ138" s="2" t="s">
        <v>277</v>
      </c>
      <c r="BA138" s="276"/>
      <c r="BB138" s="276"/>
      <c r="BC138" s="2" t="str">
        <f t="shared" si="27"/>
        <v>Complete</v>
      </c>
      <c r="BE138" s="119" t="str">
        <f t="shared" si="28"/>
        <v>READY</v>
      </c>
    </row>
    <row r="139" spans="1:58">
      <c r="A139" s="2" t="str">
        <f>IFERROR(VLOOKUP(E139,'Customer '!$A$4:$D$23,3,FALSE),"")</f>
        <v>NON RH</v>
      </c>
      <c r="B139" s="2" t="s">
        <v>267</v>
      </c>
      <c r="C139" s="2" t="s">
        <v>268</v>
      </c>
      <c r="E139" s="2" t="s">
        <v>196</v>
      </c>
      <c r="F139" s="2" t="str">
        <f>IFERROR(VLOOKUP(E139,'Customer '!$A$4:$D$28,2,FALSE),"")</f>
        <v>TRIMA</v>
      </c>
      <c r="G139" s="2" t="s">
        <v>416</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9" s="2">
        <f ca="1">IF(OR($H139="",$B139=""),0,--(COUNTIFS($H$3:$H139,$H139,$B$3:$B139,$B139)=1))</f>
        <v>0</v>
      </c>
      <c r="J139" s="2" t="s">
        <v>271</v>
      </c>
      <c r="K139" s="2" t="s">
        <v>272</v>
      </c>
      <c r="L139" s="119" t="s">
        <v>311</v>
      </c>
      <c r="M139" s="276">
        <v>46152</v>
      </c>
      <c r="N139" s="276"/>
      <c r="O139" s="277"/>
      <c r="P139" s="2" t="s">
        <v>198</v>
      </c>
      <c r="Q139" s="2" t="s">
        <v>366</v>
      </c>
      <c r="R139" s="2">
        <v>23</v>
      </c>
      <c r="S139" s="2">
        <v>27</v>
      </c>
      <c r="V139" s="274">
        <v>32</v>
      </c>
      <c r="X139" s="278">
        <v>169383.67</v>
      </c>
      <c r="Y139" s="278">
        <v>122196</v>
      </c>
      <c r="Z139" s="2" t="s">
        <v>297</v>
      </c>
      <c r="AA139" s="2" t="str">
        <f t="shared" ref="AA139" si="31">IF(Z139="","",IF(OR(Z139="TBC",Z139="Removed"),Z139,LEFT(Z139,4)))</f>
        <v>2026</v>
      </c>
      <c r="AB139" s="276"/>
      <c r="AC139" s="276"/>
      <c r="AD139" s="275">
        <v>46260</v>
      </c>
      <c r="AE139" s="276">
        <v>46297</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2026/W35</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2026/W40</v>
      </c>
      <c r="AH139" s="2" t="s">
        <v>56</v>
      </c>
      <c r="AI139" s="276"/>
      <c r="AJ139" s="276"/>
      <c r="AK139" s="2" t="s">
        <v>56</v>
      </c>
      <c r="AL139" s="276"/>
      <c r="AM139" s="276"/>
      <c r="AN139" s="2" t="s">
        <v>56</v>
      </c>
      <c r="AO139" s="276"/>
      <c r="AP139" s="276"/>
      <c r="AQ139" s="2" t="s">
        <v>56</v>
      </c>
      <c r="AR139" s="276"/>
      <c r="AS139" s="276"/>
      <c r="AT139" s="2" t="s">
        <v>56</v>
      </c>
      <c r="AU139" s="276"/>
      <c r="AV139" s="276"/>
      <c r="AW139" s="2" t="s">
        <v>56</v>
      </c>
      <c r="AX139" s="276"/>
      <c r="AY139" s="276"/>
      <c r="AZ139" s="2" t="s">
        <v>277</v>
      </c>
      <c r="BA139" s="276"/>
      <c r="BB139" s="276"/>
      <c r="BC139" s="2" t="str">
        <f t="shared" si="27"/>
        <v>Complete</v>
      </c>
      <c r="BE139" s="119" t="str">
        <f t="shared" si="28"/>
        <v>READY</v>
      </c>
    </row>
    <row r="140" spans="1:58" ht="28.8">
      <c r="A140" s="2" t="str">
        <f>IFERROR(VLOOKUP(E140,'Customer '!$A$4:$D$23,3,FALSE),"")</f>
        <v>RH</v>
      </c>
      <c r="B140" s="2" t="s">
        <v>327</v>
      </c>
      <c r="C140" s="2" t="s">
        <v>282</v>
      </c>
      <c r="E140" s="2" t="s">
        <v>61</v>
      </c>
      <c r="F140" s="2" t="str">
        <f>IFERROR(VLOOKUP(E140,'Customer '!$A$4:$D$28,2,FALSE),"")</f>
        <v>RH</v>
      </c>
      <c r="G140" s="2" t="s">
        <v>417</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133</v>
      </c>
      <c r="K140" s="2" t="s">
        <v>272</v>
      </c>
      <c r="L140" s="119" t="s">
        <v>285</v>
      </c>
      <c r="M140" s="276">
        <v>46163</v>
      </c>
      <c r="N140" s="276"/>
      <c r="O140" s="277"/>
      <c r="P140" s="2" t="s">
        <v>51</v>
      </c>
      <c r="Q140" s="2" t="s">
        <v>329</v>
      </c>
      <c r="V140" s="274">
        <v>5</v>
      </c>
      <c r="X140" s="278">
        <v>12433.68</v>
      </c>
      <c r="Y140" s="278">
        <v>12433.68</v>
      </c>
      <c r="Z140" s="2" t="s">
        <v>281</v>
      </c>
      <c r="AA140" s="2" t="str">
        <f t="shared" si="22"/>
        <v>2026</v>
      </c>
      <c r="AB140" s="276">
        <v>46248</v>
      </c>
      <c r="AC140" s="276">
        <v>46248</v>
      </c>
      <c r="AD140" s="275">
        <v>46248</v>
      </c>
      <c r="AE140" s="276">
        <v>46248</v>
      </c>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2026/W33</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2026/W33</v>
      </c>
      <c r="AH140" s="2" t="s">
        <v>287</v>
      </c>
      <c r="AI140" s="276"/>
      <c r="AJ140" s="276"/>
      <c r="AK140" s="2" t="s">
        <v>287</v>
      </c>
      <c r="AL140" s="276"/>
      <c r="AM140" s="276"/>
      <c r="AN140" s="2" t="s">
        <v>287</v>
      </c>
      <c r="AO140" s="276"/>
      <c r="AP140" s="276"/>
      <c r="AQ140" s="2" t="s">
        <v>287</v>
      </c>
      <c r="AR140" s="276"/>
      <c r="AS140" s="276"/>
      <c r="AT140" s="2" t="s">
        <v>73</v>
      </c>
      <c r="AU140" s="276"/>
      <c r="AV140" s="276"/>
      <c r="AW140" s="2" t="s">
        <v>287</v>
      </c>
      <c r="AX140" s="276"/>
      <c r="AY140" s="276"/>
      <c r="AZ140" s="2" t="s">
        <v>287</v>
      </c>
      <c r="BA140" s="276"/>
      <c r="BB140" s="276"/>
      <c r="BC140" s="2" t="str">
        <f t="shared" si="27"/>
        <v>Complete</v>
      </c>
      <c r="BD140" s="2" t="s">
        <v>278</v>
      </c>
      <c r="BE140" s="119" t="str">
        <f t="shared" si="28"/>
        <v>NPD: Not started: Drawing, Veneer/Wood, Marble, Metal, Electrical, Fabric for SW33</v>
      </c>
    </row>
    <row r="141" spans="1:58" ht="28.8">
      <c r="A141" s="2" t="str">
        <f>IFERROR(VLOOKUP(E141,'Customer '!$A$4:$D$23,3,FALSE),"")</f>
        <v>RH</v>
      </c>
      <c r="B141" s="2" t="s">
        <v>267</v>
      </c>
      <c r="C141" s="2" t="s">
        <v>282</v>
      </c>
      <c r="E141" s="2" t="s">
        <v>61</v>
      </c>
      <c r="F141" s="2" t="str">
        <f>IFERROR(VLOOKUP(E141,'Customer '!$A$4:$D$28,2,FALSE),"")</f>
        <v>RH</v>
      </c>
      <c r="G141" s="2" t="s">
        <v>417</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1" s="2">
        <f ca="1">IF(OR($H141="",$B141=""),0,--(COUNTIFS($H$3:$H141,$H141,$B$3:$B141,$B141)=1))</f>
        <v>1</v>
      </c>
      <c r="J141" s="2" t="s">
        <v>133</v>
      </c>
      <c r="K141" s="2" t="s">
        <v>272</v>
      </c>
      <c r="L141" s="119" t="s">
        <v>285</v>
      </c>
      <c r="M141" s="276">
        <v>46163</v>
      </c>
      <c r="N141" s="276"/>
      <c r="O141" s="277"/>
      <c r="P141" s="2" t="s">
        <v>51</v>
      </c>
      <c r="Q141" s="2" t="s">
        <v>329</v>
      </c>
      <c r="V141" s="274">
        <v>5</v>
      </c>
      <c r="X141" s="278">
        <v>1100000</v>
      </c>
      <c r="Y141" s="278">
        <v>1100000</v>
      </c>
      <c r="Z141" s="2" t="s">
        <v>286</v>
      </c>
      <c r="AA141" s="2" t="str">
        <f t="shared" si="22"/>
        <v>2027</v>
      </c>
      <c r="AB141" s="276"/>
      <c r="AC141" s="276"/>
      <c r="AE141" s="276"/>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
      </c>
      <c r="AH141" s="2" t="s">
        <v>287</v>
      </c>
      <c r="AI141" s="276"/>
      <c r="AJ141" s="276"/>
      <c r="AK141" s="2" t="s">
        <v>287</v>
      </c>
      <c r="AL141" s="276"/>
      <c r="AM141" s="276"/>
      <c r="AN141" s="2" t="s">
        <v>287</v>
      </c>
      <c r="AO141" s="276"/>
      <c r="AP141" s="276"/>
      <c r="AQ141" s="2" t="s">
        <v>287</v>
      </c>
      <c r="AR141" s="276"/>
      <c r="AS141" s="276"/>
      <c r="AT141" s="2" t="s">
        <v>73</v>
      </c>
      <c r="AU141" s="276"/>
      <c r="AV141" s="276"/>
      <c r="AW141" s="2" t="s">
        <v>287</v>
      </c>
      <c r="AX141" s="276"/>
      <c r="AY141" s="276"/>
      <c r="AZ141" s="2" t="s">
        <v>287</v>
      </c>
      <c r="BA141" s="276"/>
      <c r="BB141" s="276"/>
      <c r="BC141" s="2" t="str">
        <f t="shared" si="27"/>
        <v>Complete</v>
      </c>
      <c r="BD141" s="2" t="s">
        <v>278</v>
      </c>
      <c r="BE141" s="119" t="str">
        <f t="shared" si="28"/>
        <v>NPI: Not started: Drawing, Veneer/Wood, Marble, Metal, Electrical, Fabric</v>
      </c>
    </row>
    <row r="142" spans="1:58">
      <c r="A142" s="2" t="str">
        <f>IFERROR(VLOOKUP(E142,'Customer '!$A$4:$D$23,3,FALSE),"")</f>
        <v>NON RH</v>
      </c>
      <c r="B142" s="2" t="s">
        <v>267</v>
      </c>
      <c r="C142" s="2" t="s">
        <v>298</v>
      </c>
      <c r="E142" s="2" t="s">
        <v>418</v>
      </c>
      <c r="F142" s="2" t="str">
        <f>IFERROR(VLOOKUP(E142,'Customer '!$A$4:$D$28,2,FALSE),"")</f>
        <v>HBA</v>
      </c>
      <c r="G142" s="2" t="s">
        <v>419</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2" s="2">
        <f ca="1">IF(OR($H142="",$B142=""),0,--(COUNTIFS($H$3:$H142,$H142,$B$3:$B142,$B142)=1))</f>
        <v>1</v>
      </c>
      <c r="J142" s="2" t="s">
        <v>310</v>
      </c>
      <c r="K142" s="2" t="s">
        <v>272</v>
      </c>
      <c r="L142" s="119" t="s">
        <v>354</v>
      </c>
      <c r="M142" s="276">
        <v>46161</v>
      </c>
      <c r="N142" s="276"/>
      <c r="O142" s="277"/>
      <c r="P142" s="2" t="s">
        <v>51</v>
      </c>
      <c r="Q142" s="2" t="s">
        <v>152</v>
      </c>
      <c r="R142" s="2">
        <v>0</v>
      </c>
      <c r="S142" s="2">
        <v>0</v>
      </c>
      <c r="V142" s="274">
        <v>5</v>
      </c>
      <c r="X142" s="278">
        <v>22890.480000000003</v>
      </c>
      <c r="Y142" s="278">
        <v>22890.480000000003</v>
      </c>
      <c r="Z142" s="2" t="s">
        <v>312</v>
      </c>
      <c r="AA142" s="2" t="str">
        <f t="shared" si="22"/>
        <v>2026</v>
      </c>
      <c r="AB142" s="276">
        <v>46235</v>
      </c>
      <c r="AC142" s="276">
        <v>46235</v>
      </c>
      <c r="AD142" s="275">
        <v>46332</v>
      </c>
      <c r="AE142" s="276">
        <v>46332</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2026/W45</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2026/W45</v>
      </c>
      <c r="AH142" s="2" t="s">
        <v>56</v>
      </c>
      <c r="AI142" s="276"/>
      <c r="AJ142" s="276"/>
      <c r="AK142" s="2" t="s">
        <v>56</v>
      </c>
      <c r="AL142" s="276"/>
      <c r="AM142" s="276"/>
      <c r="AN142" s="2" t="s">
        <v>56</v>
      </c>
      <c r="AO142" s="276"/>
      <c r="AP142" s="276"/>
      <c r="AQ142" s="2" t="s">
        <v>56</v>
      </c>
      <c r="AR142" s="276"/>
      <c r="AS142" s="276"/>
      <c r="AT142" s="2" t="s">
        <v>73</v>
      </c>
      <c r="AU142" s="276"/>
      <c r="AV142" s="276"/>
      <c r="AW142" s="2" t="s">
        <v>73</v>
      </c>
      <c r="AX142" s="276"/>
      <c r="AY142" s="276"/>
      <c r="AZ142" s="2" t="s">
        <v>304</v>
      </c>
      <c r="BA142" s="276"/>
      <c r="BB142" s="276"/>
      <c r="BC142" s="2" t="str">
        <f t="shared" si="27"/>
        <v>Active</v>
      </c>
      <c r="BE142" s="119" t="str">
        <f t="shared" si="28"/>
        <v>NPI: In progress: Fabric for SW45</v>
      </c>
    </row>
    <row r="143" spans="1:58">
      <c r="A143" s="2" t="str">
        <f>IFERROR(VLOOKUP(E143,'Customer '!$A$4:$D$23,3,FALSE),"")</f>
        <v>NON RH</v>
      </c>
      <c r="B143" s="2" t="s">
        <v>267</v>
      </c>
      <c r="C143" s="2" t="s">
        <v>341</v>
      </c>
      <c r="E143" s="2" t="s">
        <v>98</v>
      </c>
      <c r="F143" s="2" t="str">
        <f>IFERROR(VLOOKUP(E143,'Customer '!$A$4:$D$28,2,FALSE),"")</f>
        <v xml:space="preserve">FLEETWOOD </v>
      </c>
      <c r="G143" s="2" t="s">
        <v>420</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3" s="2">
        <f ca="1">IF(OR($H143="",$B143=""),0,--(COUNTIFS($H$3:$H143,$H143,$B$3:$B143,$B143)=1))</f>
        <v>1</v>
      </c>
      <c r="J143" s="2" t="s">
        <v>300</v>
      </c>
      <c r="K143" s="2" t="s">
        <v>272</v>
      </c>
      <c r="L143" s="119" t="s">
        <v>285</v>
      </c>
      <c r="M143" s="276">
        <v>46178</v>
      </c>
      <c r="N143" s="276"/>
      <c r="O143" s="277"/>
      <c r="P143" s="2" t="s">
        <v>152</v>
      </c>
      <c r="R143" s="2" t="s">
        <v>149</v>
      </c>
      <c r="S143" s="2" t="s">
        <v>149</v>
      </c>
      <c r="V143" s="274">
        <v>32</v>
      </c>
      <c r="X143" s="278">
        <v>79655.520000000033</v>
      </c>
      <c r="Y143" s="278">
        <v>79655.520000000033</v>
      </c>
      <c r="Z143" s="2" t="s">
        <v>149</v>
      </c>
      <c r="AA143" s="2" t="str">
        <f t="shared" si="22"/>
        <v>TBC</v>
      </c>
      <c r="AB143" s="276"/>
      <c r="AC143" s="276"/>
      <c r="AD143" s="275" t="s">
        <v>149</v>
      </c>
      <c r="AE143" s="276" t="s">
        <v>149</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TBC</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TBC</v>
      </c>
      <c r="AI143" s="276"/>
      <c r="AJ143" s="276"/>
      <c r="AL143" s="276"/>
      <c r="AM143" s="276"/>
      <c r="AO143" s="276"/>
      <c r="AP143" s="276"/>
      <c r="AR143" s="276"/>
      <c r="AS143" s="276"/>
      <c r="AU143" s="276"/>
      <c r="AV143" s="276"/>
      <c r="AX143" s="276"/>
      <c r="AY143" s="276"/>
      <c r="BA143" s="276"/>
      <c r="BB143" s="276"/>
      <c r="BC143" s="2" t="str">
        <f t="shared" si="27"/>
        <v>Complete</v>
      </c>
      <c r="BE143" s="119" t="str">
        <f t="shared" si="28"/>
        <v>NPI: All development items approved/closed for SW TBC</v>
      </c>
    </row>
    <row r="144" spans="1:58">
      <c r="A144" s="2" t="str">
        <f>IFERROR(VLOOKUP(E144,'Customer '!$A$4:$D$23,3,FALSE),"")</f>
        <v>NON RH</v>
      </c>
      <c r="B144" s="2" t="s">
        <v>267</v>
      </c>
      <c r="C144" s="2" t="s">
        <v>298</v>
      </c>
      <c r="E144" s="2" t="s">
        <v>82</v>
      </c>
      <c r="F144" s="2" t="str">
        <f>IFERROR(VLOOKUP(E144,'Customer '!$A$4:$D$28,2,FALSE),"")</f>
        <v>L&amp;S</v>
      </c>
      <c r="G144" s="2" t="s">
        <v>421</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4" s="2">
        <f ca="1">IF(OR($H144="",$B144=""),0,--(COUNTIFS($H$3:$H144,$H144,$B$3:$B144,$B144)=1))</f>
        <v>1</v>
      </c>
      <c r="J144" s="2" t="s">
        <v>310</v>
      </c>
      <c r="K144" s="2" t="s">
        <v>272</v>
      </c>
      <c r="L144" s="119" t="s">
        <v>311</v>
      </c>
      <c r="M144" s="276">
        <v>46178</v>
      </c>
      <c r="N144" s="276">
        <v>46189</v>
      </c>
      <c r="O144" s="277"/>
      <c r="P144" s="2" t="s">
        <v>51</v>
      </c>
      <c r="Q144" s="2" t="s">
        <v>422</v>
      </c>
      <c r="R144" s="2">
        <v>7</v>
      </c>
      <c r="S144" s="2">
        <v>13</v>
      </c>
      <c r="V144" s="274">
        <v>24</v>
      </c>
      <c r="X144" s="278">
        <v>48791.869999999995</v>
      </c>
      <c r="Y144" s="278">
        <v>48791.869999999995</v>
      </c>
      <c r="Z144" s="2" t="s">
        <v>312</v>
      </c>
      <c r="AA144" s="2" t="str">
        <f t="shared" ref="AA144" si="32">IF(Z144="","",IF(OR(Z144="TBC",Z144="Removed"),Z144,LEFT(Z144,4)))</f>
        <v>2026</v>
      </c>
      <c r="AB144" s="276">
        <v>46311</v>
      </c>
      <c r="AC144" s="276">
        <v>46311</v>
      </c>
      <c r="AD144" s="276">
        <v>46339</v>
      </c>
      <c r="AE144" s="276">
        <v>46360</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2026/W46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2026/W49</v>
      </c>
      <c r="AH144" s="2" t="s">
        <v>56</v>
      </c>
      <c r="AI144" s="276"/>
      <c r="AJ144" s="276"/>
      <c r="AK144" s="2" t="s">
        <v>56</v>
      </c>
      <c r="AL144" s="276"/>
      <c r="AM144" s="276"/>
      <c r="AN144" s="2" t="s">
        <v>56</v>
      </c>
      <c r="AO144" s="276"/>
      <c r="AP144" s="276"/>
      <c r="AQ144" s="2" t="s">
        <v>56</v>
      </c>
      <c r="AR144" s="276"/>
      <c r="AS144" s="276"/>
      <c r="AT144" s="2" t="s">
        <v>56</v>
      </c>
      <c r="AU144" s="276"/>
      <c r="AV144" s="276"/>
      <c r="AW144" s="2" t="s">
        <v>73</v>
      </c>
      <c r="AX144" s="276"/>
      <c r="AY144" s="276"/>
      <c r="AZ144" s="2" t="s">
        <v>342</v>
      </c>
      <c r="BA144" s="276"/>
      <c r="BB144" s="276"/>
      <c r="BC144" s="2" t="str">
        <f t="shared" si="27"/>
        <v>Active</v>
      </c>
      <c r="BE144" s="119" t="str">
        <f t="shared" si="28"/>
        <v>NPI: Fabric is com pending for SW49</v>
      </c>
    </row>
    <row r="145" spans="1:58">
      <c r="A145" s="2" t="str">
        <f>IFERROR(VLOOKUP(E145,'Customer '!$A$4:$D$23,3,FALSE),"")</f>
        <v>RH</v>
      </c>
      <c r="B145" s="2" t="s">
        <v>267</v>
      </c>
      <c r="C145" s="2" t="s">
        <v>308</v>
      </c>
      <c r="D145" s="2" t="s">
        <v>414</v>
      </c>
      <c r="E145" s="2" t="s">
        <v>61</v>
      </c>
      <c r="F145" s="2" t="str">
        <f>IFERROR(VLOOKUP(E145,'Customer '!$A$4:$D$28,2,FALSE),"")</f>
        <v>RH</v>
      </c>
      <c r="G145" s="2" t="s">
        <v>423</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5" s="2">
        <f ca="1">IF(OR($H145="",$B145=""),0,--(COUNTIFS($H$3:$H145,$H145,$B$3:$B145,$B145)=1))</f>
        <v>1</v>
      </c>
      <c r="J145" s="2" t="s">
        <v>271</v>
      </c>
      <c r="K145" s="2" t="s">
        <v>291</v>
      </c>
      <c r="L145" s="119" t="s">
        <v>273</v>
      </c>
      <c r="M145" s="276">
        <v>46176</v>
      </c>
      <c r="N145" s="276">
        <v>46176</v>
      </c>
      <c r="O145" s="277"/>
      <c r="P145" s="2" t="s">
        <v>51</v>
      </c>
      <c r="R145" s="2">
        <v>0</v>
      </c>
      <c r="S145" s="2">
        <v>0</v>
      </c>
      <c r="V145" s="274">
        <v>1</v>
      </c>
      <c r="W145" s="274">
        <v>1</v>
      </c>
      <c r="X145" s="278">
        <v>1142.75</v>
      </c>
      <c r="Y145" s="278">
        <v>1142.75</v>
      </c>
      <c r="Z145" s="2" t="s">
        <v>281</v>
      </c>
      <c r="AA145" s="2" t="str">
        <f t="shared" si="22"/>
        <v>2026</v>
      </c>
      <c r="AB145" s="276">
        <v>46269</v>
      </c>
      <c r="AC145" s="276">
        <v>46269</v>
      </c>
      <c r="AD145" s="275">
        <v>46269</v>
      </c>
      <c r="AE145" s="276">
        <v>46269</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2026/W36</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2026/W36</v>
      </c>
      <c r="AH145" s="2" t="s">
        <v>56</v>
      </c>
      <c r="AI145" s="276"/>
      <c r="AJ145" s="276">
        <v>46176</v>
      </c>
      <c r="AK145" s="2" t="s">
        <v>56</v>
      </c>
      <c r="AL145" s="276"/>
      <c r="AM145" s="276">
        <v>46176</v>
      </c>
      <c r="AN145" s="2" t="s">
        <v>73</v>
      </c>
      <c r="AO145" s="276"/>
      <c r="AP145" s="276"/>
      <c r="AQ145" s="2" t="s">
        <v>73</v>
      </c>
      <c r="AR145" s="276"/>
      <c r="AS145" s="276"/>
      <c r="AT145" s="2" t="s">
        <v>73</v>
      </c>
      <c r="AU145" s="276"/>
      <c r="AV145" s="276"/>
      <c r="AW145" s="2" t="s">
        <v>73</v>
      </c>
      <c r="AX145" s="276"/>
      <c r="AY145" s="276"/>
      <c r="AZ145" s="2" t="s">
        <v>277</v>
      </c>
      <c r="BA145" s="276"/>
      <c r="BB145" s="276">
        <v>46176</v>
      </c>
      <c r="BC145" s="2" t="str">
        <f t="shared" si="27"/>
        <v>Complete</v>
      </c>
      <c r="BD145" s="2" t="s">
        <v>278</v>
      </c>
      <c r="BE145" s="119" t="str">
        <f t="shared" si="28"/>
        <v>READY</v>
      </c>
    </row>
    <row r="146" spans="1:58">
      <c r="A146" s="2" t="str">
        <f>IFERROR(VLOOKUP(E146,'Customer '!$A$4:$D$23,3,FALSE),"")</f>
        <v>NON RH</v>
      </c>
      <c r="B146" s="2" t="s">
        <v>267</v>
      </c>
      <c r="C146" s="2" t="s">
        <v>308</v>
      </c>
      <c r="E146" s="2" t="s">
        <v>418</v>
      </c>
      <c r="F146" s="2" t="str">
        <f>IFERROR(VLOOKUP(E146,'Customer '!$A$4:$D$28,2,FALSE),"")</f>
        <v>HBA</v>
      </c>
      <c r="G146" s="2" t="s">
        <v>424</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6" s="2">
        <f ca="1">IF(OR($H146="",$B146=""),0,--(COUNTIFS($H$3:$H146,$H146,$B$3:$B146,$B146)=1))</f>
        <v>1</v>
      </c>
      <c r="J146" s="2" t="s">
        <v>372</v>
      </c>
      <c r="K146" s="2" t="s">
        <v>272</v>
      </c>
      <c r="L146" s="119" t="s">
        <v>285</v>
      </c>
      <c r="M146" s="276">
        <v>46185</v>
      </c>
      <c r="N146" s="276"/>
      <c r="O146" s="277"/>
      <c r="P146" s="2" t="s">
        <v>425</v>
      </c>
      <c r="Q146" s="2" t="s">
        <v>426</v>
      </c>
      <c r="V146" s="274">
        <v>3</v>
      </c>
      <c r="X146" s="278">
        <v>25129.08</v>
      </c>
      <c r="Y146" s="278">
        <v>25129.08</v>
      </c>
      <c r="Z146" s="2" t="s">
        <v>303</v>
      </c>
      <c r="AA146" s="2" t="str">
        <f t="shared" si="22"/>
        <v>2026</v>
      </c>
      <c r="AB146" s="276"/>
      <c r="AC146" s="276"/>
      <c r="AD146" s="275">
        <v>46311</v>
      </c>
      <c r="AE146" s="276">
        <v>46311</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2026/W42</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2026/W42</v>
      </c>
      <c r="AH146" s="2" t="s">
        <v>322</v>
      </c>
      <c r="AI146" s="276"/>
      <c r="AJ146" s="276"/>
      <c r="AK146" s="2" t="s">
        <v>322</v>
      </c>
      <c r="AL146" s="276"/>
      <c r="AM146" s="276"/>
      <c r="AN146" s="2" t="s">
        <v>73</v>
      </c>
      <c r="AO146" s="276"/>
      <c r="AP146" s="276"/>
      <c r="AQ146" s="2" t="s">
        <v>73</v>
      </c>
      <c r="AR146" s="276"/>
      <c r="AS146" s="276"/>
      <c r="AT146" s="2" t="s">
        <v>73</v>
      </c>
      <c r="AU146" s="276"/>
      <c r="AV146" s="276"/>
      <c r="AW146" s="2" t="s">
        <v>73</v>
      </c>
      <c r="AX146" s="276"/>
      <c r="AY146" s="276"/>
      <c r="AZ146" s="2" t="s">
        <v>73</v>
      </c>
      <c r="BA146" s="276"/>
      <c r="BB146" s="276"/>
      <c r="BC146" s="2" t="str">
        <f t="shared" si="27"/>
        <v>Complete</v>
      </c>
      <c r="BE146" s="119" t="str">
        <f t="shared" si="28"/>
        <v>NPI: Pending approval: Drawing, Veneer/Wood for SW42</v>
      </c>
    </row>
    <row r="147" spans="1:58">
      <c r="A147" s="2" t="str">
        <f>IFERROR(VLOOKUP(E147,'Customer '!$A$4:$D$23,3,FALSE),"")</f>
        <v>RH</v>
      </c>
      <c r="B147" s="2" t="s">
        <v>267</v>
      </c>
      <c r="C147" s="2" t="s">
        <v>427</v>
      </c>
      <c r="D147" s="2" t="s">
        <v>428</v>
      </c>
      <c r="E147" s="2" t="s">
        <v>61</v>
      </c>
      <c r="F147" s="2" t="str">
        <f>IFERROR(VLOOKUP(E147,'Customer '!$A$4:$D$28,2,FALSE),"")</f>
        <v>RH</v>
      </c>
      <c r="G147" s="2" t="s">
        <v>429</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7" s="2">
        <f ca="1">IF(OR($H147="",$B147=""),0,--(COUNTIFS($H$3:$H147,$H147,$B$3:$B147,$B147)=1))</f>
        <v>1</v>
      </c>
      <c r="J147" s="2" t="s">
        <v>271</v>
      </c>
      <c r="K147" s="2" t="s">
        <v>272</v>
      </c>
      <c r="L147" s="119" t="s">
        <v>273</v>
      </c>
      <c r="M147" s="276">
        <v>46185</v>
      </c>
      <c r="N147" s="276">
        <v>46190</v>
      </c>
      <c r="O147" s="277"/>
      <c r="P147" s="2" t="s">
        <v>51</v>
      </c>
      <c r="Q147" s="2" t="s">
        <v>295</v>
      </c>
      <c r="R147" s="2">
        <v>0</v>
      </c>
      <c r="S147" s="2">
        <v>0</v>
      </c>
      <c r="V147" s="274">
        <v>1</v>
      </c>
      <c r="W147" s="274">
        <v>22</v>
      </c>
      <c r="X147" s="278">
        <v>13398</v>
      </c>
      <c r="Y147" s="278">
        <v>13398</v>
      </c>
      <c r="Z147" s="2" t="s">
        <v>297</v>
      </c>
      <c r="AA147" s="2" t="str">
        <f t="shared" si="22"/>
        <v>2026</v>
      </c>
      <c r="AB147" s="276">
        <v>46284</v>
      </c>
      <c r="AC147" s="276">
        <v>46284</v>
      </c>
      <c r="AD147" s="275">
        <v>46290</v>
      </c>
      <c r="AE147" s="275">
        <v>46290</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2026/W39</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2026/W39</v>
      </c>
      <c r="AH147" s="2" t="s">
        <v>56</v>
      </c>
      <c r="AI147" s="276"/>
      <c r="AJ147" s="276">
        <v>46190</v>
      </c>
      <c r="AK147" s="2" t="s">
        <v>56</v>
      </c>
      <c r="AL147" s="276"/>
      <c r="AM147" s="276">
        <v>46190</v>
      </c>
      <c r="AN147" s="2" t="s">
        <v>73</v>
      </c>
      <c r="AO147" s="276"/>
      <c r="AP147" s="276"/>
      <c r="AQ147" s="2" t="s">
        <v>73</v>
      </c>
      <c r="AR147" s="276"/>
      <c r="AS147" s="276"/>
      <c r="AT147" s="2" t="s">
        <v>73</v>
      </c>
      <c r="AU147" s="276"/>
      <c r="AV147" s="276"/>
      <c r="AW147" s="2" t="s">
        <v>73</v>
      </c>
      <c r="AX147" s="276"/>
      <c r="AY147" s="276"/>
      <c r="AZ147" s="2" t="s">
        <v>73</v>
      </c>
      <c r="BA147" s="276"/>
      <c r="BB147" s="276"/>
      <c r="BC147" s="2" t="str">
        <f t="shared" si="27"/>
        <v>Complete</v>
      </c>
      <c r="BD147" s="2" t="s">
        <v>278</v>
      </c>
      <c r="BE147" s="119" t="str">
        <f t="shared" si="28"/>
        <v>READY</v>
      </c>
    </row>
    <row r="148" spans="1:58">
      <c r="A148" s="2" t="str">
        <f>IFERROR(VLOOKUP(E148,'Customer '!$A$4:$D$23,3,FALSE),"")</f>
        <v>NON RH</v>
      </c>
      <c r="B148" s="2" t="s">
        <v>327</v>
      </c>
      <c r="C148" s="2" t="s">
        <v>282</v>
      </c>
      <c r="E148" s="2" t="s">
        <v>430</v>
      </c>
      <c r="F148" s="2" t="str">
        <f>IFERROR(VLOOKUP(E148,'Customer '!$A$4:$D$28,2,FALSE),"")</f>
        <v>BISCAYNE</v>
      </c>
      <c r="G148" s="2" t="s">
        <v>431</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8" s="2">
        <f ca="1">IF(OR($H148="",$B148=""),0,--(COUNTIFS($H$3:$H148,$H148,$B$3:$B148,$B148)=1))</f>
        <v>1</v>
      </c>
      <c r="J148" s="2" t="s">
        <v>310</v>
      </c>
      <c r="K148" s="2" t="s">
        <v>272</v>
      </c>
      <c r="L148" s="119" t="s">
        <v>301</v>
      </c>
      <c r="M148" s="276">
        <v>46172</v>
      </c>
      <c r="N148" s="276">
        <v>46177</v>
      </c>
      <c r="O148" s="277">
        <v>46199</v>
      </c>
      <c r="P148" s="2" t="s">
        <v>51</v>
      </c>
      <c r="Q148" s="2" t="s">
        <v>152</v>
      </c>
      <c r="R148" s="2">
        <v>0</v>
      </c>
      <c r="S148" s="2">
        <v>0</v>
      </c>
      <c r="V148" s="274">
        <v>3</v>
      </c>
      <c r="W148" s="274">
        <v>3</v>
      </c>
      <c r="X148" s="278">
        <v>2843.6000000000004</v>
      </c>
      <c r="Y148" s="278">
        <v>2843.6000000000004</v>
      </c>
      <c r="Z148" s="2" t="s">
        <v>303</v>
      </c>
      <c r="AA148" s="2" t="str">
        <f t="shared" si="22"/>
        <v>2026</v>
      </c>
      <c r="AB148" s="276">
        <v>46251</v>
      </c>
      <c r="AC148" s="276">
        <v>46255</v>
      </c>
      <c r="AD148" s="276">
        <v>46318</v>
      </c>
      <c r="AE148" s="276">
        <v>46318</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2026/W43</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2026/W43</v>
      </c>
      <c r="AH148" s="2" t="s">
        <v>56</v>
      </c>
      <c r="AI148" s="276"/>
      <c r="AJ148" s="276"/>
      <c r="AK148" s="2" t="s">
        <v>56</v>
      </c>
      <c r="AL148" s="276"/>
      <c r="AM148" s="276"/>
      <c r="AN148" s="2" t="s">
        <v>56</v>
      </c>
      <c r="AO148" s="276"/>
      <c r="AP148" s="276"/>
      <c r="AQ148" s="2" t="s">
        <v>56</v>
      </c>
      <c r="AR148" s="276"/>
      <c r="AS148" s="276"/>
      <c r="AT148" s="2" t="s">
        <v>73</v>
      </c>
      <c r="AU148" s="276"/>
      <c r="AV148" s="276"/>
      <c r="AW148" s="2" t="s">
        <v>73</v>
      </c>
      <c r="AX148" s="276"/>
      <c r="AY148" s="276"/>
      <c r="AZ148" s="2" t="s">
        <v>73</v>
      </c>
      <c r="BA148" s="276"/>
      <c r="BB148" s="276"/>
      <c r="BC148" s="2" t="str">
        <f t="shared" si="27"/>
        <v>Active</v>
      </c>
      <c r="BD148" s="2" t="s">
        <v>278</v>
      </c>
      <c r="BE148" s="119" t="str">
        <f t="shared" si="28"/>
        <v>NPD: All development items approved/closed for SW43</v>
      </c>
    </row>
    <row r="149" spans="1:58">
      <c r="A149" s="2" t="str">
        <f>IFERROR(VLOOKUP(E149,'Customer '!$A$4:$D$23,3,FALSE),"")</f>
        <v>NON RH</v>
      </c>
      <c r="B149" s="2" t="s">
        <v>267</v>
      </c>
      <c r="C149" s="2" t="s">
        <v>282</v>
      </c>
      <c r="E149" s="2" t="s">
        <v>430</v>
      </c>
      <c r="F149" s="2" t="str">
        <f>IFERROR(VLOOKUP(E149,'Customer '!$A$4:$D$28,2,FALSE),"")</f>
        <v>BISCAYNE</v>
      </c>
      <c r="G149" s="2" t="s">
        <v>431</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9" s="2">
        <f ca="1">IF(OR($H149="",$B149=""),0,--(COUNTIFS($H$3:$H149,$H149,$B$3:$B149,$B149)=1))</f>
        <v>1</v>
      </c>
      <c r="J149" s="2" t="s">
        <v>321</v>
      </c>
      <c r="K149" s="2" t="s">
        <v>272</v>
      </c>
      <c r="L149" s="119" t="s">
        <v>317</v>
      </c>
      <c r="M149" s="276"/>
      <c r="N149" s="276">
        <v>46177</v>
      </c>
      <c r="O149" s="277"/>
      <c r="P149" s="2" t="s">
        <v>51</v>
      </c>
      <c r="Q149" s="2" t="s">
        <v>152</v>
      </c>
      <c r="R149" s="2">
        <v>1</v>
      </c>
      <c r="S149" s="2">
        <v>1</v>
      </c>
      <c r="V149" s="274">
        <v>17</v>
      </c>
      <c r="X149" s="278">
        <v>780835.84000000008</v>
      </c>
      <c r="Y149" s="278">
        <v>780835.84000000008</v>
      </c>
      <c r="Z149" s="2" t="s">
        <v>149</v>
      </c>
      <c r="AA149" s="2" t="str">
        <f t="shared" ref="AA149:AA153" si="33">IF(Z149="","",IF(OR(Z149="TBC",Z149="Removed"),Z149,LEFT(Z149,4)))</f>
        <v>TBC</v>
      </c>
      <c r="AB149" s="276"/>
      <c r="AC149" s="276"/>
      <c r="AD149" s="275" t="s">
        <v>149</v>
      </c>
      <c r="AE149" s="276" t="s">
        <v>149</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TBC</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TBC</v>
      </c>
      <c r="AH149" s="2" t="s">
        <v>344</v>
      </c>
      <c r="AI149" s="276"/>
      <c r="AJ149" s="276"/>
      <c r="AK149" s="2" t="s">
        <v>287</v>
      </c>
      <c r="AL149" s="276"/>
      <c r="AM149" s="276"/>
      <c r="AN149" s="2" t="s">
        <v>344</v>
      </c>
      <c r="AO149" s="276"/>
      <c r="AP149" s="276"/>
      <c r="AQ149" s="2" t="s">
        <v>344</v>
      </c>
      <c r="AR149" s="276"/>
      <c r="AS149" s="276"/>
      <c r="AT149" s="2" t="s">
        <v>344</v>
      </c>
      <c r="AU149" s="276"/>
      <c r="AV149" s="276"/>
      <c r="AW149" s="2" t="s">
        <v>344</v>
      </c>
      <c r="AX149" s="276"/>
      <c r="AY149" s="276"/>
      <c r="AZ149" s="2" t="s">
        <v>344</v>
      </c>
      <c r="BA149" s="276"/>
      <c r="BB149" s="276"/>
      <c r="BC149" s="2" t="str">
        <f t="shared" si="27"/>
        <v>Active</v>
      </c>
      <c r="BD149" s="2" t="s">
        <v>278</v>
      </c>
      <c r="BE149" s="119" t="str">
        <f t="shared" si="28"/>
        <v>NPI: Not started: Veneer/Wood for SW TBC</v>
      </c>
    </row>
    <row r="150" spans="1:58">
      <c r="A150" s="2" t="str">
        <f>IFERROR(VLOOKUP(E150,'Customer '!$A$4:$D$23,3,FALSE),"")</f>
        <v>RH</v>
      </c>
      <c r="B150" s="2" t="s">
        <v>267</v>
      </c>
      <c r="C150" s="2" t="s">
        <v>282</v>
      </c>
      <c r="D150" s="2" t="s">
        <v>313</v>
      </c>
      <c r="E150" s="2" t="s">
        <v>61</v>
      </c>
      <c r="F150" s="2" t="str">
        <f>IFERROR(VLOOKUP(E150,'Customer '!$A$4:$D$28,2,FALSE),"")</f>
        <v>RH</v>
      </c>
      <c r="G150" s="2" t="s">
        <v>432</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50" s="2">
        <f ca="1">IF(OR($H150="",$B150=""),0,--(COUNTIFS($H$3:$H150,$H150,$B$3:$B150,$B150)=1))</f>
        <v>1</v>
      </c>
      <c r="J150" s="2" t="s">
        <v>271</v>
      </c>
      <c r="K150" s="2" t="s">
        <v>272</v>
      </c>
      <c r="L150" s="119" t="s">
        <v>273</v>
      </c>
      <c r="M150" s="276"/>
      <c r="N150" s="276">
        <v>46190</v>
      </c>
      <c r="O150" s="277"/>
      <c r="P150" s="2" t="s">
        <v>433</v>
      </c>
      <c r="V150" s="274">
        <v>1</v>
      </c>
      <c r="X150" s="278">
        <v>499.5</v>
      </c>
      <c r="Y150" s="278">
        <v>499.5</v>
      </c>
      <c r="Z150" s="2" t="s">
        <v>280</v>
      </c>
      <c r="AA150" s="2" t="str">
        <f t="shared" si="33"/>
        <v>2026</v>
      </c>
      <c r="AB150" s="276">
        <v>46217</v>
      </c>
      <c r="AC150" s="276">
        <v>46217</v>
      </c>
      <c r="AD150" s="275">
        <v>46228</v>
      </c>
      <c r="AE150" s="276">
        <v>46228</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2026/W30</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2026/W30</v>
      </c>
      <c r="AH150" s="2" t="s">
        <v>56</v>
      </c>
      <c r="AI150" s="276"/>
      <c r="AJ150" s="276">
        <v>46190</v>
      </c>
      <c r="AK150" s="2" t="s">
        <v>56</v>
      </c>
      <c r="AL150" s="276"/>
      <c r="AM150" s="276">
        <v>46190</v>
      </c>
      <c r="AN150" s="2" t="s">
        <v>56</v>
      </c>
      <c r="AO150" s="276"/>
      <c r="AP150" s="276"/>
      <c r="AQ150" s="2" t="s">
        <v>73</v>
      </c>
      <c r="AR150" s="276"/>
      <c r="AS150" s="276"/>
      <c r="AT150" s="2" t="s">
        <v>73</v>
      </c>
      <c r="AW150" s="2" t="s">
        <v>73</v>
      </c>
      <c r="AX150" s="276"/>
      <c r="AY150" s="276"/>
      <c r="AZ150" s="2" t="s">
        <v>57</v>
      </c>
      <c r="BA150" s="276"/>
      <c r="BB150" s="276">
        <v>46195</v>
      </c>
      <c r="BC150" s="2" t="str">
        <f t="shared" si="27"/>
        <v>Complete</v>
      </c>
      <c r="BD150" s="2" t="s">
        <v>278</v>
      </c>
      <c r="BE150" s="119" t="str">
        <f t="shared" si="28"/>
        <v>READY</v>
      </c>
    </row>
    <row r="151" spans="1:58">
      <c r="A151" s="2" t="str">
        <f>IFERROR(VLOOKUP(E151,'Customer '!$A$4:$D$23,3,FALSE),"")</f>
        <v>RH</v>
      </c>
      <c r="B151" s="2" t="s">
        <v>267</v>
      </c>
      <c r="C151" s="2" t="s">
        <v>308</v>
      </c>
      <c r="D151" s="2" t="s">
        <v>269</v>
      </c>
      <c r="E151" s="2" t="s">
        <v>61</v>
      </c>
      <c r="F151" s="2" t="str">
        <f>IFERROR(VLOOKUP(E151,'Customer '!$A$4:$D$28,2,FALSE),"")</f>
        <v>RH</v>
      </c>
      <c r="G151" s="2" t="s">
        <v>434</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1" s="2">
        <f ca="1">IF(OR($H151="",$B151=""),0,--(COUNTIFS($H$3:$H151,$H151,$B$3:$B151,$B151)=1))</f>
        <v>1</v>
      </c>
      <c r="J151" s="2" t="s">
        <v>284</v>
      </c>
      <c r="K151" s="2" t="s">
        <v>272</v>
      </c>
      <c r="L151" s="119" t="s">
        <v>285</v>
      </c>
      <c r="M151" s="276">
        <v>46196</v>
      </c>
      <c r="N151" s="276" t="s">
        <v>318</v>
      </c>
      <c r="O151" s="277"/>
      <c r="P151" s="2" t="s">
        <v>51</v>
      </c>
      <c r="Q151" s="2" t="s">
        <v>409</v>
      </c>
      <c r="R151" s="2">
        <v>2</v>
      </c>
      <c r="S151" s="2">
        <v>2</v>
      </c>
      <c r="T151" s="2">
        <v>2</v>
      </c>
      <c r="V151" s="274">
        <v>2</v>
      </c>
      <c r="W151" s="274">
        <v>2</v>
      </c>
      <c r="X151" s="278">
        <v>4003.5</v>
      </c>
      <c r="Y151" s="278">
        <v>4003.5</v>
      </c>
      <c r="Z151" s="2" t="s">
        <v>319</v>
      </c>
      <c r="AA151" s="2" t="str">
        <f t="shared" si="33"/>
        <v>2027</v>
      </c>
      <c r="AB151" s="276"/>
      <c r="AC151" s="276"/>
      <c r="AD151" s="275">
        <v>46416</v>
      </c>
      <c r="AE151" s="276">
        <v>46416</v>
      </c>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2027/W05</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2027/W05</v>
      </c>
      <c r="AH151" s="2" t="s">
        <v>322</v>
      </c>
      <c r="AI151" s="276"/>
      <c r="AJ151" s="276"/>
      <c r="AK151" s="2" t="s">
        <v>322</v>
      </c>
      <c r="AL151" s="276"/>
      <c r="AM151" s="276"/>
      <c r="AN151" s="2" t="s">
        <v>322</v>
      </c>
      <c r="AO151" s="276"/>
      <c r="AP151" s="276"/>
      <c r="AQ151" s="2" t="s">
        <v>73</v>
      </c>
      <c r="AR151" s="276"/>
      <c r="AS151" s="276"/>
      <c r="AT151" s="2" t="s">
        <v>73</v>
      </c>
      <c r="AU151" s="276"/>
      <c r="AV151" s="276"/>
      <c r="AW151" s="2" t="s">
        <v>73</v>
      </c>
      <c r="AX151" s="276"/>
      <c r="AY151" s="276"/>
      <c r="AZ151" s="2" t="s">
        <v>73</v>
      </c>
      <c r="BA151" s="276"/>
      <c r="BB151" s="276"/>
      <c r="BC151" s="2" t="str">
        <f t="shared" si="27"/>
        <v>Active</v>
      </c>
      <c r="BD151" s="2" t="s">
        <v>278</v>
      </c>
      <c r="BE151" s="119" t="str">
        <f t="shared" si="28"/>
        <v>NPI: Pending approval: Drawing, Veneer/Wood, Marble for SW05</v>
      </c>
      <c r="BF151" s="2" t="s">
        <v>320</v>
      </c>
    </row>
    <row r="152" spans="1:58">
      <c r="A152" s="2" t="s">
        <v>59</v>
      </c>
      <c r="B152" s="2" t="s">
        <v>327</v>
      </c>
      <c r="C152" s="2" t="s">
        <v>308</v>
      </c>
      <c r="E152" s="2" t="s">
        <v>61</v>
      </c>
      <c r="F152" s="2" t="str">
        <f>IFERROR(VLOOKUP(E152,'Customer '!$A$4:$D$28,2,FALSE),"")</f>
        <v>RH</v>
      </c>
      <c r="G152" s="2" t="s">
        <v>435</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2" s="2">
        <f ca="1">IF(OR($H152="",$B152=""),0,--(COUNTIFS($H$3:$H152,$H152,$B$3:$B152,$B152)=1))</f>
        <v>1</v>
      </c>
      <c r="J152" s="2" t="s">
        <v>372</v>
      </c>
      <c r="K152" s="2" t="s">
        <v>272</v>
      </c>
      <c r="L152" s="119" t="s">
        <v>285</v>
      </c>
      <c r="M152" s="276">
        <v>46199</v>
      </c>
      <c r="N152" s="276"/>
      <c r="O152" s="277"/>
      <c r="V152" s="274">
        <v>1</v>
      </c>
      <c r="X152" s="278"/>
      <c r="Y152" s="278"/>
      <c r="AA152" s="2" t="str">
        <f t="shared" si="33"/>
        <v/>
      </c>
      <c r="AB152" s="276"/>
      <c r="AC152" s="276"/>
      <c r="AE152" s="276"/>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
      </c>
      <c r="AH152" s="2" t="s">
        <v>304</v>
      </c>
      <c r="AI152" s="276"/>
      <c r="AJ152" s="276"/>
      <c r="AK152" s="2" t="s">
        <v>304</v>
      </c>
      <c r="AL152" s="276"/>
      <c r="AM152" s="276"/>
      <c r="AN152" s="2" t="s">
        <v>73</v>
      </c>
      <c r="AO152" s="276"/>
      <c r="AP152" s="276"/>
      <c r="AQ152" s="2" t="s">
        <v>73</v>
      </c>
      <c r="AR152" s="276"/>
      <c r="AS152" s="276"/>
      <c r="AT152" s="2" t="s">
        <v>73</v>
      </c>
      <c r="AU152" s="276"/>
      <c r="AV152" s="276"/>
      <c r="AW152" s="2" t="s">
        <v>73</v>
      </c>
      <c r="AX152" s="276"/>
      <c r="AY152" s="276"/>
      <c r="AZ152" s="2" t="s">
        <v>73</v>
      </c>
      <c r="BA152" s="276"/>
      <c r="BB152" s="276"/>
      <c r="BC152" s="2" t="str">
        <f t="shared" si="27"/>
        <v>Complete</v>
      </c>
      <c r="BD152" s="2" t="s">
        <v>278</v>
      </c>
      <c r="BE152" s="119" t="str">
        <f t="shared" si="28"/>
        <v>NPD: In progress: Drawing, Veneer/Wood</v>
      </c>
    </row>
    <row r="153" spans="1:58">
      <c r="A153" s="2" t="s">
        <v>59</v>
      </c>
      <c r="B153" s="2" t="s">
        <v>267</v>
      </c>
      <c r="C153" s="2" t="s">
        <v>308</v>
      </c>
      <c r="D153" s="2" t="s">
        <v>414</v>
      </c>
      <c r="E153" s="2" t="s">
        <v>61</v>
      </c>
      <c r="F153" s="2" t="str">
        <f>IFERROR(VLOOKUP(E153,'Customer '!$A$4:$D$28,2,FALSE),"")</f>
        <v>RH</v>
      </c>
      <c r="G153" s="2" t="s">
        <v>436</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3" s="2">
        <f ca="1">IF(OR($H153="",$B153=""),0,--(COUNTIFS($H$3:$H153,$H153,$B$3:$B153,$B153)=1))</f>
        <v>1</v>
      </c>
      <c r="J153" s="2" t="s">
        <v>310</v>
      </c>
      <c r="K153" s="2" t="s">
        <v>291</v>
      </c>
      <c r="L153" s="119" t="s">
        <v>311</v>
      </c>
      <c r="M153" s="276">
        <v>46182</v>
      </c>
      <c r="N153" s="276">
        <v>46245</v>
      </c>
      <c r="O153" s="277"/>
      <c r="P153" s="2" t="s">
        <v>51</v>
      </c>
      <c r="Q153" s="2" t="s">
        <v>348</v>
      </c>
      <c r="R153" s="2">
        <v>0</v>
      </c>
      <c r="S153" s="2">
        <v>0</v>
      </c>
      <c r="V153" s="274">
        <v>2</v>
      </c>
      <c r="W153" s="274">
        <v>10</v>
      </c>
      <c r="X153" s="278">
        <v>3240</v>
      </c>
      <c r="Y153" s="278">
        <v>3240</v>
      </c>
      <c r="Z153" s="2" t="s">
        <v>319</v>
      </c>
      <c r="AA153" s="2" t="str">
        <f t="shared" si="33"/>
        <v>2027</v>
      </c>
      <c r="AB153" s="276"/>
      <c r="AC153" s="276"/>
      <c r="AD153" s="275">
        <v>46030</v>
      </c>
      <c r="AE153" s="275">
        <v>46030</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2026/W02</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2026/W02</v>
      </c>
      <c r="AH153" s="2" t="s">
        <v>56</v>
      </c>
      <c r="AI153" s="276"/>
      <c r="AJ153" s="276">
        <v>46255</v>
      </c>
      <c r="AK153" s="2" t="s">
        <v>56</v>
      </c>
      <c r="AL153" s="276"/>
      <c r="AM153" s="276">
        <v>46255</v>
      </c>
      <c r="AN153" s="2" t="s">
        <v>73</v>
      </c>
      <c r="AO153" s="276"/>
      <c r="AP153" s="276"/>
      <c r="AQ153" s="2" t="s">
        <v>56</v>
      </c>
      <c r="AR153" s="276"/>
      <c r="AS153" s="276">
        <v>46255</v>
      </c>
      <c r="AT153" s="2" t="s">
        <v>73</v>
      </c>
      <c r="AU153" s="276"/>
      <c r="AV153" s="276"/>
      <c r="AW153" s="2" t="s">
        <v>73</v>
      </c>
      <c r="AX153" s="276"/>
      <c r="AY153" s="276"/>
      <c r="AZ153" s="2" t="s">
        <v>73</v>
      </c>
      <c r="BA153" s="276"/>
      <c r="BB153" s="276"/>
      <c r="BC153" s="2" t="str">
        <f t="shared" si="27"/>
        <v>Active</v>
      </c>
      <c r="BD153" s="2" t="s">
        <v>278</v>
      </c>
      <c r="BE153" s="119" t="str">
        <f t="shared" si="28"/>
        <v>NPI: All development items approved/closed for SW02</v>
      </c>
    </row>
    <row r="154" spans="1:58">
      <c r="A154" s="2" t="str">
        <f>IFERROR(VLOOKUP(E154,'Customer '!$A$4:$D$23,3,FALSE),"")</f>
        <v>RH</v>
      </c>
      <c r="B154" s="2" t="s">
        <v>267</v>
      </c>
      <c r="C154" s="2" t="s">
        <v>282</v>
      </c>
      <c r="D154" s="2" t="s">
        <v>313</v>
      </c>
      <c r="E154" s="2" t="s">
        <v>61</v>
      </c>
      <c r="F154" s="2" t="str">
        <f>IFERROR(VLOOKUP(E154,'Customer '!$A$4:$D$28,2,FALSE),"")</f>
        <v>RH</v>
      </c>
      <c r="G154" s="2" t="s">
        <v>437</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4" s="2">
        <f ca="1">IF(OR($H154="",$B154=""),0,--(COUNTIFS($H$3:$H154,$H154,$B$3:$B154,$B154)=1))</f>
        <v>1</v>
      </c>
      <c r="J154" s="2" t="s">
        <v>271</v>
      </c>
      <c r="K154" s="2" t="s">
        <v>272</v>
      </c>
      <c r="L154" s="119" t="s">
        <v>273</v>
      </c>
      <c r="M154" s="281"/>
      <c r="N154" s="281">
        <v>46196</v>
      </c>
      <c r="O154" s="282"/>
      <c r="V154" s="274">
        <v>1</v>
      </c>
      <c r="X154" s="278">
        <v>1466</v>
      </c>
      <c r="Y154" s="278">
        <v>1466</v>
      </c>
      <c r="Z154" s="2" t="s">
        <v>280</v>
      </c>
      <c r="AA154" s="2" t="str">
        <f t="shared" ref="AA154:AA209" si="34">IF(Z154="","",IF(OR(Z154="TBC",Z154="Removed"),Z154,LEFT(Z154,4)))</f>
        <v>2026</v>
      </c>
      <c r="AB154" s="281">
        <v>46223</v>
      </c>
      <c r="AC154" s="281">
        <v>46228</v>
      </c>
      <c r="AD154" s="275">
        <v>46230</v>
      </c>
      <c r="AE154" s="281">
        <v>46235</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2026/W31</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2026/W31</v>
      </c>
      <c r="AH154" s="2" t="s">
        <v>56</v>
      </c>
      <c r="AI154" s="276"/>
      <c r="AJ154" s="276">
        <v>46198</v>
      </c>
      <c r="AK154" s="2" t="s">
        <v>56</v>
      </c>
      <c r="AL154" s="276"/>
      <c r="AM154" s="276">
        <v>46198</v>
      </c>
      <c r="AN154" s="2" t="s">
        <v>56</v>
      </c>
      <c r="AO154" s="281"/>
      <c r="AP154" s="281"/>
      <c r="AQ154" s="2" t="s">
        <v>73</v>
      </c>
      <c r="AR154" s="281"/>
      <c r="AS154" s="281"/>
      <c r="AT154" s="2" t="s">
        <v>73</v>
      </c>
      <c r="AW154" s="2" t="s">
        <v>73</v>
      </c>
      <c r="AX154" s="281"/>
      <c r="AY154" s="281"/>
      <c r="AZ154" s="2" t="s">
        <v>73</v>
      </c>
      <c r="BA154" s="281"/>
      <c r="BB154" s="281" t="s">
        <v>92</v>
      </c>
      <c r="BC154" s="2" t="str">
        <f t="shared" ref="BC154:BC185" si="35">IF(J154="","",IF(OR(J154="OB",J154="NOR",J154="FC",J154="PIPELINE"),"Active","Complete"))</f>
        <v>Complete</v>
      </c>
      <c r="BD154" s="2" t="s">
        <v>278</v>
      </c>
      <c r="BE154" s="119" t="str">
        <f t="shared" ref="BE154:BE172" si="36">IF(UPPER(TRIM(J154))="SHIPPED","READY",_xlfn.LET(_xlpm.stage,IF(B154="","",B154&amp;": "),_xlpm.ip,_xlfn.TEXTJOIN(", ",TRUE,IF(LOWER(AH154)="in progress","Drawing",""),IF(LOWER(AK154)="in progress","Veneer/Wood",""),IF(LOWER(AN154)="in progress","Marble",""),IF(LOWER(AQ154)="in progress","Metal",""),IF(LOWER(AT154)="in progress","Mirror",""),IF(LOWER(AW154)="in progress","Electrical",""),IF(LOWER(AZ154)="in progress","Fabric","")),_xlpm.pa,_xlfn.TEXTJOIN(", ",TRUE,IF(LOWER(AH154)="pending approval","Drawing",""),IF(LOWER(AK154)="pending approval","Veneer/Wood",""),IF(LOWER(AN154)="pending approval","Marble",""),IF(LOWER(AQ154)="pending approval","Metal",""),IF(LOWER(AT154)="pending approval","Mirror",""),IF(LOWER(AW154)="pending approval","Electrical",""),IF(LOWER(AZ154)="pending approval","Fabric","")),_xlpm.ns,_xlfn.TEXTJOIN(", ",TRUE,IF(LOWER(AH154)="not started","Drawing",""),IF(LOWER(AK154)="not started","Veneer/Wood",""),IF(LOWER(AN154)="not started","Marble",""),IF(LOWER(AQ154)="not started","Metal",""),IF(LOWER(AT154)="not started","Mirror",""),IF(LOWER(AW154)="not started","Electrical",""),IF(LOWER(AZ154)="not started","Fabric","")),_xlpm.fab,IF(OR(LOWER(AZ154)="com",LOWER(AZ154)="com pending",LOWER(AZ154)="com received"),"Fabric is "&amp;LOWER(AZ154),""),_xlpm.parts,_xlfn.TEXTJOIN("; ",TRUE,IF(_xlpm.ip&lt;&gt;"","In progress: "&amp;_xlpm.ip,""),IF(_xlpm.pa&lt;&gt;"","Pending approval: "&amp;_xlpm.pa,""),IF(_xlpm.ns&lt;&gt;"","Not started: "&amp;_xlpm.ns,""),_xlpm.fab),_xlpm.deadline,MIN(IF(AND(AH154&lt;&gt;"",LOWER(AH154)&lt;&gt;"approved",LOWER(AH154)&lt;&gt;"n/a",ISNUMBER(AI154)),AI154,1E+99),IF(AND(AK154&lt;&gt;"",LOWER(AK154)&lt;&gt;"approved",LOWER(AK154)&lt;&gt;"n/a",ISNUMBER(AL154)),AL154,1E+99),IF(AND(AN154&lt;&gt;"",LOWER(AN154)&lt;&gt;"approved",LOWER(AN154)&lt;&gt;"n/a",ISNUMBER(AO154)),AO154,1E+99),IF(AND(AQ154&lt;&gt;"",LOWER(AQ154)&lt;&gt;"approved",LOWER(AQ154)&lt;&gt;"n/a",ISNUMBER(AR154)),AR154,1E+99),IF(AND(AT154&lt;&gt;"",LOWER(AT154)&lt;&gt;"approved",LOWER(AT154)&lt;&gt;"n/a",ISNUMBER(AU154)),AU154,1E+99),IF(AND(AW154&lt;&gt;"",LOWER(AW154)&lt;&gt;"approved",LOWER(AW154)&lt;&gt;"n/a",ISNUMBER(AX154)),AX154,1E+99),IF(AND(AZ154&lt;&gt;"",LOWER(AZ154)&lt;&gt;"approved",LOWER(AZ154)&lt;&gt;"n/a",ISNUMBER(BA154)),BA154,1E+99)),_xlpm.sw,IF(AG154="","",IFERROR("SW"&amp;MID(AG154,FIND("/W",AG154)+2,99),"SW "&amp;AG154)),_xlpm.stage&amp;IF(_xlpm.parts="","All development items approved/closed",_xlpm.parts)&amp;IF(AND(_xlpm.parts&lt;&gt;"",_xlpm.deadline&lt;1E+99),"; need approval by "&amp;TEXT(_xlpm.deadline,"d-mmm-yy"),"")&amp;IF(_xlpm.sw&lt;&gt;""," for "&amp;_xlpm.sw,"")))</f>
        <v>READY</v>
      </c>
    </row>
    <row r="155" spans="1:58" ht="28.8">
      <c r="A155" s="2" t="str">
        <f>IFERROR(VLOOKUP(E155,'Customer '!$A$4:$D$23,3,FALSE),"")</f>
        <v>RH</v>
      </c>
      <c r="B155" s="2" t="s">
        <v>267</v>
      </c>
      <c r="C155" s="2" t="s">
        <v>308</v>
      </c>
      <c r="D155" s="2" t="s">
        <v>406</v>
      </c>
      <c r="E155" s="2" t="s">
        <v>61</v>
      </c>
      <c r="F155" s="2" t="str">
        <f>IFERROR(VLOOKUP(E155,'Customer '!$A$4:$D$28,2,FALSE),"")</f>
        <v>RH</v>
      </c>
      <c r="G155" s="2" t="s">
        <v>438</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5" s="2">
        <f ca="1">IF(OR($H155="",$B155=""),0,--(COUNTIFS($H$3:$H155,$H155,$B$3:$B155,$B155)=1))</f>
        <v>1</v>
      </c>
      <c r="J155" s="2" t="s">
        <v>284</v>
      </c>
      <c r="K155" s="2" t="s">
        <v>272</v>
      </c>
      <c r="L155" s="119" t="s">
        <v>317</v>
      </c>
      <c r="M155" s="281">
        <v>46212</v>
      </c>
      <c r="N155" s="281" t="s">
        <v>318</v>
      </c>
      <c r="O155" s="282"/>
      <c r="P155" s="2" t="s">
        <v>439</v>
      </c>
      <c r="R155" s="2">
        <v>2</v>
      </c>
      <c r="S155" s="2">
        <v>8</v>
      </c>
      <c r="V155" s="274">
        <v>2</v>
      </c>
      <c r="W155" s="274">
        <v>8</v>
      </c>
      <c r="X155" s="278">
        <v>8455.52</v>
      </c>
      <c r="Y155" s="278">
        <v>8455.52</v>
      </c>
      <c r="Z155" s="2" t="s">
        <v>319</v>
      </c>
      <c r="AA155" s="2" t="str">
        <f t="shared" si="34"/>
        <v>2027</v>
      </c>
      <c r="AB155" s="281"/>
      <c r="AC155" s="281"/>
      <c r="AD155" s="275">
        <v>46416</v>
      </c>
      <c r="AE155" s="281">
        <v>46416</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2027/W05</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2027/W05</v>
      </c>
      <c r="AH155" s="2" t="s">
        <v>322</v>
      </c>
      <c r="AI155" s="281">
        <v>46297</v>
      </c>
      <c r="AJ155" s="281"/>
      <c r="AK155" s="2" t="s">
        <v>322</v>
      </c>
      <c r="AL155" s="281">
        <v>46297</v>
      </c>
      <c r="AM155" s="281"/>
      <c r="AN155" s="2" t="s">
        <v>73</v>
      </c>
      <c r="AO155" s="281"/>
      <c r="AP155" s="281"/>
      <c r="AQ155" s="2" t="s">
        <v>73</v>
      </c>
      <c r="AR155" s="281"/>
      <c r="AS155" s="281"/>
      <c r="AT155" s="2" t="s">
        <v>73</v>
      </c>
      <c r="AU155" s="281"/>
      <c r="AV155" s="281"/>
      <c r="AW155" s="2" t="s">
        <v>73</v>
      </c>
      <c r="AX155" s="281"/>
      <c r="AY155" s="281"/>
      <c r="AZ155" s="2" t="s">
        <v>322</v>
      </c>
      <c r="BA155" s="281">
        <v>46297</v>
      </c>
      <c r="BB155" s="281"/>
      <c r="BC155" s="2" t="str">
        <f t="shared" si="35"/>
        <v>Active</v>
      </c>
      <c r="BD155" s="2" t="s">
        <v>278</v>
      </c>
      <c r="BE155" s="119" t="str">
        <f t="shared" si="36"/>
        <v>NPI: Pending approval: Drawing, Veneer/Wood, Fabric; need approval by 2-Oct-26 for SW05</v>
      </c>
      <c r="BF155" s="2" t="s">
        <v>320</v>
      </c>
    </row>
    <row r="156" spans="1:58" ht="28.8">
      <c r="A156" s="2" t="str">
        <f>IFERROR(VLOOKUP(E156,'Customer '!$A$4:$D$24,3,FALSE),"")</f>
        <v>NON RH</v>
      </c>
      <c r="B156" s="2" t="s">
        <v>327</v>
      </c>
      <c r="C156" s="2" t="s">
        <v>328</v>
      </c>
      <c r="E156" s="2" t="s">
        <v>440</v>
      </c>
      <c r="F156" s="2" t="str">
        <f>IFERROR(VLOOKUP(E156,'Customer '!$A$4:$D$28,2,FALSE),"")</f>
        <v xml:space="preserve">BWG </v>
      </c>
      <c r="G156" s="2" t="s">
        <v>441</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6" s="2">
        <f ca="1">IF(OR($H156="",$B156=""),0,--(COUNTIFS($H$3:$H156,$H156,$B$3:$B156,$B156)=1))</f>
        <v>1</v>
      </c>
      <c r="J156" s="2" t="s">
        <v>271</v>
      </c>
      <c r="K156" s="2" t="s">
        <v>272</v>
      </c>
      <c r="L156" s="119" t="s">
        <v>380</v>
      </c>
      <c r="M156" s="281">
        <v>46216</v>
      </c>
      <c r="N156" s="281"/>
      <c r="O156" s="282"/>
      <c r="P156" s="2" t="s">
        <v>442</v>
      </c>
      <c r="Q156" s="2" t="s">
        <v>442</v>
      </c>
      <c r="R156" s="2">
        <v>0</v>
      </c>
      <c r="S156" s="2">
        <v>0</v>
      </c>
      <c r="V156" s="274">
        <v>9</v>
      </c>
      <c r="W156" s="274">
        <v>19</v>
      </c>
      <c r="X156" s="278">
        <v>0</v>
      </c>
      <c r="Y156" s="278">
        <v>0</v>
      </c>
      <c r="Z156" s="2" t="s">
        <v>297</v>
      </c>
      <c r="AA156" s="2" t="str">
        <f t="shared" si="34"/>
        <v>2026</v>
      </c>
      <c r="AB156" s="281"/>
      <c r="AC156" s="281"/>
      <c r="AD156" s="275">
        <v>46283</v>
      </c>
      <c r="AE156" s="281">
        <v>46283</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2026/W38</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2026/W38</v>
      </c>
      <c r="AH156" s="2" t="s">
        <v>56</v>
      </c>
      <c r="AI156" s="281"/>
      <c r="AJ156" s="281"/>
      <c r="AK156" s="2" t="s">
        <v>56</v>
      </c>
      <c r="AL156" s="281"/>
      <c r="AM156" s="281"/>
      <c r="AN156" s="2" t="s">
        <v>73</v>
      </c>
      <c r="AO156" s="281"/>
      <c r="AP156" s="281"/>
      <c r="AQ156" s="2" t="s">
        <v>56</v>
      </c>
      <c r="AR156" s="281"/>
      <c r="AS156" s="281"/>
      <c r="AT156" s="2" t="s">
        <v>73</v>
      </c>
      <c r="AU156" s="281"/>
      <c r="AV156" s="281"/>
      <c r="AW156" s="2" t="s">
        <v>73</v>
      </c>
      <c r="AX156" s="281"/>
      <c r="AY156" s="281"/>
      <c r="AZ156" s="2" t="s">
        <v>73</v>
      </c>
      <c r="BA156" s="281"/>
      <c r="BB156" s="281"/>
      <c r="BC156" s="2" t="str">
        <f t="shared" si="35"/>
        <v>Complete</v>
      </c>
      <c r="BE156" s="119" t="str">
        <f t="shared" si="36"/>
        <v>READY</v>
      </c>
    </row>
    <row r="157" spans="1:58">
      <c r="A157" s="2" t="str">
        <f>IFERROR(VLOOKUP(E157,'Customer '!$A$4:$D$23,3,FALSE),"")</f>
        <v>RH</v>
      </c>
      <c r="B157" s="2" t="s">
        <v>327</v>
      </c>
      <c r="C157" s="2" t="s">
        <v>308</v>
      </c>
      <c r="D157" s="2" t="s">
        <v>414</v>
      </c>
      <c r="E157" s="2" t="s">
        <v>61</v>
      </c>
      <c r="F157" s="2" t="str">
        <f>IFERROR(VLOOKUP(E157,'Customer '!$A$4:$D$28,2,FALSE),"")</f>
        <v>RH</v>
      </c>
      <c r="G157" s="2" t="s">
        <v>443</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310</v>
      </c>
      <c r="K157" s="2" t="s">
        <v>272</v>
      </c>
      <c r="L157" s="119" t="s">
        <v>301</v>
      </c>
      <c r="M157" s="281">
        <v>46221</v>
      </c>
      <c r="N157" s="281">
        <v>46259</v>
      </c>
      <c r="O157" s="282"/>
      <c r="P157" s="2" t="s">
        <v>51</v>
      </c>
      <c r="Q157" s="2" t="s">
        <v>51</v>
      </c>
      <c r="R157" s="2">
        <v>0</v>
      </c>
      <c r="S157" s="2">
        <v>0</v>
      </c>
      <c r="V157" s="274">
        <v>17</v>
      </c>
      <c r="W157" s="274">
        <v>25</v>
      </c>
      <c r="X157" s="278">
        <v>33810.54</v>
      </c>
      <c r="Y157" s="278">
        <v>33810.54</v>
      </c>
      <c r="Z157" s="2" t="s">
        <v>312</v>
      </c>
      <c r="AA157" s="2" t="str">
        <f t="shared" si="34"/>
        <v>2026</v>
      </c>
      <c r="AB157" s="281">
        <v>46276</v>
      </c>
      <c r="AC157" s="281">
        <v>46276</v>
      </c>
      <c r="AD157" s="281">
        <v>46318</v>
      </c>
      <c r="AE157" s="281">
        <v>46318</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2026/W43</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2026/W43</v>
      </c>
      <c r="AH157" s="2" t="s">
        <v>56</v>
      </c>
      <c r="AI157" s="281"/>
      <c r="AJ157" s="281">
        <v>46276</v>
      </c>
      <c r="AK157" s="2" t="s">
        <v>56</v>
      </c>
      <c r="AL157" s="281">
        <v>46276</v>
      </c>
      <c r="AM157" s="281">
        <v>46274</v>
      </c>
      <c r="AN157" s="2" t="s">
        <v>56</v>
      </c>
      <c r="AO157" s="281"/>
      <c r="AP157" s="281">
        <v>46261</v>
      </c>
      <c r="AQ157" s="2" t="s">
        <v>56</v>
      </c>
      <c r="AR157" s="281">
        <v>46276</v>
      </c>
      <c r="AS157" s="281">
        <v>46269</v>
      </c>
      <c r="AT157" s="2" t="s">
        <v>73</v>
      </c>
      <c r="AU157" s="281"/>
      <c r="AV157" s="281"/>
      <c r="AW157" s="2" t="s">
        <v>56</v>
      </c>
      <c r="AX157" s="281"/>
      <c r="AY157" s="281">
        <v>46261</v>
      </c>
      <c r="AZ157" s="2" t="s">
        <v>277</v>
      </c>
      <c r="BA157" s="281"/>
      <c r="BB157" s="281">
        <v>46259</v>
      </c>
      <c r="BC157" s="2" t="str">
        <f t="shared" si="35"/>
        <v>Active</v>
      </c>
      <c r="BD157" s="2" t="s">
        <v>278</v>
      </c>
      <c r="BE157" s="119" t="str">
        <f t="shared" si="36"/>
        <v>NPD: Fabric is com received for SW43</v>
      </c>
      <c r="BF157" s="2" t="s">
        <v>1648</v>
      </c>
    </row>
    <row r="158" spans="1:58" ht="28.8">
      <c r="A158" s="2" t="str">
        <f>IFERROR(VLOOKUP(E158,'Customer '!$A$4:$D$23,3,FALSE),"")</f>
        <v>RH</v>
      </c>
      <c r="B158" s="2" t="s">
        <v>267</v>
      </c>
      <c r="C158" s="2" t="s">
        <v>308</v>
      </c>
      <c r="D158" s="2" t="s">
        <v>414</v>
      </c>
      <c r="E158" s="2" t="s">
        <v>61</v>
      </c>
      <c r="F158" s="2" t="str">
        <f>IFERROR(VLOOKUP(E158,'Customer '!$A$4:$D$28,2,FALSE),"")</f>
        <v>RH</v>
      </c>
      <c r="G158" s="2" t="s">
        <v>443</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8" s="2">
        <f ca="1">IF(OR($H158="",$B158=""),0,--(COUNTIFS($H$3:$H158,$H158,$B$3:$B158,$B158)=1))</f>
        <v>1</v>
      </c>
      <c r="J158" s="2" t="s">
        <v>284</v>
      </c>
      <c r="K158" s="2" t="s">
        <v>272</v>
      </c>
      <c r="L158" s="119" t="s">
        <v>301</v>
      </c>
      <c r="M158" s="281">
        <v>46221</v>
      </c>
      <c r="N158" s="281"/>
      <c r="O158" s="282"/>
      <c r="P158" s="2" t="s">
        <v>51</v>
      </c>
      <c r="Q158" s="2" t="s">
        <v>51</v>
      </c>
      <c r="R158" s="2">
        <v>0</v>
      </c>
      <c r="S158" s="2">
        <v>0</v>
      </c>
      <c r="V158" s="274">
        <v>18</v>
      </c>
      <c r="W158" s="274">
        <v>494</v>
      </c>
      <c r="X158" s="278">
        <v>299970.28999999998</v>
      </c>
      <c r="Y158" s="278">
        <v>299970.28999999998</v>
      </c>
      <c r="Z158" s="2" t="s">
        <v>332</v>
      </c>
      <c r="AA158" s="2" t="str">
        <f t="shared" si="34"/>
        <v>2027</v>
      </c>
      <c r="AB158" s="281"/>
      <c r="AC158" s="281"/>
      <c r="AD158" s="275" t="s">
        <v>149</v>
      </c>
      <c r="AE158" s="276" t="s">
        <v>149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TBC</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TBC</v>
      </c>
      <c r="AH158" s="2" t="s">
        <v>287</v>
      </c>
      <c r="AI158" s="276"/>
      <c r="AJ158" s="281"/>
      <c r="AK158" s="2" t="s">
        <v>287</v>
      </c>
      <c r="AL158" s="281"/>
      <c r="AM158" s="281"/>
      <c r="AN158" s="2" t="s">
        <v>287</v>
      </c>
      <c r="AO158" s="281"/>
      <c r="AP158" s="281"/>
      <c r="AQ158" s="2" t="s">
        <v>304</v>
      </c>
      <c r="AR158" s="281"/>
      <c r="AS158" s="281"/>
      <c r="AT158" s="2" t="s">
        <v>73</v>
      </c>
      <c r="AU158" s="281"/>
      <c r="AV158" s="281"/>
      <c r="AW158" s="2" t="s">
        <v>287</v>
      </c>
      <c r="AX158" s="281"/>
      <c r="AY158" s="281"/>
      <c r="AZ158" s="2" t="s">
        <v>287</v>
      </c>
      <c r="BA158" s="281"/>
      <c r="BB158" s="281"/>
      <c r="BC158" s="2" t="str">
        <f t="shared" si="35"/>
        <v>Active</v>
      </c>
      <c r="BD158" s="2" t="s">
        <v>278</v>
      </c>
      <c r="BE158" s="119" t="str">
        <f t="shared" si="36"/>
        <v>NPI: In progress: Metal; Not started: Drawing, Veneer/Wood, Marble, Electrical, Fabric for SW TBC</v>
      </c>
    </row>
    <row r="159" spans="1:58">
      <c r="A159" s="2" t="str">
        <f>IFERROR(VLOOKUP(E159,'Customer '!$A$4:$D$23,3,FALSE),"")</f>
        <v>RH</v>
      </c>
      <c r="B159" s="2" t="s">
        <v>327</v>
      </c>
      <c r="C159" s="2" t="s">
        <v>298</v>
      </c>
      <c r="D159" s="2" t="s">
        <v>313</v>
      </c>
      <c r="E159" s="2" t="s">
        <v>61</v>
      </c>
      <c r="F159" s="2" t="str">
        <f>IFERROR(VLOOKUP(E159,'Customer '!$A$4:$D$28,2,FALSE),"")</f>
        <v>RH</v>
      </c>
      <c r="G159" s="2" t="s">
        <v>444</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310</v>
      </c>
      <c r="K159" s="2" t="s">
        <v>272</v>
      </c>
      <c r="L159" s="119" t="s">
        <v>311</v>
      </c>
      <c r="M159" s="281">
        <v>46226</v>
      </c>
      <c r="N159" s="281">
        <v>46264</v>
      </c>
      <c r="O159" s="282"/>
      <c r="P159" s="2" t="s">
        <v>51</v>
      </c>
      <c r="Q159" s="2" t="s">
        <v>409</v>
      </c>
      <c r="R159" s="2">
        <v>0</v>
      </c>
      <c r="S159" s="2">
        <v>0</v>
      </c>
      <c r="V159" s="274">
        <v>15</v>
      </c>
      <c r="W159" s="274">
        <v>31</v>
      </c>
      <c r="X159" s="278">
        <v>32385.58</v>
      </c>
      <c r="Y159" s="278">
        <v>32385.58</v>
      </c>
      <c r="Z159" s="2" t="s">
        <v>312</v>
      </c>
      <c r="AA159" s="2" t="str">
        <f t="shared" si="34"/>
        <v>2026</v>
      </c>
      <c r="AB159" s="281"/>
      <c r="AC159" s="281"/>
      <c r="AD159" s="281">
        <v>46339</v>
      </c>
      <c r="AE159" s="281">
        <v>46339</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2026/W46</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2026/W46</v>
      </c>
      <c r="AH159" s="2" t="s">
        <v>56</v>
      </c>
      <c r="AI159" s="276">
        <v>46297</v>
      </c>
      <c r="AJ159" s="281">
        <v>46309</v>
      </c>
      <c r="AK159" s="2" t="s">
        <v>56</v>
      </c>
      <c r="AL159" s="281"/>
      <c r="AM159" s="281">
        <v>46282</v>
      </c>
      <c r="AN159" s="2" t="s">
        <v>56</v>
      </c>
      <c r="AO159" s="281"/>
      <c r="AP159" s="281">
        <v>46282</v>
      </c>
      <c r="AQ159" s="2" t="s">
        <v>56</v>
      </c>
      <c r="AR159" s="281"/>
      <c r="AS159" s="281">
        <v>46295</v>
      </c>
      <c r="AT159" s="2" t="s">
        <v>56</v>
      </c>
      <c r="AU159" s="281"/>
      <c r="AV159" s="281">
        <v>46309</v>
      </c>
      <c r="AW159" s="2" t="s">
        <v>73</v>
      </c>
      <c r="AX159" s="281"/>
      <c r="AY159" s="281"/>
      <c r="AZ159" s="2" t="s">
        <v>342</v>
      </c>
      <c r="BA159" s="281">
        <v>46321</v>
      </c>
      <c r="BB159" s="281"/>
      <c r="BC159" s="2" t="str">
        <f t="shared" si="35"/>
        <v>Active</v>
      </c>
      <c r="BD159" s="2" t="s">
        <v>278</v>
      </c>
      <c r="BE159" s="119" t="str">
        <f t="shared" si="36"/>
        <v>NPD: Fabric is com pending; need approval by 26-Oct-26 for SW46</v>
      </c>
    </row>
    <row r="160" spans="1:58" ht="28.8">
      <c r="A160" s="2" t="str">
        <f>IFERROR(VLOOKUP(E160,'Customer '!$A$4:$D$23,3,FALSE),"")</f>
        <v>RH</v>
      </c>
      <c r="B160" s="2" t="s">
        <v>267</v>
      </c>
      <c r="C160" s="2" t="s">
        <v>298</v>
      </c>
      <c r="D160" s="2" t="s">
        <v>313</v>
      </c>
      <c r="E160" s="2" t="s">
        <v>61</v>
      </c>
      <c r="F160" s="2" t="str">
        <f>IFERROR(VLOOKUP(E160,'Customer '!$A$4:$D$28,2,FALSE),"")</f>
        <v>RH</v>
      </c>
      <c r="G160" s="2" t="s">
        <v>444</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1</v>
      </c>
      <c r="J160" s="2" t="s">
        <v>284</v>
      </c>
      <c r="K160" s="2" t="s">
        <v>272</v>
      </c>
      <c r="L160" s="119" t="s">
        <v>317</v>
      </c>
      <c r="M160" s="281"/>
      <c r="N160" s="281"/>
      <c r="O160" s="282"/>
      <c r="P160" s="2" t="s">
        <v>51</v>
      </c>
      <c r="Q160" s="2" t="s">
        <v>409</v>
      </c>
      <c r="R160" s="2">
        <v>0</v>
      </c>
      <c r="S160" s="2">
        <v>0</v>
      </c>
      <c r="V160" s="274">
        <v>12</v>
      </c>
      <c r="X160" s="278">
        <v>543005</v>
      </c>
      <c r="Y160" s="278">
        <f>DetailTracker[[#This Row],[PROJECT VALUE $]]/2</f>
        <v>271502.5</v>
      </c>
      <c r="Z160" s="2" t="s">
        <v>288</v>
      </c>
      <c r="AA160" s="2" t="str">
        <f t="shared" si="34"/>
        <v>2027</v>
      </c>
      <c r="AB160" s="281"/>
      <c r="AC160" s="281"/>
      <c r="AD160" s="275">
        <v>46585</v>
      </c>
      <c r="AE160" s="276">
        <v>46620</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2027/W29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2027/W34</v>
      </c>
      <c r="AH160" s="2" t="s">
        <v>287</v>
      </c>
      <c r="AI160" s="276"/>
      <c r="AJ160" s="281"/>
      <c r="AK160" s="2" t="s">
        <v>287</v>
      </c>
      <c r="AL160" s="281"/>
      <c r="AM160" s="281"/>
      <c r="AN160" s="2" t="s">
        <v>287</v>
      </c>
      <c r="AO160" s="281"/>
      <c r="AP160" s="281"/>
      <c r="AQ160" s="2" t="s">
        <v>287</v>
      </c>
      <c r="AR160" s="281"/>
      <c r="AS160" s="281"/>
      <c r="AT160" s="2" t="s">
        <v>287</v>
      </c>
      <c r="AU160" s="281"/>
      <c r="AV160" s="281"/>
      <c r="AW160" s="2" t="s">
        <v>73</v>
      </c>
      <c r="AX160" s="281"/>
      <c r="AY160" s="281"/>
      <c r="AZ160" s="2" t="s">
        <v>57</v>
      </c>
      <c r="BA160" s="281"/>
      <c r="BB160" s="281"/>
      <c r="BC160" s="2" t="str">
        <f t="shared" si="35"/>
        <v>Active</v>
      </c>
      <c r="BD160" s="2" t="s">
        <v>278</v>
      </c>
      <c r="BE160" s="119" t="str">
        <f t="shared" si="36"/>
        <v>NPI: Not started: Drawing, Veneer/Wood, Marble, Metal, Mirror; Fabric is com for SW34</v>
      </c>
    </row>
    <row r="161" spans="1:58" ht="28.8">
      <c r="A161" s="2" t="str">
        <f>IFERROR(VLOOKUP(E161,'Customer '!$A$4:$D$23,3,FALSE),"")</f>
        <v>RH</v>
      </c>
      <c r="B161" s="2" t="s">
        <v>267</v>
      </c>
      <c r="C161" s="2" t="s">
        <v>298</v>
      </c>
      <c r="D161" s="2" t="s">
        <v>313</v>
      </c>
      <c r="E161" s="2" t="s">
        <v>61</v>
      </c>
      <c r="F161" s="2" t="str">
        <f>IFERROR(VLOOKUP(E161,'Customer '!$A$4:$D$28,2,FALSE),"")</f>
        <v>RH</v>
      </c>
      <c r="G161" s="2" t="s">
        <v>444</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1" s="2">
        <f ca="1">IF(OR($H161="",$B161=""),0,--(COUNTIFS($H$3:$H161,$H161,$B$3:$B161,$B161)=1))</f>
        <v>0</v>
      </c>
      <c r="J161" s="2" t="s">
        <v>284</v>
      </c>
      <c r="K161" s="2" t="s">
        <v>272</v>
      </c>
      <c r="L161" s="119" t="s">
        <v>317</v>
      </c>
      <c r="M161" s="281"/>
      <c r="N161" s="281"/>
      <c r="O161" s="282"/>
      <c r="P161" s="2" t="s">
        <v>51</v>
      </c>
      <c r="Q161" s="2" t="s">
        <v>409</v>
      </c>
      <c r="R161" s="2">
        <v>0</v>
      </c>
      <c r="S161" s="2">
        <v>0</v>
      </c>
      <c r="V161" s="274">
        <v>12</v>
      </c>
      <c r="X161" s="278">
        <v>543005</v>
      </c>
      <c r="Y161" s="278">
        <f>DetailTracker[[#This Row],[PROJECT VALUE $]]/2</f>
        <v>271502.5</v>
      </c>
      <c r="Z161" s="2" t="s">
        <v>289</v>
      </c>
      <c r="AA161" s="2" t="str">
        <f t="shared" si="34"/>
        <v>2027</v>
      </c>
      <c r="AB161" s="281"/>
      <c r="AC161" s="281"/>
      <c r="AD161" s="275">
        <v>46585</v>
      </c>
      <c r="AE161" s="276">
        <v>46620</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2027/W29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2027/W34</v>
      </c>
      <c r="AH161" s="2" t="s">
        <v>287</v>
      </c>
      <c r="AI161" s="276"/>
      <c r="AJ161" s="281"/>
      <c r="AK161" s="2" t="s">
        <v>287</v>
      </c>
      <c r="AL161" s="281"/>
      <c r="AM161" s="281"/>
      <c r="AN161" s="2" t="s">
        <v>287</v>
      </c>
      <c r="AO161" s="281"/>
      <c r="AP161" s="281"/>
      <c r="AQ161" s="2" t="s">
        <v>287</v>
      </c>
      <c r="AR161" s="281"/>
      <c r="AS161" s="281"/>
      <c r="AT161" s="2" t="s">
        <v>287</v>
      </c>
      <c r="AU161" s="281"/>
      <c r="AV161" s="281"/>
      <c r="AW161" s="2" t="s">
        <v>73</v>
      </c>
      <c r="AX161" s="281"/>
      <c r="AY161" s="281"/>
      <c r="AZ161" s="2" t="s">
        <v>57</v>
      </c>
      <c r="BA161" s="281"/>
      <c r="BB161" s="281"/>
      <c r="BC161" s="2" t="str">
        <f t="shared" si="35"/>
        <v>Active</v>
      </c>
      <c r="BD161" s="2" t="s">
        <v>278</v>
      </c>
      <c r="BE161" s="119" t="str">
        <f t="shared" si="36"/>
        <v>NPI: Not started: Drawing, Veneer/Wood, Marble, Metal, Mirror; Fabric is com for SW34</v>
      </c>
    </row>
    <row r="162" spans="1:58">
      <c r="A162" s="2" t="str">
        <f>IFERROR(VLOOKUP(E162,'Customer '!$A$4:$D$23,3,FALSE),"")</f>
        <v>NON RH</v>
      </c>
      <c r="B162" s="2" t="s">
        <v>327</v>
      </c>
      <c r="C162" s="2" t="s">
        <v>282</v>
      </c>
      <c r="D162" s="2" t="s">
        <v>370</v>
      </c>
      <c r="E162" s="2" t="s">
        <v>98</v>
      </c>
      <c r="F162" s="2" t="str">
        <f>IFERROR(VLOOKUP(E162,'Customer '!$A$4:$D$28,2,FALSE),"")</f>
        <v xml:space="preserve">FLEETWOOD </v>
      </c>
      <c r="G162" s="2" t="s">
        <v>188</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2" s="2">
        <f ca="1">IF(OR($H162="",$B162=""),0,--(COUNTIFS($H$3:$H162,$H162,$B$3:$B162,$B162)=1))</f>
        <v>0</v>
      </c>
      <c r="J162" s="2" t="s">
        <v>271</v>
      </c>
      <c r="K162" s="2" t="s">
        <v>272</v>
      </c>
      <c r="L162" s="119" t="s">
        <v>273</v>
      </c>
      <c r="M162" s="276">
        <v>45939</v>
      </c>
      <c r="N162" s="281"/>
      <c r="O162" s="282"/>
      <c r="P162" s="2" t="s">
        <v>51</v>
      </c>
      <c r="Q162" s="2" t="s">
        <v>335</v>
      </c>
      <c r="R162" s="2">
        <v>0</v>
      </c>
      <c r="S162" s="2">
        <v>0</v>
      </c>
      <c r="V162" s="274">
        <v>3</v>
      </c>
      <c r="W162" s="274">
        <v>3</v>
      </c>
      <c r="X162" s="278" t="s">
        <v>445</v>
      </c>
      <c r="Y162" s="278">
        <v>0</v>
      </c>
      <c r="Z162" s="2" t="s">
        <v>297</v>
      </c>
      <c r="AA162" s="2" t="str">
        <f t="shared" si="34"/>
        <v>2026</v>
      </c>
      <c r="AB162" s="281">
        <v>46286</v>
      </c>
      <c r="AC162" s="281">
        <v>46286</v>
      </c>
      <c r="AD162" s="275">
        <v>46290</v>
      </c>
      <c r="AE162" s="281">
        <v>46290</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2026/W39</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2026/W39</v>
      </c>
      <c r="AH162" s="2" t="s">
        <v>56</v>
      </c>
      <c r="AI162" s="276"/>
      <c r="AJ162" s="281"/>
      <c r="AK162" s="2" t="s">
        <v>56</v>
      </c>
      <c r="AL162" s="281"/>
      <c r="AM162" s="281"/>
      <c r="AN162" s="2" t="s">
        <v>56</v>
      </c>
      <c r="AO162" s="281"/>
      <c r="AP162" s="281"/>
      <c r="AQ162" s="2" t="s">
        <v>56</v>
      </c>
      <c r="AR162" s="281"/>
      <c r="AS162" s="281"/>
      <c r="AT162" s="2" t="s">
        <v>73</v>
      </c>
      <c r="AU162" s="281"/>
      <c r="AV162" s="281"/>
      <c r="AW162" s="2" t="s">
        <v>73</v>
      </c>
      <c r="AX162" s="281"/>
      <c r="AY162" s="281"/>
      <c r="AZ162" s="2" t="s">
        <v>277</v>
      </c>
      <c r="BA162" s="281"/>
      <c r="BB162" s="281"/>
      <c r="BC162" s="2" t="str">
        <f t="shared" si="35"/>
        <v>Complete</v>
      </c>
      <c r="BE162" s="119" t="str">
        <f t="shared" si="36"/>
        <v>READY</v>
      </c>
    </row>
    <row r="163" spans="1:58">
      <c r="A163" s="2" t="str">
        <f>IFERROR(VLOOKUP(E163,'Customer '!$A$4:$D$23,3,FALSE),"")</f>
        <v>RH</v>
      </c>
      <c r="B163" s="2" t="s">
        <v>267</v>
      </c>
      <c r="C163" s="2" t="s">
        <v>427</v>
      </c>
      <c r="D163" s="2" t="s">
        <v>313</v>
      </c>
      <c r="E163" s="2" t="s">
        <v>61</v>
      </c>
      <c r="F163" s="2" t="str">
        <f>IFERROR(VLOOKUP(E163,'Customer '!$A$4:$D$28,2,FALSE),"")</f>
        <v>RH</v>
      </c>
      <c r="G163" s="2" t="s">
        <v>446</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3" s="2">
        <f ca="1">IF(OR($H163="",$B163=""),0,--(COUNTIFS($H$3:$H163,$H163,$B$3:$B163,$B163)=1))</f>
        <v>1</v>
      </c>
      <c r="J163" s="2" t="s">
        <v>321</v>
      </c>
      <c r="K163" s="2" t="s">
        <v>272</v>
      </c>
      <c r="L163" s="119" t="s">
        <v>285</v>
      </c>
      <c r="M163" s="281">
        <v>46227</v>
      </c>
      <c r="N163" s="281"/>
      <c r="O163" s="282"/>
      <c r="P163" s="2" t="s">
        <v>340</v>
      </c>
      <c r="Q163" s="2" t="s">
        <v>340</v>
      </c>
      <c r="R163" s="2" t="s">
        <v>149</v>
      </c>
      <c r="S163" s="2" t="s">
        <v>149</v>
      </c>
      <c r="V163" s="274">
        <v>4</v>
      </c>
      <c r="W163" s="274">
        <v>6</v>
      </c>
      <c r="X163" s="278">
        <v>9809</v>
      </c>
      <c r="Y163" s="278">
        <v>9809</v>
      </c>
      <c r="Z163" s="2" t="s">
        <v>149</v>
      </c>
      <c r="AA163" s="2" t="str">
        <f t="shared" si="34"/>
        <v>TBC</v>
      </c>
      <c r="AB163" s="281"/>
      <c r="AC163" s="281"/>
      <c r="AD163" s="275" t="s">
        <v>149</v>
      </c>
      <c r="AE163" s="276" t="s">
        <v>149</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TBC</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TBC</v>
      </c>
      <c r="AH163" s="2" t="s">
        <v>287</v>
      </c>
      <c r="AI163" s="276"/>
      <c r="AJ163" s="281"/>
      <c r="AK163" s="2" t="s">
        <v>287</v>
      </c>
      <c r="AL163" s="254"/>
      <c r="AM163" s="281"/>
      <c r="AN163" s="2" t="s">
        <v>73</v>
      </c>
      <c r="AO163" s="281"/>
      <c r="AP163" s="281"/>
      <c r="AQ163" s="2" t="s">
        <v>73</v>
      </c>
      <c r="AR163" s="281"/>
      <c r="AS163" s="281"/>
      <c r="AT163" s="2" t="s">
        <v>73</v>
      </c>
      <c r="AU163" s="281"/>
      <c r="AV163" s="281"/>
      <c r="AW163" s="2" t="s">
        <v>73</v>
      </c>
      <c r="AX163" s="281"/>
      <c r="AY163" s="281"/>
      <c r="BA163" s="281"/>
      <c r="BB163" s="281"/>
      <c r="BC163" s="2" t="str">
        <f t="shared" si="35"/>
        <v>Active</v>
      </c>
      <c r="BD163" s="2" t="s">
        <v>278</v>
      </c>
      <c r="BE163" s="119" t="str">
        <f t="shared" si="36"/>
        <v>NPI: Not started: Drawing, Veneer/Wood for SW TBC</v>
      </c>
      <c r="BF163" s="2" t="s">
        <v>447</v>
      </c>
    </row>
    <row r="164" spans="1:58" ht="28.8">
      <c r="A164" s="2" t="str">
        <f>IFERROR(VLOOKUP(E164,'Customer '!$A$4:$D$23,3,FALSE),"")</f>
        <v>NON RH</v>
      </c>
      <c r="B164" s="2" t="s">
        <v>327</v>
      </c>
      <c r="C164" s="2" t="s">
        <v>341</v>
      </c>
      <c r="D164" s="2" t="s">
        <v>397</v>
      </c>
      <c r="E164" s="2" t="s">
        <v>98</v>
      </c>
      <c r="F164" s="2" t="str">
        <f>IFERROR(VLOOKUP(E164,'Customer '!$A$4:$D$28,2,FALSE),"")</f>
        <v xml:space="preserve">FLEETWOOD </v>
      </c>
      <c r="G164" s="2" t="s">
        <v>448</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4" s="2">
        <f ca="1">IF(OR($H164="",$B164=""),0,--(COUNTIFS($H$3:$H164,$H164,$B$3:$B164,$B164)=1))</f>
        <v>1</v>
      </c>
      <c r="J164" s="2" t="s">
        <v>271</v>
      </c>
      <c r="K164" s="2" t="s">
        <v>272</v>
      </c>
      <c r="L164" s="119" t="s">
        <v>380</v>
      </c>
      <c r="M164" s="281">
        <v>46224</v>
      </c>
      <c r="N164" s="281">
        <v>46224</v>
      </c>
      <c r="O164" s="282" t="s">
        <v>445</v>
      </c>
      <c r="P164" s="2" t="s">
        <v>51</v>
      </c>
      <c r="Q164" s="2" t="s">
        <v>329</v>
      </c>
      <c r="R164" s="2">
        <v>0</v>
      </c>
      <c r="S164" s="2">
        <v>0</v>
      </c>
      <c r="T164" s="2">
        <v>2</v>
      </c>
      <c r="V164" s="274">
        <v>3</v>
      </c>
      <c r="W164" s="274">
        <v>3</v>
      </c>
      <c r="X164" s="292" t="s">
        <v>445</v>
      </c>
      <c r="Y164" s="278">
        <v>0</v>
      </c>
      <c r="Z164" s="2" t="s">
        <v>297</v>
      </c>
      <c r="AA164" s="2" t="str">
        <f t="shared" ref="AA164:AA172" si="37">IF(Z164="","",IF(OR(Z164="TBC",Z164="Removed"),Z164,LEFT(Z164,4)))</f>
        <v>2026</v>
      </c>
      <c r="AB164" s="281">
        <v>46284</v>
      </c>
      <c r="AC164" s="281">
        <v>46284</v>
      </c>
      <c r="AD164" s="275">
        <v>46296</v>
      </c>
      <c r="AE164" s="275">
        <v>46296</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2026/W40</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2026/W40</v>
      </c>
      <c r="AH164" s="2" t="s">
        <v>56</v>
      </c>
      <c r="AI164" s="276"/>
      <c r="AJ164" s="281">
        <v>46233</v>
      </c>
      <c r="AK164" s="2" t="s">
        <v>56</v>
      </c>
      <c r="AL164" s="276"/>
      <c r="AM164" s="281">
        <v>46276</v>
      </c>
      <c r="AN164" s="2" t="s">
        <v>56</v>
      </c>
      <c r="AO164" s="281"/>
      <c r="AP164" s="281">
        <v>46276</v>
      </c>
      <c r="AQ164" s="2" t="s">
        <v>56</v>
      </c>
      <c r="AR164" s="281"/>
      <c r="AS164" s="281">
        <v>46283</v>
      </c>
      <c r="AT164" s="2" t="s">
        <v>73</v>
      </c>
      <c r="AU164" s="281"/>
      <c r="AV164" s="281"/>
      <c r="AW164" s="2" t="s">
        <v>73</v>
      </c>
      <c r="AX164" s="281"/>
      <c r="AY164" s="281"/>
      <c r="AZ164" s="2" t="s">
        <v>73</v>
      </c>
      <c r="BA164" s="281"/>
      <c r="BB164" s="281"/>
      <c r="BC164" s="2" t="str">
        <f t="shared" si="35"/>
        <v>Complete</v>
      </c>
      <c r="BE164" s="119" t="str">
        <f t="shared" si="36"/>
        <v>READY</v>
      </c>
    </row>
    <row r="165" spans="1:58">
      <c r="A165" s="2" t="str">
        <f>IFERROR(VLOOKUP(E165,'Customer '!$A$4:$D$23,3,FALSE),"")</f>
        <v>RH</v>
      </c>
      <c r="B165" s="2" t="s">
        <v>267</v>
      </c>
      <c r="C165" s="2" t="s">
        <v>282</v>
      </c>
      <c r="D165" s="2" t="s">
        <v>313</v>
      </c>
      <c r="E165" s="2" t="s">
        <v>61</v>
      </c>
      <c r="F165" s="2" t="str">
        <f>IFERROR(VLOOKUP(E165,'Customer '!$A$4:$D$28,2,FALSE),"")</f>
        <v>RH</v>
      </c>
      <c r="G165" s="2" t="s">
        <v>449</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5" s="2">
        <f ca="1">IF(OR($H165="",$B165=""),0,--(COUNTIFS($H$3:$H165,$H165,$B$3:$B165,$B165)=1))</f>
        <v>1</v>
      </c>
      <c r="J165" s="2" t="s">
        <v>300</v>
      </c>
      <c r="K165" s="2" t="s">
        <v>272</v>
      </c>
      <c r="L165" s="119" t="s">
        <v>354</v>
      </c>
      <c r="M165" s="281"/>
      <c r="N165" s="281"/>
      <c r="O165" s="282"/>
      <c r="P165" s="2" t="s">
        <v>51</v>
      </c>
      <c r="Q165" s="2" t="s">
        <v>450</v>
      </c>
      <c r="R165" s="2">
        <v>0</v>
      </c>
      <c r="S165" s="2">
        <v>0</v>
      </c>
      <c r="V165" s="274">
        <v>4</v>
      </c>
      <c r="X165" s="278" t="s">
        <v>149</v>
      </c>
      <c r="Y165" s="278" t="s">
        <v>149</v>
      </c>
      <c r="Z165" s="2" t="s">
        <v>297</v>
      </c>
      <c r="AA165" s="2" t="str">
        <f t="shared" si="37"/>
        <v>2026</v>
      </c>
      <c r="AB165" s="281"/>
      <c r="AC165" s="281"/>
      <c r="AD165" s="275">
        <v>46277</v>
      </c>
      <c r="AE165" s="275">
        <v>46277</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2026/W37</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2026/W37</v>
      </c>
      <c r="AI165" s="276"/>
      <c r="AJ165" s="281"/>
      <c r="AL165" s="254"/>
      <c r="AM165" s="281"/>
      <c r="AO165" s="281"/>
      <c r="AP165" s="281"/>
      <c r="AR165" s="281"/>
      <c r="AS165" s="281"/>
      <c r="AU165" s="281"/>
      <c r="AV165" s="281"/>
      <c r="AX165" s="281"/>
      <c r="AY165" s="281"/>
      <c r="BA165" s="281"/>
      <c r="BB165" s="281"/>
      <c r="BC165" s="2" t="str">
        <f t="shared" si="35"/>
        <v>Complete</v>
      </c>
      <c r="BE165" s="119" t="str">
        <f t="shared" si="36"/>
        <v>NPI: All development items approved/closed for SW37</v>
      </c>
      <c r="BF165" s="2" t="s">
        <v>451</v>
      </c>
    </row>
    <row r="166" spans="1:58">
      <c r="A166" s="2" t="str">
        <f>IFERROR(VLOOKUP(E166,'Customer '!$A$4:$D$23,3,FALSE),"")</f>
        <v>RH</v>
      </c>
      <c r="B166" s="2" t="s">
        <v>267</v>
      </c>
      <c r="C166" s="2" t="s">
        <v>427</v>
      </c>
      <c r="D166" s="2" t="s">
        <v>414</v>
      </c>
      <c r="E166" s="2" t="s">
        <v>61</v>
      </c>
      <c r="F166" s="2" t="str">
        <f>IFERROR(VLOOKUP(E166,'Customer '!$A$4:$D$28,2,FALSE),"")</f>
        <v>RH</v>
      </c>
      <c r="G166" s="2" t="s">
        <v>452</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6" s="2">
        <f ca="1">IF(OR($H166="",$B166=""),0,--(COUNTIFS($H$3:$H166,$H166,$B$3:$B166,$B166)=1))</f>
        <v>1</v>
      </c>
      <c r="J166" s="2" t="s">
        <v>310</v>
      </c>
      <c r="K166" s="2" t="s">
        <v>272</v>
      </c>
      <c r="L166" s="119" t="s">
        <v>311</v>
      </c>
      <c r="M166" s="281">
        <v>46239</v>
      </c>
      <c r="N166" s="281">
        <v>46241</v>
      </c>
      <c r="O166" s="282"/>
      <c r="P166" s="2" t="s">
        <v>51</v>
      </c>
      <c r="Q166" s="2" t="s">
        <v>152</v>
      </c>
      <c r="R166" s="2">
        <v>0</v>
      </c>
      <c r="S166" s="2">
        <v>0</v>
      </c>
      <c r="V166" s="274">
        <v>1</v>
      </c>
      <c r="W166" s="274">
        <v>7</v>
      </c>
      <c r="X166" s="278">
        <v>6068.79</v>
      </c>
      <c r="Y166" s="278">
        <v>6068.79</v>
      </c>
      <c r="Z166" s="2" t="s">
        <v>333</v>
      </c>
      <c r="AA166" s="2" t="str">
        <f t="shared" si="37"/>
        <v>2026</v>
      </c>
      <c r="AB166" s="281"/>
      <c r="AC166" s="281"/>
      <c r="AD166" s="275">
        <v>46360</v>
      </c>
      <c r="AE166" s="275">
        <v>46360</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2026/W49</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2026/W49</v>
      </c>
      <c r="AH166" s="2" t="s">
        <v>56</v>
      </c>
      <c r="AI166" s="276"/>
      <c r="AJ166" s="281">
        <v>46241</v>
      </c>
      <c r="AK166" s="2" t="s">
        <v>56</v>
      </c>
      <c r="AL166" s="281"/>
      <c r="AM166" s="281">
        <v>46241</v>
      </c>
      <c r="AN166" s="2" t="s">
        <v>56</v>
      </c>
      <c r="AO166" s="281"/>
      <c r="AP166" s="281">
        <v>46241</v>
      </c>
      <c r="AQ166" s="2" t="s">
        <v>56</v>
      </c>
      <c r="AR166" s="281"/>
      <c r="AS166" s="281">
        <v>46241</v>
      </c>
      <c r="AT166" s="2" t="s">
        <v>73</v>
      </c>
      <c r="AU166" s="281"/>
      <c r="AV166" s="281"/>
      <c r="AW166" s="2" t="s">
        <v>73</v>
      </c>
      <c r="AX166" s="281"/>
      <c r="AY166" s="281"/>
      <c r="AZ166" s="2" t="s">
        <v>73</v>
      </c>
      <c r="BA166" s="281"/>
      <c r="BB166" s="281"/>
      <c r="BC166" s="2" t="str">
        <f t="shared" si="35"/>
        <v>Active</v>
      </c>
      <c r="BE166" s="119" t="str">
        <f t="shared" si="36"/>
        <v>NPI: All development items approved/closed for SW49</v>
      </c>
    </row>
    <row r="167" spans="1:58">
      <c r="A167" s="2" t="str">
        <f>IFERROR(VLOOKUP(E167,'Customer '!$A$4:$D$25,3,FALSE),"")</f>
        <v>NON RH</v>
      </c>
      <c r="B167" s="2" t="s">
        <v>327</v>
      </c>
      <c r="C167" s="2" t="s">
        <v>352</v>
      </c>
      <c r="E167" s="2" t="s">
        <v>453</v>
      </c>
      <c r="F167" s="2" t="str">
        <f>IFERROR(VLOOKUP(E167,'Customer '!$A$4:$D$28,2,FALSE),"")</f>
        <v>SH</v>
      </c>
      <c r="G167" s="2" t="s">
        <v>454</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310</v>
      </c>
      <c r="K167" s="2" t="s">
        <v>272</v>
      </c>
      <c r="L167" s="119" t="s">
        <v>311</v>
      </c>
      <c r="M167" s="281"/>
      <c r="N167" s="281">
        <v>46275</v>
      </c>
      <c r="O167" s="282"/>
      <c r="P167" s="2" t="s">
        <v>433</v>
      </c>
      <c r="R167" s="2">
        <v>0</v>
      </c>
      <c r="S167" s="2">
        <v>0</v>
      </c>
      <c r="V167" s="274">
        <v>1</v>
      </c>
      <c r="W167" s="274">
        <v>1</v>
      </c>
      <c r="X167" s="278">
        <v>2230.98</v>
      </c>
      <c r="Y167" s="278">
        <v>2230.98</v>
      </c>
      <c r="Z167" s="2" t="s">
        <v>303</v>
      </c>
      <c r="AA167" s="2" t="str">
        <f t="shared" si="37"/>
        <v>2026</v>
      </c>
      <c r="AB167" s="281"/>
      <c r="AC167" s="281"/>
      <c r="AD167" s="275">
        <v>46346</v>
      </c>
      <c r="AE167" s="281">
        <v>46346</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2026/W47</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2026/W47</v>
      </c>
      <c r="AH167" s="2" t="s">
        <v>56</v>
      </c>
      <c r="AI167" s="276"/>
      <c r="AJ167" s="281"/>
      <c r="AK167" s="2" t="s">
        <v>56</v>
      </c>
      <c r="AL167" s="254"/>
      <c r="AM167" s="281"/>
      <c r="AO167" s="281"/>
      <c r="AP167" s="281"/>
      <c r="AR167" s="281"/>
      <c r="AS167" s="281"/>
      <c r="AU167" s="281"/>
      <c r="AV167" s="281"/>
      <c r="AX167" s="281"/>
      <c r="AY167" s="281"/>
      <c r="BA167" s="281"/>
      <c r="BB167" s="281"/>
      <c r="BC167" s="2" t="str">
        <f t="shared" si="35"/>
        <v>Active</v>
      </c>
      <c r="BE167" s="119" t="str">
        <f t="shared" si="36"/>
        <v>NPD: All development items approved/closed for SW47</v>
      </c>
    </row>
    <row r="168" spans="1:58">
      <c r="A168" s="2" t="str">
        <f>IFERROR(VLOOKUP(E168,'Customer '!$A$4:$D$25,3,FALSE),"")</f>
        <v>NON RH</v>
      </c>
      <c r="B168" s="2" t="s">
        <v>267</v>
      </c>
      <c r="C168" s="2" t="s">
        <v>352</v>
      </c>
      <c r="E168" s="2" t="s">
        <v>453</v>
      </c>
      <c r="F168" s="2" t="str">
        <f>IFERROR(VLOOKUP(E168,'Customer '!$A$4:$D$28,2,FALSE),"")</f>
        <v>SH</v>
      </c>
      <c r="G168" s="2" t="s">
        <v>454</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8" s="2">
        <f ca="1">IF(OR($H168="",$B168=""),0,--(COUNTIFS($H$3:$H168,$H168,$B$3:$B168,$B168)=1))</f>
        <v>1</v>
      </c>
      <c r="J168" s="2" t="s">
        <v>284</v>
      </c>
      <c r="K168" s="2" t="s">
        <v>272</v>
      </c>
      <c r="L168" s="119" t="s">
        <v>317</v>
      </c>
      <c r="M168" s="281"/>
      <c r="N168" s="281"/>
      <c r="O168" s="282"/>
      <c r="P168" s="2" t="s">
        <v>433</v>
      </c>
      <c r="R168" s="2">
        <v>1</v>
      </c>
      <c r="S168" s="2">
        <v>1</v>
      </c>
      <c r="V168" s="274">
        <v>4</v>
      </c>
      <c r="W168" s="274">
        <v>333</v>
      </c>
      <c r="X168" s="278">
        <v>210727.22</v>
      </c>
      <c r="Y168" s="278">
        <v>210727.22</v>
      </c>
      <c r="Z168" s="2" t="s">
        <v>337</v>
      </c>
      <c r="AA168" s="2" t="str">
        <f t="shared" si="37"/>
        <v>2027</v>
      </c>
      <c r="AB168" s="281"/>
      <c r="AC168" s="281"/>
      <c r="AD168" s="275">
        <v>46486</v>
      </c>
      <c r="AE168" s="281">
        <v>46493</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2027/W15</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2027/W16</v>
      </c>
      <c r="AH168" s="2" t="s">
        <v>304</v>
      </c>
      <c r="AI168" s="276"/>
      <c r="AJ168" s="281"/>
      <c r="AK168" s="2" t="s">
        <v>304</v>
      </c>
      <c r="AL168" s="254"/>
      <c r="AM168" s="281"/>
      <c r="AO168" s="281"/>
      <c r="AP168" s="281"/>
      <c r="AR168" s="281"/>
      <c r="AS168" s="281"/>
      <c r="AU168" s="281"/>
      <c r="AV168" s="281"/>
      <c r="AX168" s="281"/>
      <c r="AY168" s="281"/>
      <c r="BA168" s="281"/>
      <c r="BB168" s="281"/>
      <c r="BC168" s="2" t="str">
        <f t="shared" si="35"/>
        <v>Active</v>
      </c>
      <c r="BE168" s="119" t="str">
        <f t="shared" si="36"/>
        <v>NPI: In progress: Drawing, Veneer/Wood for SW16</v>
      </c>
    </row>
    <row r="169" spans="1:58">
      <c r="A169" s="2" t="str">
        <f>IFERROR(VLOOKUP(E169,'Customer '!$A$4:$D$26,3,FALSE),"")</f>
        <v>NON RH</v>
      </c>
      <c r="B169" s="2" t="s">
        <v>267</v>
      </c>
      <c r="C169" s="2" t="s">
        <v>427</v>
      </c>
      <c r="E169" s="2" t="s">
        <v>455</v>
      </c>
      <c r="F169" s="2" t="str">
        <f>IFERROR(VLOOKUP(E169,'Customer '!$A$4:$D$28,2,FALSE),"")</f>
        <v>AG</v>
      </c>
      <c r="G169" s="2" t="s">
        <v>456</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9" s="2">
        <f ca="1">IF(OR($H169="",$B169=""),0,--(COUNTIFS($H$3:$H169,$H169,$B$3:$B169,$B169)=1))</f>
        <v>1</v>
      </c>
      <c r="J169" s="2" t="s">
        <v>310</v>
      </c>
      <c r="K169" s="2" t="s">
        <v>272</v>
      </c>
      <c r="L169" s="119" t="s">
        <v>311</v>
      </c>
      <c r="M169" s="281"/>
      <c r="N169" s="281">
        <v>46239</v>
      </c>
      <c r="O169" s="282"/>
      <c r="P169" s="2" t="s">
        <v>433</v>
      </c>
      <c r="Q169" s="2" t="s">
        <v>433</v>
      </c>
      <c r="R169" s="2">
        <v>7</v>
      </c>
      <c r="S169" s="2">
        <v>9</v>
      </c>
      <c r="V169" s="274">
        <v>7</v>
      </c>
      <c r="W169" s="274">
        <v>9</v>
      </c>
      <c r="X169" s="278">
        <v>15139</v>
      </c>
      <c r="Y169" s="278">
        <v>15139</v>
      </c>
      <c r="Z169" s="2" t="s">
        <v>333</v>
      </c>
      <c r="AA169" s="2" t="str">
        <f t="shared" si="37"/>
        <v>2026</v>
      </c>
      <c r="AB169" s="281">
        <v>46352</v>
      </c>
      <c r="AC169" s="281">
        <v>46352</v>
      </c>
      <c r="AD169" s="275">
        <v>46360</v>
      </c>
      <c r="AE169" s="275">
        <v>46360</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2026/W49</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2026/W49</v>
      </c>
      <c r="AH169" s="2" t="s">
        <v>56</v>
      </c>
      <c r="AI169" s="276"/>
      <c r="AJ169" s="281"/>
      <c r="AK169" s="2" t="s">
        <v>56</v>
      </c>
      <c r="AL169" s="254"/>
      <c r="AM169" s="281"/>
      <c r="AN169" s="2" t="s">
        <v>56</v>
      </c>
      <c r="AO169" s="281"/>
      <c r="AP169" s="281"/>
      <c r="AR169" s="281"/>
      <c r="AS169" s="281"/>
      <c r="AU169" s="281"/>
      <c r="AV169" s="281"/>
      <c r="AX169" s="281"/>
      <c r="AY169" s="281"/>
      <c r="BA169" s="281"/>
      <c r="BB169" s="281"/>
      <c r="BC169" s="2" t="str">
        <f t="shared" si="35"/>
        <v>Active</v>
      </c>
      <c r="BE169" s="119" t="str">
        <f t="shared" si="36"/>
        <v>NPI: All development items approved/closed for SW49</v>
      </c>
    </row>
    <row r="170" spans="1:58">
      <c r="A170" s="2" t="str">
        <f>IFERROR(VLOOKUP(E170,'Customer '!$A$4:$D$26,3,FALSE),"")</f>
        <v>NON RH</v>
      </c>
      <c r="B170" s="2" t="s">
        <v>267</v>
      </c>
      <c r="C170" s="2" t="s">
        <v>427</v>
      </c>
      <c r="E170" s="2" t="s">
        <v>455</v>
      </c>
      <c r="F170" s="2" t="str">
        <f>IFERROR(VLOOKUP(E170,'Customer '!$A$4:$D$28,2,FALSE),"")</f>
        <v>AG</v>
      </c>
      <c r="G170" s="2" t="s">
        <v>457</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70" s="2">
        <f ca="1">IF(OR($H170="",$B170=""),0,--(COUNTIFS($H$3:$H170,$H170,$B$3:$B170,$B170)=1))</f>
        <v>1</v>
      </c>
      <c r="J170" s="2" t="s">
        <v>310</v>
      </c>
      <c r="K170" s="2" t="s">
        <v>272</v>
      </c>
      <c r="L170" s="119" t="s">
        <v>311</v>
      </c>
      <c r="M170" s="281"/>
      <c r="N170" s="281">
        <v>46245</v>
      </c>
      <c r="O170" s="282"/>
      <c r="P170" s="2" t="s">
        <v>433</v>
      </c>
      <c r="Q170" s="2" t="s">
        <v>433</v>
      </c>
      <c r="R170" s="2">
        <v>2</v>
      </c>
      <c r="S170" s="2">
        <v>2</v>
      </c>
      <c r="V170" s="274">
        <v>2</v>
      </c>
      <c r="W170" s="274">
        <v>2</v>
      </c>
      <c r="X170" s="278">
        <v>10410</v>
      </c>
      <c r="Y170" s="278">
        <v>10410</v>
      </c>
      <c r="Z170" s="2" t="s">
        <v>312</v>
      </c>
      <c r="AA170" s="2" t="str">
        <f t="shared" si="37"/>
        <v>2026</v>
      </c>
      <c r="AB170" s="281">
        <v>46352</v>
      </c>
      <c r="AC170" s="281">
        <v>46352</v>
      </c>
      <c r="AD170" s="275">
        <v>46346</v>
      </c>
      <c r="AE170" s="275">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76"/>
      <c r="AJ170" s="281"/>
      <c r="AK170" s="2" t="s">
        <v>56</v>
      </c>
      <c r="AL170" s="254"/>
      <c r="AM170" s="281"/>
      <c r="AN170" s="2" t="s">
        <v>56</v>
      </c>
      <c r="AO170" s="281"/>
      <c r="AP170" s="281"/>
      <c r="AR170" s="281"/>
      <c r="AS170" s="281"/>
      <c r="AU170" s="281"/>
      <c r="AV170" s="281"/>
      <c r="AX170" s="281"/>
      <c r="AY170" s="281"/>
      <c r="BA170" s="281"/>
      <c r="BB170" s="281"/>
      <c r="BC170" s="2" t="str">
        <f t="shared" si="35"/>
        <v>Active</v>
      </c>
      <c r="BE170" s="119" t="str">
        <f t="shared" si="36"/>
        <v>NPI: All development items approved/closed for SW47</v>
      </c>
    </row>
    <row r="171" spans="1:58">
      <c r="A171" s="2" t="str">
        <f>IFERROR(VLOOKUP(E171,'Customer '!$A$4:$D$26,3,FALSE),"")</f>
        <v>NON RH</v>
      </c>
      <c r="B171" s="2" t="s">
        <v>267</v>
      </c>
      <c r="C171" s="2" t="s">
        <v>427</v>
      </c>
      <c r="E171" s="2" t="s">
        <v>455</v>
      </c>
      <c r="F171" s="2" t="str">
        <f>IFERROR(VLOOKUP(E171,'Customer '!$A$4:$D$28,2,FALSE),"")</f>
        <v>AG</v>
      </c>
      <c r="G171" s="2" t="s">
        <v>458</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1" s="2">
        <f ca="1">IF(OR($H171="",$B171=""),0,--(COUNTIFS($H$3:$H171,$H171,$B$3:$B171,$B171)=1))</f>
        <v>1</v>
      </c>
      <c r="J171" s="2" t="s">
        <v>310</v>
      </c>
      <c r="K171" s="2" t="s">
        <v>272</v>
      </c>
      <c r="L171" s="119" t="s">
        <v>311</v>
      </c>
      <c r="M171" s="281"/>
      <c r="N171" s="281">
        <v>46245</v>
      </c>
      <c r="O171" s="282"/>
      <c r="P171" s="2" t="s">
        <v>433</v>
      </c>
      <c r="Q171" s="2" t="s">
        <v>433</v>
      </c>
      <c r="R171" s="2">
        <v>5</v>
      </c>
      <c r="S171" s="2">
        <v>9</v>
      </c>
      <c r="V171" s="274">
        <v>5</v>
      </c>
      <c r="W171" s="274">
        <v>9</v>
      </c>
      <c r="X171" s="278">
        <v>16944.240000000002</v>
      </c>
      <c r="Y171" s="278">
        <v>17615.419999999998</v>
      </c>
      <c r="Z171" s="2" t="s">
        <v>312</v>
      </c>
      <c r="AA171" s="2" t="str">
        <f t="shared" si="37"/>
        <v>2026</v>
      </c>
      <c r="AB171" s="281">
        <v>46352</v>
      </c>
      <c r="AC171" s="281">
        <v>46352</v>
      </c>
      <c r="AD171" s="275">
        <v>46346</v>
      </c>
      <c r="AE171" s="275">
        <v>46346</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2026/W47</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2026/W47</v>
      </c>
      <c r="AH171" s="2" t="s">
        <v>56</v>
      </c>
      <c r="AI171" s="276"/>
      <c r="AJ171" s="281"/>
      <c r="AK171" s="2" t="s">
        <v>56</v>
      </c>
      <c r="AL171" s="254"/>
      <c r="AM171" s="281"/>
      <c r="AN171" s="2" t="s">
        <v>56</v>
      </c>
      <c r="AO171" s="281"/>
      <c r="AP171" s="281"/>
      <c r="AR171" s="281"/>
      <c r="AS171" s="281"/>
      <c r="AU171" s="281"/>
      <c r="AV171" s="281"/>
      <c r="AX171" s="281"/>
      <c r="AY171" s="281"/>
      <c r="BA171" s="281"/>
      <c r="BB171" s="281"/>
      <c r="BC171" s="2" t="str">
        <f t="shared" si="35"/>
        <v>Active</v>
      </c>
      <c r="BE171" s="119" t="str">
        <f t="shared" si="36"/>
        <v>NPI: All development items approved/closed for SW47</v>
      </c>
    </row>
    <row r="172" spans="1:58">
      <c r="A172" s="2" t="str">
        <f>IFERROR(VLOOKUP(E172,'Customer '!$A$4:$D$23,3,FALSE),"")</f>
        <v>RH</v>
      </c>
      <c r="B172" s="2" t="s">
        <v>267</v>
      </c>
      <c r="C172" s="2" t="s">
        <v>308</v>
      </c>
      <c r="D172" s="2" t="s">
        <v>428</v>
      </c>
      <c r="E172" s="2" t="s">
        <v>61</v>
      </c>
      <c r="F172" s="2" t="str">
        <f>IFERROR(VLOOKUP(E172,'Customer '!$A$4:$D$28,2,FALSE),"")</f>
        <v>RH</v>
      </c>
      <c r="G172" s="2" t="s">
        <v>459</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2" s="2">
        <f ca="1">IF(OR($H172="",$B172=""),0,--(COUNTIFS($H$3:$H172,$H172,$B$3:$B172,$B172)=1))</f>
        <v>1</v>
      </c>
      <c r="J172" s="2" t="s">
        <v>321</v>
      </c>
      <c r="K172" s="2" t="s">
        <v>272</v>
      </c>
      <c r="L172" s="119" t="s">
        <v>285</v>
      </c>
      <c r="M172" s="281">
        <v>46276</v>
      </c>
      <c r="N172" s="281" t="s">
        <v>318</v>
      </c>
      <c r="O172" s="282"/>
      <c r="P172" s="2" t="s">
        <v>51</v>
      </c>
      <c r="Q172" s="2" t="s">
        <v>336</v>
      </c>
      <c r="R172" s="2">
        <v>0</v>
      </c>
      <c r="S172" s="2">
        <v>0</v>
      </c>
      <c r="V172" s="274">
        <v>4</v>
      </c>
      <c r="W172" s="274">
        <v>45</v>
      </c>
      <c r="X172" s="278">
        <v>47893.859999999993</v>
      </c>
      <c r="Y172" s="278">
        <v>47893.859999999993</v>
      </c>
      <c r="Z172" s="2" t="s">
        <v>460</v>
      </c>
      <c r="AA172" s="2" t="str">
        <f t="shared" si="37"/>
        <v>2028</v>
      </c>
      <c r="AB172" s="281"/>
      <c r="AC172" s="281"/>
      <c r="AD172" s="275" t="s">
        <v>149</v>
      </c>
      <c r="AE172" s="276"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322</v>
      </c>
      <c r="AI172" s="276"/>
      <c r="AJ172" s="281"/>
      <c r="AK172" s="2" t="s">
        <v>322</v>
      </c>
      <c r="AL172" s="281"/>
      <c r="AM172" s="281"/>
      <c r="AN172" s="2" t="s">
        <v>73</v>
      </c>
      <c r="AO172" s="281"/>
      <c r="AP172" s="281"/>
      <c r="AQ172" s="2" t="s">
        <v>322</v>
      </c>
      <c r="AR172" s="281"/>
      <c r="AS172" s="281"/>
      <c r="AT172" s="2" t="s">
        <v>73</v>
      </c>
      <c r="AU172" s="281"/>
      <c r="AV172" s="281"/>
      <c r="AW172" s="2" t="s">
        <v>73</v>
      </c>
      <c r="AX172" s="281"/>
      <c r="AY172" s="281"/>
      <c r="AZ172" s="2" t="s">
        <v>73</v>
      </c>
      <c r="BA172" s="281"/>
      <c r="BB172" s="281"/>
      <c r="BC172" s="2" t="str">
        <f t="shared" si="35"/>
        <v>Active</v>
      </c>
      <c r="BE172" s="119" t="str">
        <f t="shared" si="36"/>
        <v>NPI: Pending approval: Drawing, Veneer/Wood, Metal for SW TBC</v>
      </c>
    </row>
    <row r="173" spans="1:58" ht="28.8">
      <c r="A173" s="2" t="str">
        <f>IFERROR(VLOOKUP(E173,'Customer '!$A$4:$D$23,3,FALSE),"")</f>
        <v>RH</v>
      </c>
      <c r="B173" s="2" t="s">
        <v>267</v>
      </c>
      <c r="C173" s="2" t="s">
        <v>308</v>
      </c>
      <c r="E173" s="2" t="s">
        <v>61</v>
      </c>
      <c r="F173" s="2" t="str">
        <f>IFERROR(VLOOKUP(E173,'Customer '!$A$4:$D$28,2,FALSE),"")</f>
        <v>RH</v>
      </c>
      <c r="G173" s="2" t="s">
        <v>461</v>
      </c>
      <c r="H1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3" s="2">
        <f ca="1">IF(OR($H173="",$B173=""),0,--(COUNTIFS($H$3:$H173,$H173,$B$3:$B173,$B173)=1))</f>
        <v>1</v>
      </c>
      <c r="J173" s="2" t="s">
        <v>284</v>
      </c>
      <c r="K173" s="2" t="s">
        <v>272</v>
      </c>
      <c r="L173" s="119" t="s">
        <v>285</v>
      </c>
      <c r="M173" s="281"/>
      <c r="N173" s="281"/>
      <c r="O173" s="282"/>
      <c r="P173" s="2" t="s">
        <v>51</v>
      </c>
      <c r="Q173" s="2" t="s">
        <v>336</v>
      </c>
      <c r="R173" s="2">
        <v>0</v>
      </c>
      <c r="S173" s="2">
        <v>0</v>
      </c>
      <c r="X173" s="278">
        <v>228194</v>
      </c>
      <c r="Y173" s="278">
        <v>228194</v>
      </c>
      <c r="Z173" s="2" t="s">
        <v>286</v>
      </c>
      <c r="AA173" s="2" t="str">
        <f t="shared" ref="AA173:AA179" si="38">IF(Z173="","",IF(OR(Z173="TBC",Z173="Removed"),Z173,LEFT(Z173,4)))</f>
        <v>2027</v>
      </c>
      <c r="AB173" s="281"/>
      <c r="AC173" s="281"/>
      <c r="AD173" s="275" t="s">
        <v>149</v>
      </c>
      <c r="AE173" s="276" t="s">
        <v>149</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TBC</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TBC</v>
      </c>
      <c r="AH173" s="2" t="s">
        <v>287</v>
      </c>
      <c r="AI173" s="276"/>
      <c r="AJ173" s="281"/>
      <c r="AK173" s="2" t="s">
        <v>287</v>
      </c>
      <c r="AL173" s="281"/>
      <c r="AM173" s="281"/>
      <c r="AN173" s="2" t="s">
        <v>287</v>
      </c>
      <c r="AO173" s="281"/>
      <c r="AP173" s="281"/>
      <c r="AQ173" s="2" t="s">
        <v>304</v>
      </c>
      <c r="AR173" s="281"/>
      <c r="AS173" s="281"/>
      <c r="AT173" s="2" t="s">
        <v>73</v>
      </c>
      <c r="AU173" s="281"/>
      <c r="AV173" s="281"/>
      <c r="AW173" s="2" t="s">
        <v>73</v>
      </c>
      <c r="AX173" s="281"/>
      <c r="AY173" s="281"/>
      <c r="AZ173" s="2" t="s">
        <v>73</v>
      </c>
      <c r="BA173" s="281"/>
      <c r="BB173" s="281"/>
      <c r="BC173" s="2" t="str">
        <f t="shared" si="35"/>
        <v>Active</v>
      </c>
      <c r="BE173" s="119" t="str">
        <f>IF(UPPER(TRIM(J173))="SHIPPED","READY",_xlfn.LET(_xlpm.stage,IF(B173="","",B173&amp;": "),_xlpm.ip,_xlfn.TEXTJOIN(", ",TRUE,IF(LOWER(AH173)="in progress","Drawing",""),IF(LOWER(AK173)="in progress","Veneer/Wood",""),IF(LOWER(AN191)="in progress","Marble",""),IF(LOWER(AQ173)="in progress","Metal",""),IF(LOWER(AT173)="in progress","Mirror",""),IF(LOWER(AW173)="in progress","Electrical",""),IF(LOWER(AZ173)="in progress","Fabric","")),_xlpm.pa,_xlfn.TEXTJOIN(", ",TRUE,IF(LOWER(AH173)="pending approval","Drawing",""),IF(LOWER(AK173)="pending approval","Veneer/Wood",""),IF(LOWER(AN191)="pending approval","Marble",""),IF(LOWER(AQ173)="pending approval","Metal",""),IF(LOWER(AT173)="pending approval","Mirror",""),IF(LOWER(AW173)="pending approval","Electrical",""),IF(LOWER(AZ173)="pending approval","Fabric","")),_xlpm.ns,_xlfn.TEXTJOIN(", ",TRUE,IF(LOWER(AH173)="not started","Drawing",""),IF(LOWER(AK173)="not started","Veneer/Wood",""),IF(LOWER(AN191)="not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191&lt;&gt;"",LOWER(AN191)&lt;&gt;"approved",LOWER(AN191)&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Metal; Not started: Drawing, Veneer/Wood, Marble for SW TBC</v>
      </c>
    </row>
    <row r="174" spans="1:58">
      <c r="A174" s="2" t="str">
        <f>IFERROR(VLOOKUP(E174,'Customer '!$A$4:$D$23,3,FALSE),"")</f>
        <v>NON RH</v>
      </c>
      <c r="B174" s="2" t="s">
        <v>267</v>
      </c>
      <c r="C174" s="2" t="s">
        <v>462</v>
      </c>
      <c r="E174" s="2" t="s">
        <v>430</v>
      </c>
      <c r="F174" s="2" t="str">
        <f>IFERROR(VLOOKUP(E174,'Customer '!$A$4:$D$28,2,FALSE),"")</f>
        <v>BISCAYNE</v>
      </c>
      <c r="G174" s="2" t="s">
        <v>463</v>
      </c>
      <c r="H174" s="2" t="s">
        <v>464</v>
      </c>
      <c r="I174" s="2">
        <f ca="1">IF(OR($H174="",$B174=""),0,--(COUNTIFS($H$3:$H174,$H174,$B$3:$B174,$B174)=1))</f>
        <v>1</v>
      </c>
      <c r="J174" s="2" t="s">
        <v>475</v>
      </c>
      <c r="K174" s="2" t="s">
        <v>272</v>
      </c>
      <c r="L174" s="119" t="s">
        <v>317</v>
      </c>
      <c r="M174" s="281"/>
      <c r="N174" s="281"/>
      <c r="O174" s="282"/>
      <c r="P174" s="2" t="s">
        <v>51</v>
      </c>
      <c r="Q174" s="2" t="s">
        <v>465</v>
      </c>
      <c r="R174" s="2">
        <v>17</v>
      </c>
      <c r="S174" s="2">
        <v>41</v>
      </c>
      <c r="V174" s="274">
        <v>28</v>
      </c>
      <c r="W174" s="274">
        <v>162</v>
      </c>
      <c r="X174" s="278">
        <v>156985.75999999995</v>
      </c>
      <c r="Y174" s="278">
        <v>156985.75999999995</v>
      </c>
      <c r="Z174" s="2" t="s">
        <v>319</v>
      </c>
      <c r="AA174" s="2" t="str">
        <f t="shared" si="38"/>
        <v>2027</v>
      </c>
      <c r="AB174" s="281">
        <v>46367</v>
      </c>
      <c r="AC174" s="281">
        <v>46367</v>
      </c>
      <c r="AD174" s="275">
        <v>46388</v>
      </c>
      <c r="AE174" s="281">
        <v>46416</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2027/W05</v>
      </c>
      <c r="AH174" s="2" t="s">
        <v>304</v>
      </c>
      <c r="AI174" s="276"/>
      <c r="AJ174" s="281"/>
      <c r="AK174" s="2" t="s">
        <v>304</v>
      </c>
      <c r="AL174" s="254"/>
      <c r="AM174" s="281"/>
      <c r="AO174" s="281"/>
      <c r="AP174" s="281"/>
      <c r="AR174" s="281"/>
      <c r="AS174" s="281"/>
      <c r="AU174" s="281"/>
      <c r="AV174" s="281"/>
      <c r="AX174" s="281"/>
      <c r="AY174" s="281"/>
      <c r="BA174" s="281"/>
      <c r="BB174" s="281"/>
      <c r="BC174" s="2" t="str">
        <f t="shared" si="35"/>
        <v>Complete</v>
      </c>
      <c r="BD174" s="2" t="s">
        <v>278</v>
      </c>
      <c r="BE174" s="119" t="str">
        <f t="shared" ref="BE174:BE190" si="39">IF(UPPER(TRIM(J174))="SHIPPED","READY",_xlfn.LET(_xlpm.stage,IF(B174="","",B174&amp;": "),_xlpm.ip,_xlfn.TEXTJOIN(", ",TRUE,IF(LOWER(AH174)="in progress","Drawing",""),IF(LOWER(AK174)="in progress","Veneer/Wood",""),IF(LOWER(AN174)="in progress","Marble",""),IF(LOWER(AQ174)="in progress","Metal",""),IF(LOWER(AT174)="in progress","Mirror",""),IF(LOWER(AW174)="in progress","Electrical",""),IF(LOWER(AZ174)="in progress","Fabric","")),_xlpm.pa,_xlfn.TEXTJOIN(", ",TRUE,IF(LOWER(AH174)="pending approval","Drawing",""),IF(LOWER(AK174)="pending approval","Veneer/Wood",""),IF(LOWER(AN174)="pending approval","Marble",""),IF(LOWER(AQ174)="pending approval","Metal",""),IF(LOWER(AT174)="pending approval","Mirror",""),IF(LOWER(AW174)="pending approval","Electrical",""),IF(LOWER(AZ174)="pending approval","Fabric","")),_xlpm.ns,_xlfn.TEXTJOIN(", ",TRUE,IF(LOWER(AH174)="not started","Drawing",""),IF(LOWER(AK174)="not started","Veneer/Wood",""),IF(LOWER(AN174)="not started","Marble",""),IF(LOWER(AQ174)="not started","Metal",""),IF(LOWER(AT174)="not started","Mirror",""),IF(LOWER(AW174)="not started","Electrical",""),IF(LOWER(AZ174)="not started","Fabric","")),_xlpm.fab,IF(OR(LOWER(AZ174)="com",LOWER(AZ174)="com pending",LOWER(AZ174)="com received"),"Fabric is "&amp;LOWER(AZ174),""),_xlpm.parts,_xlfn.TEXTJOIN("; ",TRUE,IF(_xlpm.ip&lt;&gt;"","In progress: "&amp;_xlpm.ip,""),IF(_xlpm.pa&lt;&gt;"","Pending approval: "&amp;_xlpm.pa,""),IF(_xlpm.ns&lt;&gt;"","Not started: "&amp;_xlpm.ns,""),_xlpm.fab),_xlpm.deadline,MIN(IF(AND(AH174&lt;&gt;"",LOWER(AH174)&lt;&gt;"approved",LOWER(AH174)&lt;&gt;"n/a",ISNUMBER(AI174)),AI174,1E+99),IF(AND(AK174&lt;&gt;"",LOWER(AK174)&lt;&gt;"approved",LOWER(AK174)&lt;&gt;"n/a",ISNUMBER(AL174)),AL174,1E+99),IF(AND(AN174&lt;&gt;"",LOWER(AN174)&lt;&gt;"approved",LOWER(AN174)&lt;&gt;"n/a",ISNUMBER(AO174)),AO174,1E+99),IF(AND(AQ174&lt;&gt;"",LOWER(AQ174)&lt;&gt;"approved",LOWER(AQ174)&lt;&gt;"n/a",ISNUMBER(AR174)),AR174,1E+99),IF(AND(AT174&lt;&gt;"",LOWER(AT174)&lt;&gt;"approved",LOWER(AT174)&lt;&gt;"n/a",ISNUMBER(AU174)),AU174,1E+99),IF(AND(AW174&lt;&gt;"",LOWER(AW174)&lt;&gt;"approved",LOWER(AW174)&lt;&gt;"n/a",ISNUMBER(AX174)),AX174,1E+99),IF(AND(AZ174&lt;&gt;"",LOWER(AZ174)&lt;&gt;"approved",LOWER(AZ174)&lt;&gt;"n/a",ISNUMBER(BA174)),BA174,1E+99)),_xlpm.sw,IF(AG174="","",IFERROR("SW"&amp;MID(AG174,FIND("/W",AG174)+2,99),"SW "&amp;AG174)),_xlpm.stage&amp;IF(_xlpm.parts="","All development items approved/closed",_xlpm.parts)&amp;IF(AND(_xlpm.parts&lt;&gt;"",_xlpm.deadline&lt;1E+99),"; need approval by "&amp;TEXT(_xlpm.deadline,"d-mmm-yy"),"")&amp;IF(_xlpm.sw&lt;&gt;""," for "&amp;_xlpm.sw,"")))</f>
        <v>NPI: In progress: Drawing, Veneer/Wood for SW05</v>
      </c>
    </row>
    <row r="175" spans="1:58" ht="43.2">
      <c r="A175" s="2" t="str">
        <f>IFERROR(VLOOKUP(E175,'Customer '!$A$4:$D$23,3,FALSE),"")</f>
        <v>NON RH</v>
      </c>
      <c r="B175" s="2" t="s">
        <v>267</v>
      </c>
      <c r="C175" s="2" t="s">
        <v>298</v>
      </c>
      <c r="E175" s="2" t="s">
        <v>430</v>
      </c>
      <c r="F175" s="2" t="str">
        <f>IFERROR(VLOOKUP(E175,'Customer '!$A$4:$D$28,2,FALSE),"")</f>
        <v>BISCAYNE</v>
      </c>
      <c r="G175" s="2" t="s">
        <v>466</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5" s="2">
        <f ca="1">IF(OR($H175="",$B175=""),0,--(COUNTIFS($H$3:$H175,$H175,$B$3:$B175,$B175)=1))</f>
        <v>1</v>
      </c>
      <c r="J175" s="2" t="s">
        <v>310</v>
      </c>
      <c r="K175" s="2" t="s">
        <v>272</v>
      </c>
      <c r="L175" s="119" t="s">
        <v>380</v>
      </c>
      <c r="M175" s="281">
        <v>46252</v>
      </c>
      <c r="N175" s="281">
        <v>46251</v>
      </c>
      <c r="O175" s="282" t="s">
        <v>467</v>
      </c>
      <c r="P175" s="2" t="s">
        <v>51</v>
      </c>
      <c r="Q175" s="2" t="s">
        <v>51</v>
      </c>
      <c r="R175" s="2">
        <v>25</v>
      </c>
      <c r="S175" s="2">
        <v>57</v>
      </c>
      <c r="V175" s="274">
        <v>35</v>
      </c>
      <c r="W175" s="274">
        <v>98</v>
      </c>
      <c r="X175" s="278">
        <v>83963.209999999992</v>
      </c>
      <c r="Y175" s="278">
        <v>83963.209999999992</v>
      </c>
      <c r="Z175" s="2" t="s">
        <v>319</v>
      </c>
      <c r="AA175" s="2" t="str">
        <f t="shared" si="38"/>
        <v>2027</v>
      </c>
      <c r="AB175" s="281">
        <v>46367</v>
      </c>
      <c r="AC175" s="281">
        <v>46367</v>
      </c>
      <c r="AD175" s="275">
        <v>46388</v>
      </c>
      <c r="AE175" s="281">
        <v>46409</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2027/W01</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2027/W04</v>
      </c>
      <c r="AH175" s="2" t="s">
        <v>322</v>
      </c>
      <c r="AI175" s="276">
        <v>46297</v>
      </c>
      <c r="AJ175" s="281"/>
      <c r="AK175" s="2" t="s">
        <v>322</v>
      </c>
      <c r="AL175" s="254">
        <v>46297</v>
      </c>
      <c r="AM175" s="281"/>
      <c r="AN175" s="2" t="s">
        <v>304</v>
      </c>
      <c r="AO175" s="281">
        <v>46297</v>
      </c>
      <c r="AP175" s="281"/>
      <c r="AQ175" s="2" t="s">
        <v>304</v>
      </c>
      <c r="AR175" s="281">
        <v>46297</v>
      </c>
      <c r="AS175" s="281"/>
      <c r="AT175" s="2" t="s">
        <v>304</v>
      </c>
      <c r="AU175" s="281">
        <v>46297</v>
      </c>
      <c r="AV175" s="281"/>
      <c r="AW175" s="2" t="s">
        <v>304</v>
      </c>
      <c r="AX175" s="281">
        <v>46297</v>
      </c>
      <c r="AY175" s="281"/>
      <c r="AZ175" s="2" t="s">
        <v>342</v>
      </c>
      <c r="BA175" s="281"/>
      <c r="BB175" s="281"/>
      <c r="BC175" s="2" t="str">
        <f t="shared" si="35"/>
        <v>Active</v>
      </c>
      <c r="BD175" s="2" t="s">
        <v>278</v>
      </c>
      <c r="BE175" s="119" t="str">
        <f t="shared" si="39"/>
        <v>NPI: In progress: Marble, Metal, Mirror, Electrical; Pending approval: Drawing, Veneer/Wood; Fabric is com pending; need approval by 2-Oct-26 for SW04</v>
      </c>
    </row>
    <row r="176" spans="1:58">
      <c r="A176" s="2" t="str">
        <f>IFERROR(VLOOKUP(E176,'Customer '!$A$4:$D$23,3,FALSE),"")</f>
        <v>NON RH</v>
      </c>
      <c r="B176" s="2" t="s">
        <v>267</v>
      </c>
      <c r="C176" s="2" t="s">
        <v>427</v>
      </c>
      <c r="D176" s="2" t="s">
        <v>397</v>
      </c>
      <c r="E176" s="2" t="s">
        <v>98</v>
      </c>
      <c r="F176" s="2" t="str">
        <f>IFERROR(VLOOKUP(E176,'Customer '!$A$4:$D$28,2,FALSE),"")</f>
        <v xml:space="preserve">FLEETWOOD </v>
      </c>
      <c r="G176" s="2" t="s">
        <v>468</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6" s="2">
        <f ca="1">IF(OR($H176="",$B176=""),0,--(COUNTIFS($H$3:$H176,$H176,$B$3:$B176,$B176)=1))</f>
        <v>1</v>
      </c>
      <c r="J176" s="2" t="s">
        <v>310</v>
      </c>
      <c r="K176" s="2" t="s">
        <v>272</v>
      </c>
      <c r="L176" s="119" t="s">
        <v>311</v>
      </c>
      <c r="M176" s="281">
        <v>46259</v>
      </c>
      <c r="N176" s="281">
        <v>46259</v>
      </c>
      <c r="O176" s="282" t="s">
        <v>469</v>
      </c>
      <c r="P176" s="2" t="s">
        <v>51</v>
      </c>
      <c r="Q176" s="2" t="s">
        <v>470</v>
      </c>
      <c r="R176" s="2">
        <v>1</v>
      </c>
      <c r="S176" s="2">
        <v>1</v>
      </c>
      <c r="T176" s="2">
        <v>1</v>
      </c>
      <c r="V176" s="274">
        <v>1</v>
      </c>
      <c r="W176" s="274">
        <v>1</v>
      </c>
      <c r="X176" s="278">
        <v>3202</v>
      </c>
      <c r="Y176" s="278">
        <v>3202</v>
      </c>
      <c r="Z176" s="2" t="s">
        <v>333</v>
      </c>
      <c r="AA176" s="2" t="str">
        <f t="shared" si="38"/>
        <v>2026</v>
      </c>
      <c r="AB176" s="281">
        <v>46372</v>
      </c>
      <c r="AC176" s="281">
        <v>46372</v>
      </c>
      <c r="AD176" s="275">
        <v>46360</v>
      </c>
      <c r="AE176" s="281">
        <v>46360</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2026/W49</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2026/W49</v>
      </c>
      <c r="AH176" s="2" t="s">
        <v>56</v>
      </c>
      <c r="AI176" s="276"/>
      <c r="AJ176" s="281">
        <v>46272</v>
      </c>
      <c r="AK176" s="2" t="s">
        <v>56</v>
      </c>
      <c r="AL176" s="276"/>
      <c r="AM176" s="281">
        <v>46276</v>
      </c>
      <c r="AN176" s="2" t="s">
        <v>56</v>
      </c>
      <c r="AO176" s="281"/>
      <c r="AP176" s="281">
        <v>46276</v>
      </c>
      <c r="AQ176" s="2" t="s">
        <v>56</v>
      </c>
      <c r="AR176" s="281"/>
      <c r="AS176" s="281">
        <v>46279</v>
      </c>
      <c r="AT176" s="2" t="s">
        <v>73</v>
      </c>
      <c r="AU176" s="281"/>
      <c r="AV176" s="281"/>
      <c r="AW176" s="2" t="s">
        <v>73</v>
      </c>
      <c r="AX176" s="281"/>
      <c r="AY176" s="281"/>
      <c r="AZ176" s="2" t="s">
        <v>73</v>
      </c>
      <c r="BA176" s="281"/>
      <c r="BB176" s="281"/>
      <c r="BC176" s="2" t="str">
        <f t="shared" si="35"/>
        <v>Active</v>
      </c>
      <c r="BE176" s="119" t="str">
        <f t="shared" si="39"/>
        <v>NPI: All development items approved/closed for SW49</v>
      </c>
      <c r="BF176" s="2" t="s">
        <v>471</v>
      </c>
    </row>
    <row r="177" spans="1:58">
      <c r="A177" s="2" t="str">
        <f>IFERROR(VLOOKUP(E177,'Customer '!$A$4:$D$23,3,FALSE),"")</f>
        <v>RH</v>
      </c>
      <c r="B177" s="2" t="s">
        <v>327</v>
      </c>
      <c r="C177" s="2" t="s">
        <v>328</v>
      </c>
      <c r="D177" s="2" t="s">
        <v>313</v>
      </c>
      <c r="E177" s="2" t="s">
        <v>61</v>
      </c>
      <c r="F177" s="2" t="str">
        <f>IFERROR(VLOOKUP(E177,'Customer '!$A$4:$D$28,2,FALSE),"")</f>
        <v>RH</v>
      </c>
      <c r="G177" s="2" t="s">
        <v>472</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372</v>
      </c>
      <c r="K177" s="2" t="s">
        <v>272</v>
      </c>
      <c r="L177" s="119" t="s">
        <v>285</v>
      </c>
      <c r="M177" s="281"/>
      <c r="N177" s="281"/>
      <c r="O177" s="282"/>
      <c r="P177" s="2" t="s">
        <v>439</v>
      </c>
      <c r="V177" s="274">
        <v>32</v>
      </c>
      <c r="W177" s="274">
        <v>33</v>
      </c>
      <c r="X177" s="278">
        <v>13804.520000000004</v>
      </c>
      <c r="Y177" s="278">
        <v>13804.520000000004</v>
      </c>
      <c r="Z177" s="2" t="s">
        <v>333</v>
      </c>
      <c r="AA177" s="2" t="str">
        <f t="shared" ref="AA177" si="40">IF(Z177="","",IF(OR(Z177="TBC",Z177="Removed"),Z177,LEFT(Z177,4)))</f>
        <v>2026</v>
      </c>
      <c r="AB177" s="281"/>
      <c r="AC177" s="281"/>
      <c r="AD177" s="275">
        <v>46367</v>
      </c>
      <c r="AE177" s="281">
        <v>46381</v>
      </c>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2026/W50</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2026/W52</v>
      </c>
      <c r="AH177" s="2" t="s">
        <v>304</v>
      </c>
      <c r="AI177" s="276"/>
      <c r="AJ177" s="281"/>
      <c r="AL177" s="254"/>
      <c r="AM177" s="281"/>
      <c r="AO177" s="281"/>
      <c r="AP177" s="281"/>
      <c r="AR177" s="281"/>
      <c r="AS177" s="281"/>
      <c r="AU177" s="281"/>
      <c r="AV177" s="281"/>
      <c r="AX177" s="281"/>
      <c r="AY177" s="281"/>
      <c r="BA177" s="281"/>
      <c r="BB177" s="281"/>
      <c r="BC177" s="2" t="str">
        <f t="shared" si="35"/>
        <v>Complete</v>
      </c>
      <c r="BE177" s="119" t="str">
        <f t="shared" si="39"/>
        <v>NPD: In progress: Drawing for SW52</v>
      </c>
    </row>
    <row r="178" spans="1:58">
      <c r="A178" s="2" t="str">
        <f>IFERROR(VLOOKUP(E178,'Customer '!$A$4:$D$23,3,FALSE),"")</f>
        <v>RH</v>
      </c>
      <c r="B178" s="2" t="s">
        <v>267</v>
      </c>
      <c r="C178" s="2" t="s">
        <v>328</v>
      </c>
      <c r="D178" s="2" t="s">
        <v>313</v>
      </c>
      <c r="E178" s="2" t="s">
        <v>61</v>
      </c>
      <c r="F178" s="2" t="str">
        <f>IFERROR(VLOOKUP(E178,'Customer '!$A$4:$D$28,2,FALSE),"")</f>
        <v>RH</v>
      </c>
      <c r="G178" s="2" t="s">
        <v>472</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1</v>
      </c>
      <c r="J178" s="2" t="s">
        <v>372</v>
      </c>
      <c r="K178" s="2" t="s">
        <v>272</v>
      </c>
      <c r="L178" s="119" t="s">
        <v>285</v>
      </c>
      <c r="M178" s="281"/>
      <c r="N178" s="281"/>
      <c r="O178" s="282"/>
      <c r="P178" s="2" t="s">
        <v>439</v>
      </c>
      <c r="R178" s="2">
        <v>0</v>
      </c>
      <c r="S178" s="2">
        <v>0</v>
      </c>
      <c r="V178" s="274">
        <v>32</v>
      </c>
      <c r="X178" s="278">
        <v>1474339</v>
      </c>
      <c r="Y178" s="278">
        <f>DetailTracker[[#This Row],[PROJECT VALUE $]]/2</f>
        <v>737169.5</v>
      </c>
      <c r="Z178" s="2" t="s">
        <v>358</v>
      </c>
      <c r="AA178" s="2" t="str">
        <f t="shared" si="38"/>
        <v>2027</v>
      </c>
      <c r="AB178" s="281"/>
      <c r="AC178" s="281"/>
      <c r="AE178" s="281"/>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76"/>
      <c r="AJ178" s="281"/>
      <c r="AL178" s="254"/>
      <c r="AM178" s="281"/>
      <c r="AO178" s="281"/>
      <c r="AP178" s="281"/>
      <c r="AR178" s="281"/>
      <c r="AS178" s="281"/>
      <c r="AU178" s="281"/>
      <c r="AV178" s="281"/>
      <c r="AX178" s="281"/>
      <c r="AY178" s="281"/>
      <c r="BA178" s="281"/>
      <c r="BB178" s="281"/>
      <c r="BC178" s="2" t="str">
        <f t="shared" si="35"/>
        <v>Complete</v>
      </c>
      <c r="BE178" s="119" t="str">
        <f t="shared" si="39"/>
        <v>NPI: In progress: Drawing</v>
      </c>
    </row>
    <row r="179" spans="1:58">
      <c r="A179" s="2" t="str">
        <f>IFERROR(VLOOKUP(E179,'Customer '!$A$4:$D$23,3,FALSE),"")</f>
        <v>RH</v>
      </c>
      <c r="B179" s="2" t="s">
        <v>267</v>
      </c>
      <c r="C179" s="2" t="s">
        <v>328</v>
      </c>
      <c r="D179" s="2" t="s">
        <v>313</v>
      </c>
      <c r="E179" s="2" t="s">
        <v>61</v>
      </c>
      <c r="F179" s="2" t="str">
        <f>IFERROR(VLOOKUP(E179,'Customer '!$A$4:$D$28,2,FALSE),"")</f>
        <v>RH</v>
      </c>
      <c r="G179" s="2" t="s">
        <v>472</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9" s="2">
        <f ca="1">IF(OR($H179="",$B179=""),0,--(COUNTIFS($H$3:$H179,$H179,$B$3:$B179,$B179)=1))</f>
        <v>0</v>
      </c>
      <c r="J179" s="2" t="s">
        <v>372</v>
      </c>
      <c r="K179" s="2" t="s">
        <v>272</v>
      </c>
      <c r="L179" s="119" t="s">
        <v>285</v>
      </c>
      <c r="M179" s="281"/>
      <c r="N179" s="281"/>
      <c r="O179" s="282"/>
      <c r="P179" s="2" t="s">
        <v>439</v>
      </c>
      <c r="R179" s="2">
        <v>0</v>
      </c>
      <c r="S179" s="2">
        <v>0</v>
      </c>
      <c r="V179" s="274">
        <v>32</v>
      </c>
      <c r="X179" s="278">
        <v>1474339</v>
      </c>
      <c r="Y179" s="278">
        <v>737169.5</v>
      </c>
      <c r="Z179" s="2" t="s">
        <v>359</v>
      </c>
      <c r="AA179" s="2" t="str">
        <f t="shared" si="38"/>
        <v>2027</v>
      </c>
      <c r="AB179" s="281"/>
      <c r="AC179" s="281"/>
      <c r="AE179" s="281"/>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
      </c>
      <c r="AH179" s="2" t="s">
        <v>304</v>
      </c>
      <c r="AI179" s="276"/>
      <c r="AJ179" s="281"/>
      <c r="AL179" s="254"/>
      <c r="AM179" s="281"/>
      <c r="AO179" s="281"/>
      <c r="AP179" s="281"/>
      <c r="AR179" s="281"/>
      <c r="AS179" s="281"/>
      <c r="AU179" s="281"/>
      <c r="AV179" s="281"/>
      <c r="AX179" s="281"/>
      <c r="AY179" s="281"/>
      <c r="BA179" s="281"/>
      <c r="BB179" s="281"/>
      <c r="BC179" s="2" t="str">
        <f t="shared" si="35"/>
        <v>Complete</v>
      </c>
      <c r="BE179" s="119" t="str">
        <f t="shared" si="39"/>
        <v>NPI: In progress: Drawing</v>
      </c>
    </row>
    <row r="180" spans="1:58" ht="28.8">
      <c r="A180" s="2" t="str">
        <f>IFERROR(VLOOKUP(E180,'Customer '!$A$4:$D$23,3,FALSE),"")</f>
        <v>NON RH</v>
      </c>
      <c r="B180" s="2" t="s">
        <v>327</v>
      </c>
      <c r="C180" s="2" t="s">
        <v>427</v>
      </c>
      <c r="E180" s="2" t="s">
        <v>430</v>
      </c>
      <c r="F180" s="2" t="str">
        <f>IFERROR(VLOOKUP(E180,'Customer '!$A$4:$D$28,2,FALSE),"")</f>
        <v>BISCAYNE</v>
      </c>
      <c r="G180" s="2" t="s">
        <v>473</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80" s="2">
        <f ca="1">IF(OR($H180="",$B180=""),0,--(COUNTIFS($H$3:$H180,$H180,$B$3:$B180,$B180)=1))</f>
        <v>1</v>
      </c>
      <c r="J180" s="2" t="s">
        <v>133</v>
      </c>
      <c r="K180" s="2" t="s">
        <v>272</v>
      </c>
      <c r="L180" s="119" t="s">
        <v>317</v>
      </c>
      <c r="M180" s="281">
        <v>46263</v>
      </c>
      <c r="N180" s="281">
        <v>46263</v>
      </c>
      <c r="O180" s="282">
        <v>46290</v>
      </c>
      <c r="P180" s="2" t="s">
        <v>51</v>
      </c>
      <c r="Q180" s="2" t="s">
        <v>51</v>
      </c>
      <c r="R180" s="2">
        <v>0</v>
      </c>
      <c r="S180" s="2">
        <v>0</v>
      </c>
      <c r="V180" s="274">
        <v>15</v>
      </c>
      <c r="W180" s="274">
        <v>22</v>
      </c>
      <c r="X180" s="278">
        <v>17279</v>
      </c>
      <c r="Y180" s="278">
        <v>17279</v>
      </c>
      <c r="Z180" s="2" t="s">
        <v>319</v>
      </c>
      <c r="AA180" s="2" t="str">
        <f>IF(Z180="","",IF(OR(Z180="TBC",Z180="Removed"),Z180,LEFT(Z180,4)))</f>
        <v>2027</v>
      </c>
      <c r="AB180" s="281">
        <v>46381</v>
      </c>
      <c r="AC180" s="281">
        <v>46381</v>
      </c>
      <c r="AD180" s="275">
        <v>46402</v>
      </c>
      <c r="AE180" s="281">
        <v>46402</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2027/W03</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2027/W03</v>
      </c>
      <c r="AH180" s="2" t="s">
        <v>304</v>
      </c>
      <c r="AI180" s="276">
        <v>46297</v>
      </c>
      <c r="AJ180" s="281"/>
      <c r="AK180" s="2" t="s">
        <v>304</v>
      </c>
      <c r="AL180" s="254">
        <v>46297</v>
      </c>
      <c r="AM180" s="281"/>
      <c r="AN180" s="2" t="s">
        <v>304</v>
      </c>
      <c r="AO180" s="281">
        <v>46297</v>
      </c>
      <c r="AP180" s="281"/>
      <c r="AQ180" s="2" t="s">
        <v>304</v>
      </c>
      <c r="AR180" s="281">
        <v>46297</v>
      </c>
      <c r="AS180" s="281"/>
      <c r="AT180" s="2" t="s">
        <v>73</v>
      </c>
      <c r="AU180" s="281"/>
      <c r="AV180" s="281"/>
      <c r="AW180" s="2" t="s">
        <v>304</v>
      </c>
      <c r="AX180" s="281"/>
      <c r="AY180" s="281"/>
      <c r="AZ180" s="2" t="s">
        <v>342</v>
      </c>
      <c r="BA180" s="281"/>
      <c r="BB180" s="281"/>
      <c r="BC180" s="2" t="str">
        <f t="shared" si="35"/>
        <v>Complete</v>
      </c>
      <c r="BD180" s="2" t="s">
        <v>278</v>
      </c>
      <c r="BE180" s="119" t="str">
        <f t="shared" si="39"/>
        <v>NPD: In progress: Drawing, Veneer/Wood, Marble, Metal, Electrical; Fabric is com pending; need approval by 2-Oct-26 for SW03</v>
      </c>
    </row>
    <row r="181" spans="1:58" ht="28.8">
      <c r="A181" s="2" t="str">
        <f>IFERROR(VLOOKUP(E181,'Customer '!$A$4:$D$23,3,FALSE),"")</f>
        <v>NON RH</v>
      </c>
      <c r="B181" s="2" t="s">
        <v>327</v>
      </c>
      <c r="C181" s="2" t="s">
        <v>427</v>
      </c>
      <c r="E181" s="2" t="s">
        <v>430</v>
      </c>
      <c r="F181" s="2" t="str">
        <f>IFERROR(VLOOKUP(E181,'Customer '!$A$4:$D$28,2,FALSE),"")</f>
        <v>BISCAYNE</v>
      </c>
      <c r="G181" s="2" t="s">
        <v>474</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1" s="2">
        <f ca="1">IF(OR($H181="",$B181=""),0,--(COUNTIFS($H$3:$H181,$H181,$B$3:$B181,$B181)=1))</f>
        <v>1</v>
      </c>
      <c r="J181" s="2" t="s">
        <v>475</v>
      </c>
      <c r="K181" s="2" t="s">
        <v>272</v>
      </c>
      <c r="L181" s="119" t="s">
        <v>317</v>
      </c>
      <c r="M181" s="281">
        <v>46263</v>
      </c>
      <c r="N181" s="281">
        <v>46263</v>
      </c>
      <c r="O181" s="282">
        <v>46290</v>
      </c>
      <c r="P181" s="2" t="s">
        <v>51</v>
      </c>
      <c r="Q181" s="2" t="s">
        <v>51</v>
      </c>
      <c r="R181" s="2">
        <v>0</v>
      </c>
      <c r="S181" s="2">
        <v>0</v>
      </c>
      <c r="V181" s="274">
        <v>7</v>
      </c>
      <c r="W181" s="274">
        <v>15</v>
      </c>
      <c r="X181" s="278">
        <v>7473</v>
      </c>
      <c r="Y181" s="278">
        <v>7473</v>
      </c>
      <c r="Z181" s="2" t="s">
        <v>319</v>
      </c>
      <c r="AA181" s="2" t="str">
        <f>IF(Z181="","",IF(OR(Z181="TBC",Z181="Removed"),Z181,LEFT(Z181,4)))</f>
        <v>2027</v>
      </c>
      <c r="AB181" s="281">
        <v>46381</v>
      </c>
      <c r="AC181" s="281">
        <v>46381</v>
      </c>
      <c r="AD181" s="275">
        <v>46388</v>
      </c>
      <c r="AE181" s="281">
        <v>46395</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2027/W01</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2027/W02</v>
      </c>
      <c r="AH181" s="2" t="s">
        <v>304</v>
      </c>
      <c r="AI181" s="276">
        <v>46297</v>
      </c>
      <c r="AJ181" s="281"/>
      <c r="AK181" s="2" t="s">
        <v>304</v>
      </c>
      <c r="AL181" s="254">
        <v>46297</v>
      </c>
      <c r="AM181" s="281"/>
      <c r="AN181" s="2" t="s">
        <v>304</v>
      </c>
      <c r="AO181" s="281">
        <v>46297</v>
      </c>
      <c r="AP181" s="281"/>
      <c r="AQ181" s="2" t="s">
        <v>304</v>
      </c>
      <c r="AR181" s="281">
        <v>46297</v>
      </c>
      <c r="AS181" s="281"/>
      <c r="AT181" s="2" t="s">
        <v>73</v>
      </c>
      <c r="AU181" s="281"/>
      <c r="AV181" s="281"/>
      <c r="AW181" s="2" t="s">
        <v>304</v>
      </c>
      <c r="AX181" s="281"/>
      <c r="AY181" s="281"/>
      <c r="AZ181" s="2" t="s">
        <v>342</v>
      </c>
      <c r="BA181" s="281"/>
      <c r="BB181" s="281"/>
      <c r="BC181" s="2" t="str">
        <f t="shared" si="35"/>
        <v>Complete</v>
      </c>
      <c r="BD181" s="2" t="s">
        <v>278</v>
      </c>
      <c r="BE181" s="119" t="str">
        <f t="shared" si="39"/>
        <v>NPD: In progress: Drawing, Veneer/Wood, Marble, Metal, Electrical; Fabric is com pending; need approval by 2-Oct-26 for SW02</v>
      </c>
    </row>
    <row r="182" spans="1:58" ht="28.8">
      <c r="A182" s="2" t="str">
        <f>IFERROR(VLOOKUP(E182,'Customer '!$A$4:$D$23,3,FALSE),"")</f>
        <v>NON RH</v>
      </c>
      <c r="B182" s="2" t="s">
        <v>327</v>
      </c>
      <c r="C182" s="2" t="s">
        <v>427</v>
      </c>
      <c r="E182" s="2" t="s">
        <v>430</v>
      </c>
      <c r="F182" s="2" t="str">
        <f>IFERROR(VLOOKUP(E182,'Customer '!$A$4:$D$28,2,FALSE),"")</f>
        <v>BISCAYNE</v>
      </c>
      <c r="G182" s="2" t="s">
        <v>476</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2" s="2">
        <f ca="1">IF(OR($H182="",$B182=""),0,--(COUNTIFS($H$3:$H182,$H182,$B$3:$B182,$B182)=1))</f>
        <v>1</v>
      </c>
      <c r="J182" s="2" t="s">
        <v>133</v>
      </c>
      <c r="K182" s="2" t="s">
        <v>272</v>
      </c>
      <c r="L182" s="119" t="s">
        <v>317</v>
      </c>
      <c r="M182" s="281">
        <v>46263</v>
      </c>
      <c r="N182" s="281">
        <v>46263</v>
      </c>
      <c r="O182" s="282">
        <v>46290</v>
      </c>
      <c r="P182" s="2" t="s">
        <v>51</v>
      </c>
      <c r="Q182" s="2" t="s">
        <v>51</v>
      </c>
      <c r="R182" s="2">
        <v>0</v>
      </c>
      <c r="S182" s="2">
        <v>0</v>
      </c>
      <c r="V182" s="274">
        <v>16</v>
      </c>
      <c r="W182" s="274">
        <v>26</v>
      </c>
      <c r="X182" s="278">
        <v>11993</v>
      </c>
      <c r="Y182" s="278">
        <v>11993</v>
      </c>
      <c r="Z182" s="2" t="s">
        <v>319</v>
      </c>
      <c r="AA182" s="2" t="str">
        <f>IF(Z182="","",IF(OR(Z182="TBC",Z182="Removed"),Z182,LEFT(Z182,4)))</f>
        <v>2027</v>
      </c>
      <c r="AB182" s="281">
        <v>46381</v>
      </c>
      <c r="AC182" s="281">
        <v>46381</v>
      </c>
      <c r="AD182" s="275">
        <v>46402</v>
      </c>
      <c r="AE182" s="281">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76">
        <v>46297</v>
      </c>
      <c r="AJ182" s="281"/>
      <c r="AK182" s="2" t="s">
        <v>304</v>
      </c>
      <c r="AL182" s="254">
        <v>46297</v>
      </c>
      <c r="AM182" s="281"/>
      <c r="AN182" s="2" t="s">
        <v>304</v>
      </c>
      <c r="AO182" s="281">
        <v>46297</v>
      </c>
      <c r="AP182" s="281"/>
      <c r="AQ182" s="2" t="s">
        <v>304</v>
      </c>
      <c r="AR182" s="281">
        <v>46297</v>
      </c>
      <c r="AS182" s="281"/>
      <c r="AT182" s="2" t="s">
        <v>73</v>
      </c>
      <c r="AU182" s="281"/>
      <c r="AV182" s="281"/>
      <c r="AW182" s="2" t="s">
        <v>304</v>
      </c>
      <c r="AX182" s="281"/>
      <c r="AY182" s="281"/>
      <c r="AZ182" s="2" t="s">
        <v>342</v>
      </c>
      <c r="BA182" s="281"/>
      <c r="BB182" s="281"/>
      <c r="BC182" s="2" t="str">
        <f t="shared" si="35"/>
        <v>Complete</v>
      </c>
      <c r="BD182" s="2" t="s">
        <v>278</v>
      </c>
      <c r="BE182" s="119" t="str">
        <f t="shared" si="39"/>
        <v>NPD: In progress: Drawing, Veneer/Wood, Marble, Metal, Electrical; Fabric is com pending; need approval by 2-Oct-26 for SW03</v>
      </c>
    </row>
    <row r="183" spans="1:58" ht="28.8">
      <c r="A183" s="2" t="str">
        <f>IFERROR(VLOOKUP(E183,'Customer '!$A$4:$D$23,3,FALSE),"")</f>
        <v>NON RH</v>
      </c>
      <c r="B183" s="2" t="s">
        <v>327</v>
      </c>
      <c r="C183" s="2" t="s">
        <v>427</v>
      </c>
      <c r="E183" s="2" t="s">
        <v>430</v>
      </c>
      <c r="F183" s="2" t="str">
        <f>IFERROR(VLOOKUP(E183,'Customer '!$A$4:$D$28,2,FALSE),"")</f>
        <v>BISCAYNE</v>
      </c>
      <c r="G183" s="2" t="s">
        <v>477</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3" s="2">
        <f ca="1">IF(OR($H183="",$B183=""),0,--(COUNTIFS($H$3:$H183,$H183,$B$3:$B183,$B183)=1))</f>
        <v>1</v>
      </c>
      <c r="J183" s="2" t="s">
        <v>133</v>
      </c>
      <c r="K183" s="2" t="s">
        <v>272</v>
      </c>
      <c r="L183" s="119" t="s">
        <v>317</v>
      </c>
      <c r="M183" s="281">
        <v>46263</v>
      </c>
      <c r="N183" s="281">
        <v>46263</v>
      </c>
      <c r="O183" s="282">
        <v>46290</v>
      </c>
      <c r="P183" s="2" t="s">
        <v>51</v>
      </c>
      <c r="Q183" s="2" t="s">
        <v>51</v>
      </c>
      <c r="R183" s="2">
        <v>0</v>
      </c>
      <c r="S183" s="2">
        <v>0</v>
      </c>
      <c r="V183" s="274">
        <v>6</v>
      </c>
      <c r="W183" s="274">
        <v>8</v>
      </c>
      <c r="X183" s="278">
        <v>4270.1200000000008</v>
      </c>
      <c r="Y183" s="278">
        <v>4270.1200000000008</v>
      </c>
      <c r="Z183" s="2" t="s">
        <v>319</v>
      </c>
      <c r="AA183" s="2" t="str">
        <f>IF(Z183="","",IF(OR(Z183="TBC",Z183="Removed"),Z183,LEFT(Z183,4)))</f>
        <v>2027</v>
      </c>
      <c r="AB183" s="281">
        <v>46381</v>
      </c>
      <c r="AC183" s="281">
        <v>46381</v>
      </c>
      <c r="AD183" s="275">
        <v>46402</v>
      </c>
      <c r="AE183" s="281">
        <v>46402</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2027/W03</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2027/W03</v>
      </c>
      <c r="AH183" s="2" t="s">
        <v>304</v>
      </c>
      <c r="AI183" s="276">
        <v>46297</v>
      </c>
      <c r="AJ183" s="281"/>
      <c r="AK183" s="2" t="s">
        <v>304</v>
      </c>
      <c r="AL183" s="254">
        <v>46297</v>
      </c>
      <c r="AM183" s="281"/>
      <c r="AN183" s="2" t="s">
        <v>304</v>
      </c>
      <c r="AO183" s="281">
        <v>46297</v>
      </c>
      <c r="AP183" s="281"/>
      <c r="AQ183" s="2" t="s">
        <v>304</v>
      </c>
      <c r="AR183" s="281">
        <v>46297</v>
      </c>
      <c r="AS183" s="281"/>
      <c r="AT183" s="2" t="s">
        <v>73</v>
      </c>
      <c r="AU183" s="281"/>
      <c r="AV183" s="281"/>
      <c r="AW183" s="2" t="s">
        <v>304</v>
      </c>
      <c r="AX183" s="281"/>
      <c r="AY183" s="281"/>
      <c r="AZ183" s="2" t="s">
        <v>342</v>
      </c>
      <c r="BA183" s="281"/>
      <c r="BB183" s="281"/>
      <c r="BC183" s="2" t="str">
        <f t="shared" si="35"/>
        <v>Complete</v>
      </c>
      <c r="BD183" s="2" t="s">
        <v>278</v>
      </c>
      <c r="BE183" s="119" t="str">
        <f t="shared" si="39"/>
        <v>NPD: In progress: Drawing, Veneer/Wood, Marble, Metal, Electrical; Fabric is com pending; need approval by 2-Oct-26 for SW03</v>
      </c>
    </row>
    <row r="184" spans="1:58">
      <c r="A184" s="2" t="str">
        <f>IFERROR(VLOOKUP(E184,'Customer '!$A$4:$D$23,3,FALSE),"")</f>
        <v>NON RH</v>
      </c>
      <c r="B184" s="2" t="s">
        <v>267</v>
      </c>
      <c r="C184" s="2" t="s">
        <v>427</v>
      </c>
      <c r="E184" s="2" t="s">
        <v>430</v>
      </c>
      <c r="F184" s="2" t="str">
        <f>IFERROR(VLOOKUP(E184,'Customer '!$A$4:$D$28,2,FALSE),"")</f>
        <v>BISCAYNE</v>
      </c>
      <c r="G184" s="2" t="s">
        <v>476</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1</v>
      </c>
      <c r="J184" s="2" t="s">
        <v>300</v>
      </c>
      <c r="K184" s="2" t="s">
        <v>272</v>
      </c>
      <c r="L184" s="119" t="s">
        <v>285</v>
      </c>
      <c r="M184" s="281"/>
      <c r="N184" s="281"/>
      <c r="O184" s="282"/>
      <c r="P184" s="2" t="s">
        <v>51</v>
      </c>
      <c r="Q184" s="2" t="s">
        <v>51</v>
      </c>
      <c r="R184" s="2">
        <v>0</v>
      </c>
      <c r="S184" s="2">
        <v>0</v>
      </c>
      <c r="X184" s="278">
        <v>3000000</v>
      </c>
      <c r="Y184" s="278">
        <v>1000000</v>
      </c>
      <c r="Z184" s="2" t="s">
        <v>332</v>
      </c>
      <c r="AA184" s="2" t="str">
        <f>IF(Z184="","",IF(OR(Z184="TBC",Z184="Removed"),Z184,LEFT(Z184,4)))</f>
        <v>2027</v>
      </c>
      <c r="AB184" s="281"/>
      <c r="AC184" s="281"/>
      <c r="AD184" s="275" t="s">
        <v>149</v>
      </c>
      <c r="AE184" s="276"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76"/>
      <c r="AJ184" s="281"/>
      <c r="AK184" s="2" t="s">
        <v>287</v>
      </c>
      <c r="AL184" s="254"/>
      <c r="AM184" s="281"/>
      <c r="AN184" s="2" t="s">
        <v>287</v>
      </c>
      <c r="AO184" s="281"/>
      <c r="AP184" s="281"/>
      <c r="AQ184" s="2" t="s">
        <v>344</v>
      </c>
      <c r="AR184" s="281"/>
      <c r="AS184" s="281"/>
      <c r="AT184" s="2" t="s">
        <v>344</v>
      </c>
      <c r="AU184" s="281"/>
      <c r="AV184" s="281"/>
      <c r="AW184" s="2" t="s">
        <v>344</v>
      </c>
      <c r="AX184" s="281"/>
      <c r="AY184" s="281"/>
      <c r="AZ184" s="2" t="s">
        <v>344</v>
      </c>
      <c r="BA184" s="281"/>
      <c r="BB184" s="281"/>
      <c r="BC184" s="2" t="str">
        <f t="shared" si="35"/>
        <v>Complete</v>
      </c>
      <c r="BD184" s="2" t="s">
        <v>278</v>
      </c>
      <c r="BE184" s="119" t="str">
        <f t="shared" si="39"/>
        <v>NPI: Not started: Drawing, Veneer/Wood, Marble for SW TBC</v>
      </c>
    </row>
    <row r="185" spans="1:58">
      <c r="A185" s="2" t="str">
        <f>IFERROR(VLOOKUP(E185,'Customer '!$A$4:$D$23,3,FALSE),"")</f>
        <v>NON RH</v>
      </c>
      <c r="B185" s="2" t="s">
        <v>267</v>
      </c>
      <c r="C185" s="2" t="s">
        <v>427</v>
      </c>
      <c r="E185" s="2" t="s">
        <v>430</v>
      </c>
      <c r="F185" s="2" t="str">
        <f>IFERROR(VLOOKUP(E185,'Customer '!$A$4:$D$28,2,FALSE),"")</f>
        <v>BISCAYNE</v>
      </c>
      <c r="G185" s="2" t="s">
        <v>476</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300</v>
      </c>
      <c r="K185" s="2" t="s">
        <v>272</v>
      </c>
      <c r="L185" s="119" t="s">
        <v>285</v>
      </c>
      <c r="M185" s="281"/>
      <c r="N185" s="281"/>
      <c r="O185" s="282"/>
      <c r="P185" s="2" t="s">
        <v>51</v>
      </c>
      <c r="Q185" s="2" t="s">
        <v>51</v>
      </c>
      <c r="R185" s="2">
        <v>0</v>
      </c>
      <c r="S185" s="2">
        <v>0</v>
      </c>
      <c r="X185" s="278">
        <v>3000000</v>
      </c>
      <c r="Y185" s="278">
        <v>1000000</v>
      </c>
      <c r="Z185" s="2" t="s">
        <v>286</v>
      </c>
      <c r="AA185" s="2" t="str">
        <f t="shared" ref="AA185:AA186" si="41">IF(Z185="","",IF(OR(Z185="TBC",Z185="Removed"),Z185,LEFT(Z185,4)))</f>
        <v>2027</v>
      </c>
      <c r="AB185" s="281"/>
      <c r="AC185" s="281"/>
      <c r="AD185" s="275" t="s">
        <v>149</v>
      </c>
      <c r="AE185" s="276"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76"/>
      <c r="AJ185" s="281"/>
      <c r="AK185" s="2" t="s">
        <v>287</v>
      </c>
      <c r="AL185" s="254"/>
      <c r="AM185" s="281"/>
      <c r="AN185" s="2" t="s">
        <v>287</v>
      </c>
      <c r="AO185" s="281"/>
      <c r="AP185" s="281"/>
      <c r="AQ185" s="2" t="s">
        <v>344</v>
      </c>
      <c r="AR185" s="281"/>
      <c r="AS185" s="281"/>
      <c r="AT185" s="2" t="s">
        <v>344</v>
      </c>
      <c r="AU185" s="281"/>
      <c r="AV185" s="281"/>
      <c r="AW185" s="2" t="s">
        <v>344</v>
      </c>
      <c r="AX185" s="281"/>
      <c r="AY185" s="281"/>
      <c r="AZ185" s="2" t="s">
        <v>344</v>
      </c>
      <c r="BA185" s="281"/>
      <c r="BB185" s="281"/>
      <c r="BC185" s="2" t="str">
        <f t="shared" si="35"/>
        <v>Complete</v>
      </c>
      <c r="BD185" s="2" t="s">
        <v>278</v>
      </c>
      <c r="BE185" s="119" t="str">
        <f t="shared" si="39"/>
        <v>NPI: Not started: Drawing, Veneer/Wood, Marble for SW TBC</v>
      </c>
    </row>
    <row r="186" spans="1:58">
      <c r="A186" s="2" t="str">
        <f>IFERROR(VLOOKUP(E186,'Customer '!$A$4:$D$23,3,FALSE),"")</f>
        <v>NON RH</v>
      </c>
      <c r="B186" s="2" t="s">
        <v>267</v>
      </c>
      <c r="C186" s="2" t="s">
        <v>427</v>
      </c>
      <c r="E186" s="2" t="s">
        <v>430</v>
      </c>
      <c r="F186" s="2" t="str">
        <f>IFERROR(VLOOKUP(E186,'Customer '!$A$4:$D$28,2,FALSE),"")</f>
        <v>BISCAYNE</v>
      </c>
      <c r="G186" s="2" t="s">
        <v>476</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6" s="2">
        <f ca="1">IF(OR($H186="",$B186=""),0,--(COUNTIFS($H$3:$H186,$H186,$B$3:$B186,$B186)=1))</f>
        <v>0</v>
      </c>
      <c r="J186" s="2" t="s">
        <v>300</v>
      </c>
      <c r="K186" s="2" t="s">
        <v>272</v>
      </c>
      <c r="L186" s="119" t="s">
        <v>285</v>
      </c>
      <c r="M186" s="281"/>
      <c r="N186" s="281"/>
      <c r="O186" s="282"/>
      <c r="P186" s="2" t="s">
        <v>51</v>
      </c>
      <c r="Q186" s="2" t="s">
        <v>51</v>
      </c>
      <c r="R186" s="2">
        <v>0</v>
      </c>
      <c r="S186" s="2">
        <v>0</v>
      </c>
      <c r="X186" s="278">
        <v>3000000</v>
      </c>
      <c r="Y186" s="278">
        <v>1000000</v>
      </c>
      <c r="Z186" s="2" t="s">
        <v>288</v>
      </c>
      <c r="AA186" s="2" t="str">
        <f t="shared" si="41"/>
        <v>2027</v>
      </c>
      <c r="AB186" s="281"/>
      <c r="AC186" s="281"/>
      <c r="AD186" s="275" t="s">
        <v>149</v>
      </c>
      <c r="AE186" s="276" t="s">
        <v>149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TBC</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TBC</v>
      </c>
      <c r="AH186" s="2" t="s">
        <v>287</v>
      </c>
      <c r="AI186" s="276"/>
      <c r="AJ186" s="281"/>
      <c r="AK186" s="2" t="s">
        <v>287</v>
      </c>
      <c r="AL186" s="254"/>
      <c r="AM186" s="281"/>
      <c r="AN186" s="2" t="s">
        <v>287</v>
      </c>
      <c r="AO186" s="281"/>
      <c r="AP186" s="281"/>
      <c r="AQ186" s="2" t="s">
        <v>344</v>
      </c>
      <c r="AR186" s="281"/>
      <c r="AS186" s="281"/>
      <c r="AT186" s="2" t="s">
        <v>344</v>
      </c>
      <c r="AU186" s="281"/>
      <c r="AV186" s="281"/>
      <c r="AW186" s="2" t="s">
        <v>344</v>
      </c>
      <c r="AX186" s="281"/>
      <c r="AY186" s="281"/>
      <c r="AZ186" s="2" t="s">
        <v>344</v>
      </c>
      <c r="BA186" s="281"/>
      <c r="BB186" s="281"/>
      <c r="BC186" s="2" t="str">
        <f t="shared" ref="BC186:BC209" si="42">IF(J186="","",IF(OR(J186="OB",J186="NOR",J186="FC",J186="PIPELINE"),"Active","Complete"))</f>
        <v>Complete</v>
      </c>
      <c r="BD186" s="2" t="s">
        <v>278</v>
      </c>
      <c r="BE186" s="119" t="str">
        <f t="shared" si="39"/>
        <v>NPI: Not started: Drawing, Veneer/Wood, Marble for SW TBC</v>
      </c>
    </row>
    <row r="187" spans="1:58" ht="28.8">
      <c r="A187" s="2" t="str">
        <f>IFERROR(VLOOKUP(E187,'Customer '!$A$4:$D$23,3,FALSE),"")</f>
        <v>NON RH</v>
      </c>
      <c r="B187" s="2" t="s">
        <v>327</v>
      </c>
      <c r="C187" s="2" t="s">
        <v>427</v>
      </c>
      <c r="E187" s="2" t="s">
        <v>430</v>
      </c>
      <c r="F187" s="2" t="str">
        <f>IFERROR(VLOOKUP(E187,'Customer '!$A$4:$D$28,2,FALSE),"")</f>
        <v>BISCAYNE</v>
      </c>
      <c r="G187" s="2" t="s">
        <v>478</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7" s="2">
        <f ca="1">IF(OR($H187="",$B187=""),0,--(COUNTIFS($H$3:$H187,$H187,$B$3:$B187,$B187)=1))</f>
        <v>1</v>
      </c>
      <c r="J187" s="2" t="s">
        <v>310</v>
      </c>
      <c r="K187" s="2" t="s">
        <v>272</v>
      </c>
      <c r="L187" s="119" t="s">
        <v>317</v>
      </c>
      <c r="M187" s="281">
        <v>46267</v>
      </c>
      <c r="N187" s="281">
        <v>46265</v>
      </c>
      <c r="O187" s="282">
        <v>46290</v>
      </c>
      <c r="P187" s="2" t="s">
        <v>51</v>
      </c>
      <c r="Q187" s="2" t="s">
        <v>51</v>
      </c>
      <c r="R187" s="2">
        <v>0</v>
      </c>
      <c r="S187" s="2">
        <v>0</v>
      </c>
      <c r="V187" s="274">
        <v>5</v>
      </c>
      <c r="W187" s="274">
        <v>11</v>
      </c>
      <c r="X187" s="278">
        <v>8153.75</v>
      </c>
      <c r="Y187" s="278">
        <v>8153.75</v>
      </c>
      <c r="Z187" s="2" t="s">
        <v>319</v>
      </c>
      <c r="AA187" s="2" t="str">
        <f t="shared" ref="AA187:AA193" si="43">IF(Z187="","",IF(OR(Z187="TBC",Z187="Removed"),Z187,LEFT(Z187,4)))</f>
        <v>2027</v>
      </c>
      <c r="AB187" s="281"/>
      <c r="AC187" s="281"/>
      <c r="AD187" s="281">
        <v>46409</v>
      </c>
      <c r="AE187" s="281">
        <v>46409</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2027/W04</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2027/W04</v>
      </c>
      <c r="AH187" s="2" t="s">
        <v>304</v>
      </c>
      <c r="AI187" s="276">
        <v>46297</v>
      </c>
      <c r="AJ187" s="281"/>
      <c r="AK187" s="2" t="s">
        <v>304</v>
      </c>
      <c r="AL187" s="254">
        <v>46297</v>
      </c>
      <c r="AM187" s="281"/>
      <c r="AN187" s="2" t="s">
        <v>304</v>
      </c>
      <c r="AO187" s="281">
        <v>46297</v>
      </c>
      <c r="AP187" s="281"/>
      <c r="AQ187" s="2" t="s">
        <v>304</v>
      </c>
      <c r="AR187" s="281">
        <v>46297</v>
      </c>
      <c r="AS187" s="281"/>
      <c r="AT187" s="2" t="s">
        <v>73</v>
      </c>
      <c r="AU187" s="281"/>
      <c r="AV187" s="281"/>
      <c r="AW187" s="2" t="s">
        <v>304</v>
      </c>
      <c r="AX187" s="281"/>
      <c r="AY187" s="281"/>
      <c r="AZ187" s="2" t="s">
        <v>342</v>
      </c>
      <c r="BA187" s="281"/>
      <c r="BB187" s="281"/>
      <c r="BC187" s="2" t="str">
        <f t="shared" si="42"/>
        <v>Active</v>
      </c>
      <c r="BD187" s="2" t="s">
        <v>278</v>
      </c>
      <c r="BE187" s="119" t="str">
        <f t="shared" si="39"/>
        <v>NPD: In progress: Drawing, Veneer/Wood, Marble, Metal, Electrical; Fabric is com pending; need approval by 2-Oct-26 for SW04</v>
      </c>
      <c r="BF187" s="2" t="s">
        <v>479</v>
      </c>
    </row>
    <row r="188" spans="1:58" ht="28.8">
      <c r="A188" s="2" t="str">
        <f>IFERROR(VLOOKUP(E188,'Customer '!$A$4:$D$23,3,FALSE),"")</f>
        <v>NON RH</v>
      </c>
      <c r="B188" s="2" t="s">
        <v>267</v>
      </c>
      <c r="C188" s="2" t="s">
        <v>427</v>
      </c>
      <c r="E188" s="2" t="s">
        <v>430</v>
      </c>
      <c r="F188" s="2" t="str">
        <f>IFERROR(VLOOKUP(E188,'Customer '!$A$4:$D$28,2,FALSE),"")</f>
        <v>BISCAYNE</v>
      </c>
      <c r="G188" s="2" t="s">
        <v>480</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8" s="2">
        <f ca="1">IF(OR($H188="",$B188=""),0,--(COUNTIFS($H$3:$H188,$H188,$B$3:$B188,$B188)=1))</f>
        <v>1</v>
      </c>
      <c r="J188" s="2" t="s">
        <v>316</v>
      </c>
      <c r="K188" s="2" t="s">
        <v>272</v>
      </c>
      <c r="L188" s="119" t="s">
        <v>317</v>
      </c>
      <c r="M188" s="281"/>
      <c r="N188" s="281">
        <v>46213</v>
      </c>
      <c r="O188" s="282"/>
      <c r="P188" s="2" t="s">
        <v>51</v>
      </c>
      <c r="Q188" s="2" t="s">
        <v>481</v>
      </c>
      <c r="R188" s="274"/>
      <c r="S188" s="274"/>
      <c r="T188" s="274"/>
      <c r="U188" s="274"/>
      <c r="V188" s="274">
        <v>1</v>
      </c>
      <c r="W188" s="274">
        <v>3</v>
      </c>
      <c r="X188" s="278">
        <v>2908</v>
      </c>
      <c r="Y188" s="278">
        <v>2908</v>
      </c>
      <c r="Z188" s="2" t="s">
        <v>347</v>
      </c>
      <c r="AA188" s="2" t="str">
        <f t="shared" si="43"/>
        <v>2027</v>
      </c>
      <c r="AB188" s="281"/>
      <c r="AC188" s="281"/>
      <c r="AD188" s="275">
        <v>46451</v>
      </c>
      <c r="AE188" s="281">
        <v>46451</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2027/W10</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2027/W10</v>
      </c>
      <c r="AH188" s="2" t="s">
        <v>304</v>
      </c>
      <c r="AI188" s="276">
        <v>46682</v>
      </c>
      <c r="AJ188" s="281"/>
      <c r="AK188" s="2" t="s">
        <v>304</v>
      </c>
      <c r="AL188" s="254"/>
      <c r="AM188" s="281"/>
      <c r="AO188" s="281"/>
      <c r="AP188" s="281"/>
      <c r="AQ188" s="2" t="s">
        <v>304</v>
      </c>
      <c r="AR188" s="281"/>
      <c r="AS188" s="281"/>
      <c r="AT188" s="2" t="s">
        <v>73</v>
      </c>
      <c r="AU188" s="281"/>
      <c r="AV188" s="281"/>
      <c r="AW188" s="2" t="s">
        <v>73</v>
      </c>
      <c r="AX188" s="281"/>
      <c r="AY188" s="281"/>
      <c r="AZ188" s="2" t="s">
        <v>342</v>
      </c>
      <c r="BA188" s="281"/>
      <c r="BB188" s="281"/>
      <c r="BC188" s="2" t="str">
        <f t="shared" si="42"/>
        <v>Active</v>
      </c>
      <c r="BD188" s="2" t="s">
        <v>278</v>
      </c>
      <c r="BE188" s="119" t="str">
        <f t="shared" si="39"/>
        <v>NPI: In progress: Drawing, Veneer/Wood, Metal; Fabric is com pending; need approval by 22-Oct-27 for SW10</v>
      </c>
    </row>
    <row r="189" spans="1:58">
      <c r="A189" s="2" t="str">
        <f>IFERROR(VLOOKUP(E189,'Customer '!$A$4:$D$27,3,FALSE),"")</f>
        <v>NON RH</v>
      </c>
      <c r="B189" s="2" t="s">
        <v>267</v>
      </c>
      <c r="C189" s="2" t="s">
        <v>352</v>
      </c>
      <c r="E189" s="2" t="s">
        <v>482</v>
      </c>
      <c r="F189" s="2" t="str">
        <f>IFERROR(VLOOKUP(E189,'Customer '!$A$4:$D$28,2,FALSE),"")</f>
        <v>MJM</v>
      </c>
      <c r="G189" s="2" t="s">
        <v>483</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1</v>
      </c>
      <c r="J189" s="2" t="s">
        <v>133</v>
      </c>
      <c r="K189" s="2" t="s">
        <v>272</v>
      </c>
      <c r="L189" s="119" t="s">
        <v>317</v>
      </c>
      <c r="M189" s="281"/>
      <c r="N189" s="281"/>
      <c r="O189" s="282"/>
      <c r="P189" s="2" t="s">
        <v>51</v>
      </c>
      <c r="R189" s="274">
        <v>0</v>
      </c>
      <c r="S189" s="274">
        <v>0</v>
      </c>
      <c r="T189" s="274"/>
      <c r="U189" s="274"/>
      <c r="V189" s="274">
        <v>3</v>
      </c>
      <c r="W189" s="274">
        <f>3*240</f>
        <v>720</v>
      </c>
      <c r="X189" s="278">
        <v>371000</v>
      </c>
      <c r="Y189" s="278">
        <v>185500</v>
      </c>
      <c r="Z189" s="2" t="s">
        <v>319</v>
      </c>
      <c r="AA189" s="2" t="str">
        <f t="shared" si="43"/>
        <v>2027</v>
      </c>
      <c r="AB189" s="281"/>
      <c r="AC189" s="281"/>
      <c r="AD189" s="275">
        <v>46409</v>
      </c>
      <c r="AE189" s="281">
        <v>46409</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2027/W04</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2027/W04</v>
      </c>
      <c r="AH189" s="2" t="s">
        <v>304</v>
      </c>
      <c r="AI189" s="276"/>
      <c r="AJ189" s="281"/>
      <c r="AL189" s="254"/>
      <c r="AM189" s="281"/>
      <c r="AO189" s="281"/>
      <c r="AP189" s="281"/>
      <c r="AR189" s="281"/>
      <c r="AS189" s="281"/>
      <c r="AU189" s="281"/>
      <c r="AV189" s="281"/>
      <c r="AX189" s="281"/>
      <c r="AY189" s="281"/>
      <c r="BA189" s="281"/>
      <c r="BB189" s="281"/>
      <c r="BC189" s="2" t="str">
        <f t="shared" si="42"/>
        <v>Complete</v>
      </c>
      <c r="BE189" s="119" t="str">
        <f t="shared" si="39"/>
        <v>NPI: In progress: Drawing for SW04</v>
      </c>
    </row>
    <row r="190" spans="1:58">
      <c r="A190" s="2" t="str">
        <f>IFERROR(VLOOKUP(E190,'Customer '!$A$4:$D$27,3,FALSE),"")</f>
        <v>NON RH</v>
      </c>
      <c r="B190" s="2" t="s">
        <v>267</v>
      </c>
      <c r="C190" s="2" t="s">
        <v>352</v>
      </c>
      <c r="E190" s="2" t="s">
        <v>482</v>
      </c>
      <c r="F190" s="2" t="str">
        <f>IFERROR(VLOOKUP(E190,'Customer '!$A$4:$D$28,2,FALSE),"")</f>
        <v>MJM</v>
      </c>
      <c r="G190" s="2" t="s">
        <v>483</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90" s="2">
        <f ca="1">IF(OR($H190="",$B190=""),0,--(COUNTIFS($H$3:$H190,$H190,$B$3:$B190,$B190)=1))</f>
        <v>0</v>
      </c>
      <c r="J190" s="2" t="s">
        <v>133</v>
      </c>
      <c r="K190" s="2" t="s">
        <v>272</v>
      </c>
      <c r="L190" s="119" t="s">
        <v>317</v>
      </c>
      <c r="M190" s="281"/>
      <c r="N190" s="281"/>
      <c r="O190" s="282"/>
      <c r="P190" s="2" t="s">
        <v>51</v>
      </c>
      <c r="R190" s="274">
        <v>0</v>
      </c>
      <c r="S190" s="274">
        <v>0</v>
      </c>
      <c r="T190" s="274"/>
      <c r="U190" s="274"/>
      <c r="V190" s="274">
        <v>3</v>
      </c>
      <c r="W190" s="274">
        <f>3*240</f>
        <v>720</v>
      </c>
      <c r="X190" s="278">
        <v>371000</v>
      </c>
      <c r="Y190" s="278">
        <v>185500</v>
      </c>
      <c r="Z190" s="2" t="s">
        <v>347</v>
      </c>
      <c r="AA190" s="2" t="str">
        <f t="shared" ref="AA190" si="44">IF(Z190="","",IF(OR(Z190="TBC",Z190="Removed"),Z190,LEFT(Z190,4)))</f>
        <v>2027</v>
      </c>
      <c r="AB190" s="281"/>
      <c r="AC190" s="281"/>
      <c r="AD190" s="275">
        <v>46395</v>
      </c>
      <c r="AE190" s="281">
        <v>46444</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2027/W02</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2027/W09</v>
      </c>
      <c r="AH190" s="2" t="s">
        <v>304</v>
      </c>
      <c r="AI190" s="276"/>
      <c r="AJ190" s="281"/>
      <c r="AL190" s="254"/>
      <c r="AM190" s="281"/>
      <c r="AO190" s="281"/>
      <c r="AP190" s="281"/>
      <c r="AR190" s="281"/>
      <c r="AS190" s="281"/>
      <c r="AU190" s="281"/>
      <c r="AV190" s="281"/>
      <c r="AX190" s="281"/>
      <c r="AY190" s="281"/>
      <c r="BA190" s="281"/>
      <c r="BB190" s="281"/>
      <c r="BC190" s="2" t="str">
        <f t="shared" si="42"/>
        <v>Complete</v>
      </c>
      <c r="BE190" s="119" t="str">
        <f t="shared" si="39"/>
        <v>NPI: In progress: Drawing for SW09</v>
      </c>
    </row>
    <row r="191" spans="1:58">
      <c r="A191" s="2" t="str">
        <f>IFERROR(VLOOKUP(E191,'Customer '!$A$4:$D$23,3,FALSE),"")</f>
        <v>RH</v>
      </c>
      <c r="B191" s="2" t="s">
        <v>327</v>
      </c>
      <c r="C191" s="2" t="s">
        <v>308</v>
      </c>
      <c r="D191" s="2" t="s">
        <v>313</v>
      </c>
      <c r="E191" s="2" t="s">
        <v>61</v>
      </c>
      <c r="F191" s="2" t="str">
        <f>IFERROR(VLOOKUP(E191,'Customer '!$A$4:$D$28,2,FALSE),"")</f>
        <v>RH</v>
      </c>
      <c r="G191" s="2" t="s">
        <v>484</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372</v>
      </c>
      <c r="K191" s="2" t="s">
        <v>272</v>
      </c>
      <c r="L191" s="119" t="s">
        <v>285</v>
      </c>
      <c r="M191" s="281">
        <v>46269</v>
      </c>
      <c r="N191" s="281"/>
      <c r="O191" s="282"/>
      <c r="P191" s="2" t="s">
        <v>51</v>
      </c>
      <c r="Q191" s="2" t="s">
        <v>329</v>
      </c>
      <c r="R191" s="2">
        <v>0</v>
      </c>
      <c r="S191" s="2">
        <v>0</v>
      </c>
      <c r="V191" s="274">
        <v>2</v>
      </c>
      <c r="W191" s="274">
        <v>2</v>
      </c>
      <c r="X191" s="278">
        <v>4632.5600000000004</v>
      </c>
      <c r="Y191" s="278">
        <v>4632.5600000000004</v>
      </c>
      <c r="Z191" s="2" t="s">
        <v>333</v>
      </c>
      <c r="AA191" s="2" t="str">
        <f t="shared" si="43"/>
        <v>2026</v>
      </c>
      <c r="AB191" s="281"/>
      <c r="AC191" s="281"/>
      <c r="AD191" s="275">
        <v>46367</v>
      </c>
      <c r="AE191" s="281">
        <v>46367</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2026/W50</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2026/W50</v>
      </c>
      <c r="AH191" s="2" t="s">
        <v>304</v>
      </c>
      <c r="AI191" s="276"/>
      <c r="AJ191" s="281"/>
      <c r="AK191" s="2" t="s">
        <v>287</v>
      </c>
      <c r="AL191" s="254"/>
      <c r="AM191" s="281"/>
      <c r="AN191" s="2" t="s">
        <v>287</v>
      </c>
      <c r="AO191" s="281"/>
      <c r="AP191" s="281"/>
      <c r="AQ191" s="2" t="s">
        <v>304</v>
      </c>
      <c r="AR191" s="281"/>
      <c r="AS191" s="281"/>
      <c r="AT191" s="2" t="s">
        <v>73</v>
      </c>
      <c r="AU191" s="281"/>
      <c r="AV191" s="281"/>
      <c r="AW191" s="2" t="s">
        <v>73</v>
      </c>
      <c r="AX191" s="281"/>
      <c r="AY191" s="281"/>
      <c r="AZ191" s="2" t="s">
        <v>73</v>
      </c>
      <c r="BA191" s="281"/>
      <c r="BB191" s="281"/>
      <c r="BC191" s="2" t="str">
        <f t="shared" si="42"/>
        <v>Complete</v>
      </c>
      <c r="BE191" s="119" t="e">
        <f>IF(UPPER(TRIM(J191))="SHIPPED","READY",_xlfn.LET(_xlpm.stage,IF(B191="","",B191&amp;": "),_xlpm.ip,_xlfn.TEXTJOIN(", ",TRUE,IF(LOWER(AH191)="in progress","Drawing",""),IF(LOWER(AK191)="in progress","Veneer/Wood",""),IF(LOWER(#REF!)="in progress","Marble",""),IF(LOWER(AQ191)="in progress","Metal",""),IF(LOWER(AT191)="in progress","Mirror",""),IF(LOWER(AW191)="in progress","Electrical",""),IF(LOWER(AZ191)="in progress","Fabric","")),_xlpm.pa,_xlfn.TEXTJOIN(", ",TRUE,IF(LOWER(AH191)="pending approval","Drawing",""),IF(LOWER(AK191)="pending approval","Veneer/Wood",""),IF(LOWER(#REF!)="pending approval","Marble",""),IF(LOWER(AQ191)="pending approval","Metal",""),IF(LOWER(AT191)="pending approval","Mirror",""),IF(LOWER(AW191)="pending approval","Electrical",""),IF(LOWER(AZ191)="pending approval","Fabric","")),_xlpm.ns,_xlfn.TEXTJOIN(", ",TRUE,IF(LOWER(AH191)="not started","Drawing",""),IF(LOWER(AK191)="not started","Veneer/Wood",""),IF(LOWER(#REF!)="not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REF!&lt;&gt;"",LOWER(#REF!)&lt;&gt;"approved",LOWER(#REF!)&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#REF!</v>
      </c>
    </row>
    <row r="192" spans="1:58" ht="28.8">
      <c r="A192" s="2" t="str">
        <f>IFERROR(VLOOKUP(E192,'Customer '!$A$4:$D$23,3,FALSE),"")</f>
        <v>RH</v>
      </c>
      <c r="B192" s="2" t="s">
        <v>267</v>
      </c>
      <c r="C192" s="2" t="s">
        <v>308</v>
      </c>
      <c r="D192" s="2" t="s">
        <v>313</v>
      </c>
      <c r="E192" s="2" t="s">
        <v>61</v>
      </c>
      <c r="F192" s="2" t="str">
        <f>IFERROR(VLOOKUP(E192,'Customer '!$A$4:$D$28,2,FALSE),"")</f>
        <v>RH</v>
      </c>
      <c r="G192" s="2" t="s">
        <v>484</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2" s="2">
        <f ca="1">IF(OR($H192="",$B192=""),0,--(COUNTIFS($H$3:$H192,$H192,$B$3:$B192,$B192)=1))</f>
        <v>1</v>
      </c>
      <c r="J192" s="2" t="s">
        <v>372</v>
      </c>
      <c r="K192" s="2" t="s">
        <v>272</v>
      </c>
      <c r="L192" s="119" t="s">
        <v>285</v>
      </c>
      <c r="M192" s="281">
        <v>46266</v>
      </c>
      <c r="N192" s="281"/>
      <c r="O192" s="282"/>
      <c r="P192" s="2" t="s">
        <v>51</v>
      </c>
      <c r="Q192" s="2" t="s">
        <v>329</v>
      </c>
      <c r="R192" s="274">
        <v>0</v>
      </c>
      <c r="S192" s="274">
        <v>0</v>
      </c>
      <c r="T192" s="274"/>
      <c r="U192" s="274"/>
      <c r="V192" s="274">
        <v>4</v>
      </c>
      <c r="W192" s="274">
        <v>34</v>
      </c>
      <c r="X192" s="278">
        <v>38099.789999999994</v>
      </c>
      <c r="Y192" s="278">
        <v>38099.789999999994</v>
      </c>
      <c r="Z192" s="2" t="s">
        <v>149</v>
      </c>
      <c r="AA192" s="2" t="str">
        <f t="shared" si="43"/>
        <v>TBC</v>
      </c>
      <c r="AB192" s="281"/>
      <c r="AC192" s="281"/>
      <c r="AD192" s="275" t="s">
        <v>149</v>
      </c>
      <c r="AE192" s="276" t="s">
        <v>149</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TBC</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TBC</v>
      </c>
      <c r="AH192" s="2" t="s">
        <v>304</v>
      </c>
      <c r="AI192" s="276"/>
      <c r="AJ192" s="281"/>
      <c r="AK192" s="2" t="s">
        <v>287</v>
      </c>
      <c r="AL192" s="254"/>
      <c r="AM192" s="281"/>
      <c r="AN192" s="2" t="s">
        <v>287</v>
      </c>
      <c r="AO192" s="281"/>
      <c r="AP192" s="281"/>
      <c r="AQ192" s="2" t="s">
        <v>304</v>
      </c>
      <c r="AR192" s="281"/>
      <c r="AS192" s="281"/>
      <c r="AT192" s="2" t="s">
        <v>73</v>
      </c>
      <c r="AU192" s="281"/>
      <c r="AV192" s="281"/>
      <c r="AW192" s="2" t="s">
        <v>73</v>
      </c>
      <c r="AX192" s="281"/>
      <c r="AY192" s="281"/>
      <c r="AZ192" s="2" t="s">
        <v>73</v>
      </c>
      <c r="BA192" s="281"/>
      <c r="BB192" s="281"/>
      <c r="BC192" s="2" t="str">
        <f t="shared" si="42"/>
        <v>Complete</v>
      </c>
      <c r="BE192" s="119" t="str">
        <f t="shared" ref="BE192:BE209" si="45">IF(UPPER(TRIM(J192))="SHIPPED","READY",_xlfn.LET(_xlpm.stage,IF(B192="","",B192&amp;": "),_xlpm.ip,_xlfn.TEXTJOIN(", ",TRUE,IF(LOWER(AH192)="in progress","Drawing",""),IF(LOWER(AK192)="in progress","Veneer/Wood",""),IF(LOWER(AN192)="in progress","Marble",""),IF(LOWER(AQ192)="in progress","Metal",""),IF(LOWER(AT192)="in progress","Mirror",""),IF(LOWER(AW192)="in progress","Electrical",""),IF(LOWER(AZ192)="in progress","Fabric","")),_xlpm.pa,_xlfn.TEXTJOIN(", ",TRUE,IF(LOWER(AH192)="pending approval","Drawing",""),IF(LOWER(AK192)="pending approval","Veneer/Wood",""),IF(LOWER(AN192)="pending approval","Marble",""),IF(LOWER(AQ192)="pending approval","Metal",""),IF(LOWER(AT192)="pending approval","Mirror",""),IF(LOWER(AW192)="pending approval","Electrical",""),IF(LOWER(AZ192)="pending approval","Fabric","")),_xlpm.ns,_xlfn.TEXTJOIN(", ",TRUE,IF(LOWER(AH192)="not started","Drawing",""),IF(LOWER(AK192)="not started","Veneer/Wood",""),IF(LOWER(AN192)="not started","Marble",""),IF(LOWER(AQ192)="not started","Metal",""),IF(LOWER(AT192)="not started","Mirror",""),IF(LOWER(AW192)="not started","Electrical",""),IF(LOWER(AZ192)="not started","Fabric","")),_xlpm.fab,IF(OR(LOWER(AZ192)="com",LOWER(AZ192)="com pending",LOWER(AZ192)="com received"),"Fabric is "&amp;LOWER(AZ192),""),_xlpm.parts,_xlfn.TEXTJOIN("; ",TRUE,IF(_xlpm.ip&lt;&gt;"","In progress: "&amp;_xlpm.ip,""),IF(_xlpm.pa&lt;&gt;"","Pending approval: "&amp;_xlpm.pa,""),IF(_xlpm.ns&lt;&gt;"","Not started: "&amp;_xlpm.ns,""),_xlpm.fab),_xlpm.deadline,MIN(IF(AND(AH192&lt;&gt;"",LOWER(AH192)&lt;&gt;"approved",LOWER(AH192)&lt;&gt;"n/a",ISNUMBER(AI192)),AI192,1E+99),IF(AND(AK192&lt;&gt;"",LOWER(AK192)&lt;&gt;"approved",LOWER(AK192)&lt;&gt;"n/a",ISNUMBER(AL192)),AL192,1E+99),IF(AND(AN192&lt;&gt;"",LOWER(AN192)&lt;&gt;"approved",LOWER(AN192)&lt;&gt;"n/a",ISNUMBER(AO192)),AO192,1E+99),IF(AND(AQ192&lt;&gt;"",LOWER(AQ192)&lt;&gt;"approved",LOWER(AQ192)&lt;&gt;"n/a",ISNUMBER(AR192)),AR192,1E+99),IF(AND(AT192&lt;&gt;"",LOWER(AT192)&lt;&gt;"approved",LOWER(AT192)&lt;&gt;"n/a",ISNUMBER(AU192)),AU192,1E+99),IF(AND(AW192&lt;&gt;"",LOWER(AW192)&lt;&gt;"approved",LOWER(AW192)&lt;&gt;"n/a",ISNUMBER(AX192)),AX192,1E+99),IF(AND(AZ192&lt;&gt;"",LOWER(AZ192)&lt;&gt;"approved",LOWER(AZ192)&lt;&gt;"n/a",ISNUMBER(BA192)),BA192,1E+99)),_xlpm.sw,IF(AG192="","",IFERROR("SW"&amp;MID(AG192,FIND("/W",AG192)+2,99),"SW "&amp;AG192)),_xlpm.stage&amp;IF(_xlpm.parts="","All development items approved/closed",_xlpm.parts)&amp;IF(AND(_xlpm.parts&lt;&gt;"",_xlpm.deadline&lt;1E+99),"; need approval by "&amp;TEXT(_xlpm.deadline,"d-mmm-yy"),"")&amp;IF(_xlpm.sw&lt;&gt;""," for "&amp;_xlpm.sw,"")))</f>
        <v>NPI: In progress: Drawing, Metal; Not started: Veneer/Wood, Marble for SW TBC</v>
      </c>
    </row>
    <row r="193" spans="1:58" ht="28.8">
      <c r="A193" s="2" t="str">
        <f>IFERROR(VLOOKUP(E193,'Customer '!$A$4:$D$28,3,FALSE),"")</f>
        <v>NON RH</v>
      </c>
      <c r="B193" s="2" t="s">
        <v>267</v>
      </c>
      <c r="C193" s="2" t="s">
        <v>298</v>
      </c>
      <c r="E193" s="2" t="s">
        <v>485</v>
      </c>
      <c r="F193" s="2" t="str">
        <f>IFERROR(VLOOKUP(E193,'Customer '!$A$4:$D$28,2,FALSE),"")</f>
        <v>MV</v>
      </c>
      <c r="G193" s="2" t="s">
        <v>486</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1</v>
      </c>
      <c r="J193" s="2" t="s">
        <v>316</v>
      </c>
      <c r="K193" s="2" t="s">
        <v>272</v>
      </c>
      <c r="L193" s="119" t="s">
        <v>317</v>
      </c>
      <c r="M193" s="281">
        <v>46275</v>
      </c>
      <c r="N193" s="281">
        <v>46304</v>
      </c>
      <c r="O193" s="282" t="s">
        <v>487</v>
      </c>
      <c r="P193" s="2" t="s">
        <v>51</v>
      </c>
      <c r="R193" s="274">
        <v>23</v>
      </c>
      <c r="S193" s="274">
        <v>27</v>
      </c>
      <c r="T193" s="274"/>
      <c r="U193" s="274"/>
      <c r="V193" s="274">
        <v>27</v>
      </c>
      <c r="W193" s="274">
        <v>86</v>
      </c>
      <c r="X193" s="278">
        <v>70241.840000000011</v>
      </c>
      <c r="Y193" s="278">
        <v>27000</v>
      </c>
      <c r="Z193" s="2" t="s">
        <v>319</v>
      </c>
      <c r="AA193" s="2" t="str">
        <f t="shared" si="43"/>
        <v>2027</v>
      </c>
      <c r="AB193" s="281">
        <v>46402</v>
      </c>
      <c r="AC193" s="281">
        <v>46402</v>
      </c>
      <c r="AD193" s="275">
        <v>46416</v>
      </c>
      <c r="AE193" s="281">
        <v>46416</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2027/W05</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2027/W05</v>
      </c>
      <c r="AH193" s="2" t="s">
        <v>304</v>
      </c>
      <c r="AI193" s="276">
        <v>46318</v>
      </c>
      <c r="AJ193" s="281"/>
      <c r="AK193" s="2" t="s">
        <v>304</v>
      </c>
      <c r="AL193" s="254"/>
      <c r="AM193" s="281"/>
      <c r="AO193" s="281"/>
      <c r="AP193" s="281"/>
      <c r="AQ193" s="2" t="s">
        <v>304</v>
      </c>
      <c r="AR193" s="281"/>
      <c r="AS193" s="281"/>
      <c r="AT193" s="2" t="s">
        <v>304</v>
      </c>
      <c r="AU193" s="281"/>
      <c r="AV193" s="281"/>
      <c r="AW193" s="2" t="s">
        <v>304</v>
      </c>
      <c r="AX193" s="281"/>
      <c r="AY193" s="281"/>
      <c r="AZ193" s="2" t="s">
        <v>73</v>
      </c>
      <c r="BA193" s="281"/>
      <c r="BB193" s="281"/>
      <c r="BC193" s="2" t="str">
        <f t="shared" si="42"/>
        <v>Active</v>
      </c>
      <c r="BE193" s="119" t="str">
        <f t="shared" si="45"/>
        <v>NPI: In progress: Drawing, Veneer/Wood, Metal, Mirror, Electrical; need approval by 23-Oct-26 for SW05</v>
      </c>
    </row>
    <row r="194" spans="1:58" ht="28.8">
      <c r="A194" s="2" t="str">
        <f>IFERROR(VLOOKUP(E194,'Customer '!$A$4:$D$28,3,FALSE),"")</f>
        <v>NON RH</v>
      </c>
      <c r="B194" s="2" t="s">
        <v>267</v>
      </c>
      <c r="C194" s="2" t="s">
        <v>298</v>
      </c>
      <c r="E194" s="2" t="s">
        <v>485</v>
      </c>
      <c r="F194" s="2" t="str">
        <f>IFERROR(VLOOKUP(E194,'Customer '!$A$4:$D$28,2,FALSE),"")</f>
        <v>MV</v>
      </c>
      <c r="G194" s="2" t="s">
        <v>486</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4" s="2">
        <f ca="1">IF(OR($H194="",$B194=""),0,--(COUNTIFS($H$3:$H194,$H194,$B$3:$B194,$B194)=1))</f>
        <v>0</v>
      </c>
      <c r="J194" s="2" t="s">
        <v>316</v>
      </c>
      <c r="K194" s="2" t="s">
        <v>272</v>
      </c>
      <c r="L194" s="119" t="s">
        <v>317</v>
      </c>
      <c r="M194" s="281">
        <v>46275</v>
      </c>
      <c r="N194" s="281">
        <v>46304</v>
      </c>
      <c r="O194" s="282"/>
      <c r="P194" s="2" t="s">
        <v>51</v>
      </c>
      <c r="R194" s="274">
        <v>23</v>
      </c>
      <c r="S194" s="274">
        <v>27</v>
      </c>
      <c r="T194" s="274"/>
      <c r="U194" s="274"/>
      <c r="V194" s="274">
        <v>27</v>
      </c>
      <c r="W194" s="274">
        <v>86</v>
      </c>
      <c r="X194" s="278">
        <v>70241.840000000011</v>
      </c>
      <c r="Y194" s="278">
        <f>X193-Y193</f>
        <v>43241.840000000011</v>
      </c>
      <c r="Z194" s="2" t="s">
        <v>347</v>
      </c>
      <c r="AA194" s="2" t="str">
        <f t="shared" ref="AA194" si="46">IF(Z194="","",IF(OR(Z194="TBC",Z194="Removed"),Z194,LEFT(Z194,4)))</f>
        <v>2027</v>
      </c>
      <c r="AB194" s="281">
        <v>46402</v>
      </c>
      <c r="AC194" s="281">
        <v>46402</v>
      </c>
      <c r="AD194" s="275">
        <v>46444</v>
      </c>
      <c r="AE194" s="281">
        <v>46465</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2027/W09</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2027/W12</v>
      </c>
      <c r="AH194" s="2" t="s">
        <v>304</v>
      </c>
      <c r="AI194" s="276">
        <v>46318</v>
      </c>
      <c r="AJ194" s="281"/>
      <c r="AK194" s="2" t="s">
        <v>304</v>
      </c>
      <c r="AL194" s="254"/>
      <c r="AM194" s="281"/>
      <c r="AO194" s="281"/>
      <c r="AP194" s="281"/>
      <c r="AQ194" s="2" t="s">
        <v>304</v>
      </c>
      <c r="AR194" s="281"/>
      <c r="AS194" s="281"/>
      <c r="AT194" s="2" t="s">
        <v>304</v>
      </c>
      <c r="AU194" s="281"/>
      <c r="AV194" s="281"/>
      <c r="AW194" s="2" t="s">
        <v>304</v>
      </c>
      <c r="AX194" s="281"/>
      <c r="AY194" s="281"/>
      <c r="AZ194" s="2" t="s">
        <v>73</v>
      </c>
      <c r="BA194" s="281"/>
      <c r="BB194" s="281"/>
      <c r="BC194" s="2" t="str">
        <f t="shared" si="42"/>
        <v>Active</v>
      </c>
      <c r="BE194" s="119" t="str">
        <f t="shared" si="45"/>
        <v>NPI: In progress: Drawing, Veneer/Wood, Metal, Mirror, Electrical; need approval by 23-Oct-26 for SW12</v>
      </c>
    </row>
    <row r="195" spans="1:58" ht="28.8">
      <c r="A195" s="2" t="str">
        <f>IFERROR(VLOOKUP(E195,'Customer '!$A$4:$D$28,3,FALSE),"")</f>
        <v>NON RH</v>
      </c>
      <c r="B195" s="2" t="s">
        <v>267</v>
      </c>
      <c r="C195" s="2" t="s">
        <v>298</v>
      </c>
      <c r="E195" s="2" t="s">
        <v>485</v>
      </c>
      <c r="F195" s="2" t="str">
        <f>IFERROR(VLOOKUP(E195,'Customer '!$A$4:$D$28,2,FALSE),"")</f>
        <v>MV</v>
      </c>
      <c r="G195" s="2" t="s">
        <v>1637</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CLINIC-PHASE 2</v>
      </c>
      <c r="I195" s="2">
        <f ca="1">IF(OR($H195="",$B195=""),0,--(COUNTIFS($H$3:$H195,$H195,$B$3:$B195,$B195)=1))</f>
        <v>1</v>
      </c>
      <c r="J195" s="2" t="s">
        <v>316</v>
      </c>
      <c r="K195" s="2" t="s">
        <v>272</v>
      </c>
      <c r="L195" s="119" t="s">
        <v>317</v>
      </c>
      <c r="M195" s="281">
        <v>46308</v>
      </c>
      <c r="N195" s="281"/>
      <c r="O195" s="282" t="s">
        <v>487</v>
      </c>
      <c r="P195" s="2" t="s">
        <v>51</v>
      </c>
      <c r="R195" s="274">
        <v>26</v>
      </c>
      <c r="S195" s="274">
        <v>39</v>
      </c>
      <c r="T195" s="274"/>
      <c r="U195" s="274"/>
      <c r="V195" s="274">
        <v>29</v>
      </c>
      <c r="W195" s="274">
        <v>68</v>
      </c>
      <c r="X195" s="278">
        <v>169552.37000000002</v>
      </c>
      <c r="Y195" s="278">
        <v>169552.37000000002</v>
      </c>
      <c r="Z195" s="2" t="s">
        <v>332</v>
      </c>
      <c r="AA195" s="2" t="str">
        <f t="shared" ref="AA195" si="47">IF(Z195="","",IF(OR(Z195="TBC",Z195="Removed"),Z195,LEFT(Z195,4)))</f>
        <v>2027</v>
      </c>
      <c r="AB195" s="281">
        <v>46402</v>
      </c>
      <c r="AC195" s="281">
        <v>46402</v>
      </c>
      <c r="AD195" s="275">
        <v>46486</v>
      </c>
      <c r="AE195" s="281">
        <v>46535</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2027/W15</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2027/W22</v>
      </c>
      <c r="AH195" s="2" t="s">
        <v>304</v>
      </c>
      <c r="AI195" s="276"/>
      <c r="AJ195" s="281"/>
      <c r="AK195" s="2" t="s">
        <v>304</v>
      </c>
      <c r="AL195" s="254"/>
      <c r="AM195" s="281"/>
      <c r="AN195" s="2" t="s">
        <v>304</v>
      </c>
      <c r="AO195" s="281"/>
      <c r="AP195" s="281"/>
      <c r="AQ195" s="2" t="s">
        <v>304</v>
      </c>
      <c r="AR195" s="281"/>
      <c r="AS195" s="281"/>
      <c r="AT195" s="2" t="s">
        <v>304</v>
      </c>
      <c r="AU195" s="281"/>
      <c r="AV195" s="281"/>
      <c r="AW195" s="2" t="s">
        <v>73</v>
      </c>
      <c r="AX195" s="281"/>
      <c r="AY195" s="281"/>
      <c r="AZ195" s="2" t="s">
        <v>73</v>
      </c>
      <c r="BA195" s="281"/>
      <c r="BB195" s="281"/>
      <c r="BC195" s="2" t="str">
        <f t="shared" ref="BC195" si="48">IF(J195="","",IF(OR(J195="OB",J195="NOR",J195="FC",J195="PIPELINE"),"Active","Complete"))</f>
        <v>Active</v>
      </c>
      <c r="BE195" s="119" t="str">
        <f t="shared" ref="BE195" si="49">IF(UPPER(TRIM(J195))="SHIPPED","READY",_xlfn.LET(_xlpm.stage,IF(B195="","",B195&amp;": "),_xlpm.ip,_xlfn.TEXTJOIN(", ",TRUE,IF(LOWER(AH195)="in progress","Drawing",""),IF(LOWER(AK195)="in progress","Veneer/Wood",""),IF(LOWER(AN195)="in progress","Marble",""),IF(LOWER(AQ195)="in progress","Metal",""),IF(LOWER(AT195)="in progress","Mirror",""),IF(LOWER(AW195)="in progress","Electrical",""),IF(LOWER(AZ195)="in progress","Fabric","")),_xlpm.pa,_xlfn.TEXTJOIN(", ",TRUE,IF(LOWER(AH195)="pending approval","Drawing",""),IF(LOWER(AK195)="pending approval","Veneer/Wood",""),IF(LOWER(AN195)="pending approval","Marble",""),IF(LOWER(AQ195)="pending approval","Metal",""),IF(LOWER(AT195)="pending approval","Mirror",""),IF(LOWER(AW195)="pending approval","Electrical",""),IF(LOWER(AZ195)="pending approval","Fabric","")),_xlpm.ns,_xlfn.TEXTJOIN(", ",TRUE,IF(LOWER(AH195)="not started","Drawing",""),IF(LOWER(AK195)="not started","Veneer/Wood",""),IF(LOWER(AN195)="not started","Marble",""),IF(LOWER(AQ195)="not started","Metal",""),IF(LOWER(AT195)="not started","Mirror",""),IF(LOWER(AW195)="not started","Electrical",""),IF(LOWER(AZ195)="not started","Fabric","")),_xlpm.fab,IF(OR(LOWER(AZ195)="com",LOWER(AZ195)="com pending",LOWER(AZ195)="com received"),"Fabric is "&amp;LOWER(AZ195),""),_xlpm.parts,_xlfn.TEXTJOIN("; ",TRUE,IF(_xlpm.ip&lt;&gt;"","In progress: "&amp;_xlpm.ip,""),IF(_xlpm.pa&lt;&gt;"","Pending approval: "&amp;_xlpm.pa,""),IF(_xlpm.ns&lt;&gt;"","Not started: "&amp;_xlpm.ns,""),_xlpm.fab),_xlpm.deadline,MIN(IF(AND(AH195&lt;&gt;"",LOWER(AH195)&lt;&gt;"approved",LOWER(AH195)&lt;&gt;"n/a",ISNUMBER(AI195)),AI195,1E+99),IF(AND(AK195&lt;&gt;"",LOWER(AK195)&lt;&gt;"approved",LOWER(AK195)&lt;&gt;"n/a",ISNUMBER(AL195)),AL195,1E+99),IF(AND(AN195&lt;&gt;"",LOWER(AN195)&lt;&gt;"approved",LOWER(AN195)&lt;&gt;"n/a",ISNUMBER(AO195)),AO195,1E+99),IF(AND(AQ195&lt;&gt;"",LOWER(AQ195)&lt;&gt;"approved",LOWER(AQ195)&lt;&gt;"n/a",ISNUMBER(AR195)),AR195,1E+99),IF(AND(AT195&lt;&gt;"",LOWER(AT195)&lt;&gt;"approved",LOWER(AT195)&lt;&gt;"n/a",ISNUMBER(AU195)),AU195,1E+99),IF(AND(AW195&lt;&gt;"",LOWER(AW195)&lt;&gt;"approved",LOWER(AW195)&lt;&gt;"n/a",ISNUMBER(AX195)),AX195,1E+99),IF(AND(AZ195&lt;&gt;"",LOWER(AZ195)&lt;&gt;"approved",LOWER(AZ195)&lt;&gt;"n/a",ISNUMBER(BA195)),BA195,1E+99)),_xlpm.sw,IF(AG195="","",IFERROR("SW"&amp;MID(AG195,FIND("/W",AG195)+2,99),"SW "&amp;AG195)),_xlpm.stage&amp;IF(_xlpm.parts="","All development items approved/closed",_xlpm.parts)&amp;IF(AND(_xlpm.parts&lt;&gt;"",_xlpm.deadline&lt;1E+99),"; need approval by "&amp;TEXT(_xlpm.deadline,"d-mmm-yy"),"")&amp;IF(_xlpm.sw&lt;&gt;""," for "&amp;_xlpm.sw,"")))</f>
        <v>NPI: In progress: Drawing, Veneer/Wood, Marble, Metal, Mirror for SW22</v>
      </c>
    </row>
    <row r="196" spans="1:58">
      <c r="A196" s="2" t="str">
        <f>IFERROR(VLOOKUP(E196,'Customer '!$A$4:$D$23,3,FALSE),"")</f>
        <v>RH</v>
      </c>
      <c r="B196" s="2" t="s">
        <v>267</v>
      </c>
      <c r="C196" s="2" t="s">
        <v>308</v>
      </c>
      <c r="D196" s="2" t="s">
        <v>269</v>
      </c>
      <c r="E196" s="2" t="s">
        <v>61</v>
      </c>
      <c r="F196" s="2" t="str">
        <f>IFERROR(VLOOKUP(E196,'Customer '!$A$4:$D$28,2,FALSE),"")</f>
        <v>RH</v>
      </c>
      <c r="G196" s="2" t="s">
        <v>488</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6" s="2">
        <f ca="1">IF(OR($H196="",$B196=""),0,--(COUNTIFS($H$3:$H196,$H196,$B$3:$B196,$B196)=1))</f>
        <v>1</v>
      </c>
      <c r="J196" s="2" t="s">
        <v>310</v>
      </c>
      <c r="K196" s="2" t="s">
        <v>272</v>
      </c>
      <c r="L196" s="119" t="s">
        <v>311</v>
      </c>
      <c r="M196" s="281">
        <v>46181</v>
      </c>
      <c r="N196" s="281">
        <v>46266</v>
      </c>
      <c r="O196" s="282"/>
      <c r="P196" s="2" t="s">
        <v>51</v>
      </c>
      <c r="Q196" s="2" t="s">
        <v>51</v>
      </c>
      <c r="R196" s="274">
        <v>0</v>
      </c>
      <c r="S196" s="274">
        <v>0</v>
      </c>
      <c r="T196" s="274"/>
      <c r="U196" s="274"/>
      <c r="V196" s="274">
        <v>1</v>
      </c>
      <c r="W196" s="274">
        <v>12</v>
      </c>
      <c r="X196" s="278">
        <v>5839.5599999999995</v>
      </c>
      <c r="Y196" s="278">
        <v>5839.5599999999995</v>
      </c>
      <c r="Z196" s="2" t="s">
        <v>312</v>
      </c>
      <c r="AA196" s="2" t="str">
        <f t="shared" ref="AA196:AA203" si="50">IF(Z196="","",IF(OR(Z196="TBC",Z196="Removed"),Z196,LEFT(Z196,4)))</f>
        <v>2026</v>
      </c>
      <c r="AB196" s="281"/>
      <c r="AC196" s="281"/>
      <c r="AD196" s="275">
        <v>46346</v>
      </c>
      <c r="AE196" s="281">
        <v>46346</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2026/W47</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2026/W47</v>
      </c>
      <c r="AH196" s="2" t="s">
        <v>56</v>
      </c>
      <c r="AI196" s="276"/>
      <c r="AJ196" s="281">
        <v>46254</v>
      </c>
      <c r="AK196" s="2" t="s">
        <v>56</v>
      </c>
      <c r="AL196" s="281"/>
      <c r="AM196" s="281">
        <v>46254</v>
      </c>
      <c r="AN196" s="2" t="s">
        <v>56</v>
      </c>
      <c r="AO196" s="281"/>
      <c r="AP196" s="281"/>
      <c r="AQ196" s="2" t="s">
        <v>73</v>
      </c>
      <c r="AR196" s="281"/>
      <c r="AS196" s="281"/>
      <c r="AT196" s="2" t="s">
        <v>73</v>
      </c>
      <c r="AU196" s="281"/>
      <c r="AV196" s="281"/>
      <c r="AW196" s="2" t="s">
        <v>73</v>
      </c>
      <c r="AX196" s="281"/>
      <c r="AY196" s="281"/>
      <c r="AZ196" s="2" t="s">
        <v>73</v>
      </c>
      <c r="BA196" s="281"/>
      <c r="BB196" s="281"/>
      <c r="BC196" s="2" t="str">
        <f t="shared" si="42"/>
        <v>Active</v>
      </c>
      <c r="BE196" s="119" t="str">
        <f t="shared" si="45"/>
        <v>NPI: All development items approved/closed for SW47</v>
      </c>
    </row>
    <row r="197" spans="1:58">
      <c r="A197" s="2" t="str">
        <f>IFERROR(VLOOKUP(E197,'Customer '!$A$4:$D$23,3,FALSE),"")</f>
        <v>NON RH</v>
      </c>
      <c r="B197" s="2" t="s">
        <v>327</v>
      </c>
      <c r="C197" s="2" t="s">
        <v>352</v>
      </c>
      <c r="E197" s="2" t="s">
        <v>176</v>
      </c>
      <c r="F197" s="2" t="str">
        <f>IFERROR(VLOOKUP(E197,'Customer '!$A$4:$D$28,2,FALSE),"")</f>
        <v>SPECTRUM</v>
      </c>
      <c r="G197" s="2" t="s">
        <v>489</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7" s="2">
        <f ca="1">IF(OR($H197="",$B197=""),0,--(COUNTIFS($H$3:$H197,$H197,$B$3:$B197,$B197)=1))</f>
        <v>1</v>
      </c>
      <c r="J197" s="2" t="s">
        <v>284</v>
      </c>
      <c r="K197" s="2" t="s">
        <v>272</v>
      </c>
      <c r="L197" s="119" t="s">
        <v>317</v>
      </c>
      <c r="M197" s="281">
        <v>46090</v>
      </c>
      <c r="N197" s="281">
        <v>46306</v>
      </c>
      <c r="O197" s="282" t="s">
        <v>487</v>
      </c>
      <c r="P197" s="2" t="s">
        <v>51</v>
      </c>
      <c r="Q197" s="2" t="s">
        <v>51</v>
      </c>
      <c r="R197" s="274">
        <v>0</v>
      </c>
      <c r="S197" s="274">
        <v>0</v>
      </c>
      <c r="T197" s="274"/>
      <c r="U197" s="274"/>
      <c r="V197" s="274">
        <v>1</v>
      </c>
      <c r="W197" s="274">
        <v>1</v>
      </c>
      <c r="X197" s="278">
        <v>730.3</v>
      </c>
      <c r="Y197" s="278">
        <v>730.3</v>
      </c>
      <c r="Z197" s="2" t="s">
        <v>312</v>
      </c>
      <c r="AA197" s="2" t="str">
        <f t="shared" si="50"/>
        <v>2026</v>
      </c>
      <c r="AB197" s="281"/>
      <c r="AC197" s="281"/>
      <c r="AD197" s="275">
        <v>46353</v>
      </c>
      <c r="AE197" s="281">
        <v>46353</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2026/W48</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2026/W48</v>
      </c>
      <c r="AH197" s="2" t="s">
        <v>304</v>
      </c>
      <c r="AI197" s="276">
        <v>46675</v>
      </c>
      <c r="AJ197" s="281"/>
      <c r="AK197" s="2" t="s">
        <v>56</v>
      </c>
      <c r="AL197" s="254"/>
      <c r="AM197" s="281"/>
      <c r="AO197" s="281"/>
      <c r="AP197" s="281"/>
      <c r="AR197" s="281"/>
      <c r="AS197" s="281"/>
      <c r="AU197" s="281"/>
      <c r="AV197" s="281"/>
      <c r="AX197" s="281"/>
      <c r="AY197" s="281"/>
      <c r="BA197" s="281"/>
      <c r="BB197" s="281"/>
      <c r="BC197" s="2" t="str">
        <f t="shared" si="42"/>
        <v>Active</v>
      </c>
      <c r="BE197" s="119" t="str">
        <f t="shared" si="45"/>
        <v>NPD: In progress: Drawing; need approval by 15-Oct-27 for SW48</v>
      </c>
    </row>
    <row r="198" spans="1:58" ht="28.8">
      <c r="A198" s="2" t="str">
        <f>IFERROR(VLOOKUP(E198,'Customer '!$A$4:$D$23,3,FALSE),"")</f>
        <v>RH</v>
      </c>
      <c r="B198" s="2" t="s">
        <v>267</v>
      </c>
      <c r="C198" s="2" t="s">
        <v>352</v>
      </c>
      <c r="E198" s="2" t="s">
        <v>61</v>
      </c>
      <c r="F198" s="2" t="str">
        <f>IFERROR(VLOOKUP(E198,'Customer '!$A$4:$D$28,2,FALSE),"")</f>
        <v>RH</v>
      </c>
      <c r="G198" s="2" t="s">
        <v>490</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8" s="2">
        <f ca="1">IF(OR($H198="",$B198=""),0,--(COUNTIFS($H$3:$H198,$H198,$B$3:$B198,$B198)=1))</f>
        <v>1</v>
      </c>
      <c r="J198" s="2" t="s">
        <v>284</v>
      </c>
      <c r="K198" s="2" t="s">
        <v>272</v>
      </c>
      <c r="L198" s="119" t="s">
        <v>285</v>
      </c>
      <c r="M198" s="281">
        <v>46318</v>
      </c>
      <c r="N198" s="276" t="s">
        <v>318</v>
      </c>
      <c r="O198" s="282"/>
      <c r="P198" s="2" t="s">
        <v>51</v>
      </c>
      <c r="Q198" s="2" t="s">
        <v>491</v>
      </c>
      <c r="R198" s="274"/>
      <c r="S198" s="274"/>
      <c r="T198" s="274">
        <f>DetailTracker[[#This Row],[PROJECT SKU]]-DetailTracker[[#This Row],[UPH QTY]]</f>
        <v>32</v>
      </c>
      <c r="U198" s="274">
        <v>19</v>
      </c>
      <c r="V198" s="274">
        <v>51</v>
      </c>
      <c r="W198" s="274">
        <v>546</v>
      </c>
      <c r="X198" s="278">
        <v>313857</v>
      </c>
      <c r="Y198" s="278">
        <v>313857</v>
      </c>
      <c r="Z198" s="2" t="s">
        <v>286</v>
      </c>
      <c r="AA198" s="2" t="str">
        <f t="shared" si="50"/>
        <v>2027</v>
      </c>
      <c r="AB198" s="281"/>
      <c r="AC198" s="281"/>
      <c r="AD198" s="275">
        <v>46549</v>
      </c>
      <c r="AE198" s="281">
        <v>46563</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2027/W24</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2027/W26</v>
      </c>
      <c r="AH198" s="2" t="s">
        <v>304</v>
      </c>
      <c r="AI198" s="276"/>
      <c r="AJ198" s="281"/>
      <c r="AK198" s="2" t="s">
        <v>304</v>
      </c>
      <c r="AL198" s="281"/>
      <c r="AM198" s="281"/>
      <c r="AN198" s="2" t="s">
        <v>73</v>
      </c>
      <c r="AO198" s="281"/>
      <c r="AP198" s="281"/>
      <c r="AQ198" s="2" t="s">
        <v>287</v>
      </c>
      <c r="AR198" s="281"/>
      <c r="AS198" s="281"/>
      <c r="AT198" s="2" t="s">
        <v>73</v>
      </c>
      <c r="AU198" s="281"/>
      <c r="AV198" s="281"/>
      <c r="AW198" s="2" t="s">
        <v>73</v>
      </c>
      <c r="AX198" s="281"/>
      <c r="AY198" s="281"/>
      <c r="AZ198" s="2" t="s">
        <v>304</v>
      </c>
      <c r="BA198" s="281"/>
      <c r="BB198" s="281"/>
      <c r="BC198" s="2" t="str">
        <f t="shared" si="42"/>
        <v>Active</v>
      </c>
      <c r="BE198" s="119" t="str">
        <f t="shared" si="45"/>
        <v>NPI: In progress: Drawing, Veneer/Wood, Fabric; Not started: Metal for SW26</v>
      </c>
    </row>
    <row r="199" spans="1:58" ht="72">
      <c r="A199" s="2" t="str">
        <f>IFERROR(VLOOKUP(E199,'Customer '!$A$4:$D$23,3,FALSE),"")</f>
        <v>RH</v>
      </c>
      <c r="B199" s="2" t="s">
        <v>267</v>
      </c>
      <c r="C199" s="2" t="s">
        <v>298</v>
      </c>
      <c r="D199" s="2" t="s">
        <v>313</v>
      </c>
      <c r="E199" s="2" t="s">
        <v>61</v>
      </c>
      <c r="F199" s="2" t="str">
        <f>IFERROR(VLOOKUP(E199,'Customer '!$A$4:$D$28,2,FALSE),"")</f>
        <v>RH</v>
      </c>
      <c r="G199" s="2" t="s">
        <v>492</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9" s="2">
        <f ca="1">IF(OR($H199="",$B199=""),0,--(COUNTIFS($H$3:$H199,$H199,$B$3:$B199,$B199)=1))</f>
        <v>1</v>
      </c>
      <c r="J199" s="2" t="s">
        <v>284</v>
      </c>
      <c r="K199" s="2" t="s">
        <v>272</v>
      </c>
      <c r="L199" s="119" t="s">
        <v>285</v>
      </c>
      <c r="M199" s="281">
        <v>46296</v>
      </c>
      <c r="N199" s="276" t="s">
        <v>318</v>
      </c>
      <c r="O199" s="282"/>
      <c r="P199" s="2" t="s">
        <v>51</v>
      </c>
      <c r="Q199" s="2" t="s">
        <v>493</v>
      </c>
      <c r="R199" s="274">
        <v>5</v>
      </c>
      <c r="S199" s="274">
        <v>23</v>
      </c>
      <c r="T199" s="274"/>
      <c r="U199" s="274"/>
      <c r="V199" s="274">
        <v>7</v>
      </c>
      <c r="W199" s="274">
        <v>32</v>
      </c>
      <c r="X199" s="278">
        <v>38935.43</v>
      </c>
      <c r="Y199" s="278">
        <v>38935.43</v>
      </c>
      <c r="Z199" s="2" t="s">
        <v>319</v>
      </c>
      <c r="AA199" s="2" t="str">
        <f t="shared" si="50"/>
        <v>2027</v>
      </c>
      <c r="AB199" s="281"/>
      <c r="AC199" s="281"/>
      <c r="AD199" s="275">
        <v>46031</v>
      </c>
      <c r="AE199" s="275">
        <v>46031</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2026/W02</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2026/W02</v>
      </c>
      <c r="AH199" s="2" t="s">
        <v>304</v>
      </c>
      <c r="AI199" s="276"/>
      <c r="AJ199" s="318" t="s">
        <v>1649</v>
      </c>
      <c r="AK199" s="2" t="s">
        <v>304</v>
      </c>
      <c r="AL199" s="281">
        <v>46301</v>
      </c>
      <c r="AM199" s="281"/>
      <c r="AN199" s="2" t="s">
        <v>73</v>
      </c>
      <c r="AO199" s="281"/>
      <c r="AP199" s="281"/>
      <c r="AQ199" s="2" t="s">
        <v>304</v>
      </c>
      <c r="AR199" s="281">
        <v>46301</v>
      </c>
      <c r="AS199" s="281"/>
      <c r="AT199" s="2" t="s">
        <v>73</v>
      </c>
      <c r="AU199" s="281"/>
      <c r="AV199" s="281"/>
      <c r="AW199" s="2" t="s">
        <v>287</v>
      </c>
      <c r="AX199" s="281"/>
      <c r="AY199" s="281"/>
      <c r="AZ199" s="2" t="s">
        <v>57</v>
      </c>
      <c r="BA199" s="281">
        <v>46367</v>
      </c>
      <c r="BB199" s="281"/>
      <c r="BC199" s="2" t="str">
        <f t="shared" si="42"/>
        <v>Active</v>
      </c>
      <c r="BE199" s="119" t="str">
        <f t="shared" si="45"/>
        <v>NPI: In progress: Drawing, Veneer/Wood, Metal; Not started: Electrical; Fabric is com; need approval by 6-Oct-26 for SW02</v>
      </c>
    </row>
    <row r="200" spans="1:58" ht="28.8">
      <c r="A200" s="2" t="str">
        <f>IFERROR(VLOOKUP(E200,'Customer '!$A$4:$D$23,3,FALSE),"")</f>
        <v>NON RH</v>
      </c>
      <c r="B200" s="2" t="s">
        <v>267</v>
      </c>
      <c r="C200" s="2" t="s">
        <v>427</v>
      </c>
      <c r="E200" s="2" t="s">
        <v>430</v>
      </c>
      <c r="F200" s="2" t="str">
        <f>IFERROR(VLOOKUP(E200,'Customer '!$A$4:$D$28,2,FALSE),"")</f>
        <v>BISCAYNE</v>
      </c>
      <c r="G200" s="2" t="s">
        <v>494</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200" s="2">
        <f ca="1">IF(OR($H200="",$B200=""),0,--(COUNTIFS($H$3:$H200,$H200,$B$3:$B200,$B200)=1))</f>
        <v>1</v>
      </c>
      <c r="J200" s="2" t="s">
        <v>316</v>
      </c>
      <c r="K200" s="2" t="s">
        <v>272</v>
      </c>
      <c r="L200" s="119" t="s">
        <v>285</v>
      </c>
      <c r="M200" s="281">
        <v>46302</v>
      </c>
      <c r="N200" s="281">
        <v>46300</v>
      </c>
      <c r="O200" s="282" t="s">
        <v>487</v>
      </c>
      <c r="P200" s="2" t="s">
        <v>51</v>
      </c>
      <c r="Q200" s="2" t="s">
        <v>495</v>
      </c>
      <c r="R200" s="274"/>
      <c r="S200" s="274"/>
      <c r="T200" s="274"/>
      <c r="U200" s="274"/>
      <c r="V200" s="274">
        <v>2</v>
      </c>
      <c r="W200" s="274">
        <v>920</v>
      </c>
      <c r="X200" s="278">
        <v>333776</v>
      </c>
      <c r="Y200" s="278">
        <v>333776</v>
      </c>
      <c r="Z200" s="2" t="s">
        <v>347</v>
      </c>
      <c r="AA200" s="2" t="str">
        <f t="shared" si="50"/>
        <v>2027</v>
      </c>
      <c r="AB200" s="281"/>
      <c r="AC200" s="281"/>
      <c r="AD200" s="275">
        <v>46451</v>
      </c>
      <c r="AE200" s="281">
        <v>46461</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2027/W10</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2027/W12</v>
      </c>
      <c r="AH200" s="2" t="s">
        <v>304</v>
      </c>
      <c r="AI200" s="276">
        <v>46682</v>
      </c>
      <c r="AJ200" s="281"/>
      <c r="AK200" s="2" t="s">
        <v>304</v>
      </c>
      <c r="AL200" s="281"/>
      <c r="AM200" s="281"/>
      <c r="AN200" s="2" t="s">
        <v>73</v>
      </c>
      <c r="AO200" s="281"/>
      <c r="AP200" s="281"/>
      <c r="AQ200" s="2" t="s">
        <v>304</v>
      </c>
      <c r="AR200" s="281"/>
      <c r="AS200" s="281"/>
      <c r="AT200" s="2" t="s">
        <v>73</v>
      </c>
      <c r="AU200" s="281"/>
      <c r="AV200" s="281"/>
      <c r="AW200" s="2" t="s">
        <v>73</v>
      </c>
      <c r="AX200" s="281"/>
      <c r="AY200" s="281"/>
      <c r="AZ200" s="2" t="s">
        <v>342</v>
      </c>
      <c r="BA200" s="281"/>
      <c r="BB200" s="281"/>
      <c r="BC200" s="2" t="str">
        <f t="shared" si="42"/>
        <v>Active</v>
      </c>
      <c r="BE200" s="119" t="str">
        <f t="shared" si="45"/>
        <v>NPI: In progress: Drawing, Veneer/Wood, Metal; Fabric is com pending; need approval by 22-Oct-27 for SW12</v>
      </c>
    </row>
    <row r="201" spans="1:58">
      <c r="A201" s="2" t="str">
        <f>IFERROR(VLOOKUP(E201,'Customer '!$A$4:$D$29,3,FALSE),"")</f>
        <v>NON RH</v>
      </c>
      <c r="B201" s="2" t="s">
        <v>267</v>
      </c>
      <c r="C201" s="2" t="s">
        <v>282</v>
      </c>
      <c r="E201" s="2" t="s">
        <v>496</v>
      </c>
      <c r="F201" s="2" t="str">
        <f>IFERROR(VLOOKUP(E201,'Customer '!$A$4:$D$29,2,FALSE),"")</f>
        <v>FAIRFIELD</v>
      </c>
      <c r="G201" s="2" t="s">
        <v>497</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1" s="2">
        <f ca="1">IF(OR($H201="",$B201=""),0,--(COUNTIFS($H$3:$H201,$H201,$B$3:$B201,$B201)=1))</f>
        <v>1</v>
      </c>
      <c r="J201" s="2" t="s">
        <v>321</v>
      </c>
      <c r="K201" s="2" t="s">
        <v>272</v>
      </c>
      <c r="L201" s="119" t="s">
        <v>285</v>
      </c>
      <c r="M201" s="281"/>
      <c r="N201" s="281"/>
      <c r="O201" s="282"/>
      <c r="P201" s="2" t="s">
        <v>51</v>
      </c>
      <c r="Q201" s="2" t="s">
        <v>498</v>
      </c>
      <c r="R201" s="274"/>
      <c r="S201" s="274"/>
      <c r="T201" s="274"/>
      <c r="U201" s="274"/>
      <c r="V201" s="274">
        <v>3</v>
      </c>
      <c r="W201" s="274">
        <v>328</v>
      </c>
      <c r="X201" s="278">
        <v>291481.96000000002</v>
      </c>
      <c r="Y201" s="278">
        <v>291481.96000000002</v>
      </c>
      <c r="Z201" s="2" t="s">
        <v>149</v>
      </c>
      <c r="AA201" s="2" t="str">
        <f t="shared" si="50"/>
        <v>TBC</v>
      </c>
      <c r="AB201" s="281"/>
      <c r="AC201" s="281"/>
      <c r="AD201" s="275" t="s">
        <v>149</v>
      </c>
      <c r="AE201" s="281"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76"/>
      <c r="AJ201" s="281"/>
      <c r="AK201" s="2" t="s">
        <v>304</v>
      </c>
      <c r="AL201" s="281"/>
      <c r="AM201" s="281"/>
      <c r="AO201" s="281"/>
      <c r="AP201" s="281"/>
      <c r="AR201" s="281"/>
      <c r="AS201" s="281"/>
      <c r="AU201" s="281"/>
      <c r="AV201" s="281"/>
      <c r="AX201" s="281"/>
      <c r="AY201" s="281"/>
      <c r="BA201" s="281"/>
      <c r="BB201" s="281"/>
      <c r="BC201" s="2" t="str">
        <f t="shared" si="42"/>
        <v>Active</v>
      </c>
      <c r="BE201" s="119" t="str">
        <f t="shared" si="45"/>
        <v>NPI: In progress: Drawing, Veneer/Wood for SW TBC</v>
      </c>
    </row>
    <row r="202" spans="1:58" ht="28.8">
      <c r="A202" s="2" t="str">
        <f>IFERROR(VLOOKUP(E202,'Customer '!$A$4:$D$29,3,FALSE),"")</f>
        <v>NON RH</v>
      </c>
      <c r="B202" s="2" t="s">
        <v>327</v>
      </c>
      <c r="C202" s="2" t="s">
        <v>282</v>
      </c>
      <c r="E202" s="2" t="s">
        <v>496</v>
      </c>
      <c r="F202" s="2" t="str">
        <f>IFERROR(VLOOKUP(E202,'Customer '!$A$4:$D$29,2,FALSE),"")</f>
        <v>FAIRFIELD</v>
      </c>
      <c r="G202" s="2" t="s">
        <v>497</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2" s="2">
        <f ca="1">IF(OR($H202="",$B202=""),0,--(COUNTIFS($H$3:$H202,$H202,$B$3:$B202,$B202)=1))</f>
        <v>1</v>
      </c>
      <c r="J202" s="2" t="s">
        <v>284</v>
      </c>
      <c r="K202" s="2" t="s">
        <v>272</v>
      </c>
      <c r="L202" s="119" t="s">
        <v>285</v>
      </c>
      <c r="M202" s="281"/>
      <c r="N202" s="281"/>
      <c r="O202" s="282"/>
      <c r="P202" s="2" t="s">
        <v>51</v>
      </c>
      <c r="Q202" s="2" t="s">
        <v>498</v>
      </c>
      <c r="R202" s="274"/>
      <c r="S202" s="274"/>
      <c r="T202" s="274"/>
      <c r="U202" s="274"/>
      <c r="V202" s="274">
        <v>3</v>
      </c>
      <c r="X202" s="278"/>
      <c r="Y202" s="278"/>
      <c r="Z202" s="2" t="s">
        <v>319</v>
      </c>
      <c r="AA202" s="2" t="str">
        <f t="shared" ref="AA202" si="51">IF(Z202="","",IF(OR(Z202="TBC",Z202="Removed"),Z202,LEFT(Z202,4)))</f>
        <v>2027</v>
      </c>
      <c r="AB202" s="281"/>
      <c r="AC202" s="281"/>
      <c r="AD202" s="275" t="s">
        <v>149</v>
      </c>
      <c r="AE202" s="281"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322</v>
      </c>
      <c r="AI202" s="276"/>
      <c r="AJ202" s="281"/>
      <c r="AK202" s="2" t="s">
        <v>304</v>
      </c>
      <c r="AL202" s="281"/>
      <c r="AM202" s="281"/>
      <c r="AO202" s="281"/>
      <c r="AP202" s="281"/>
      <c r="AR202" s="281"/>
      <c r="AS202" s="281"/>
      <c r="AU202" s="281"/>
      <c r="AV202" s="281"/>
      <c r="AX202" s="281"/>
      <c r="AY202" s="281"/>
      <c r="BA202" s="281"/>
      <c r="BB202" s="281"/>
      <c r="BC202" s="2" t="str">
        <f t="shared" si="42"/>
        <v>Active</v>
      </c>
      <c r="BE202" s="119" t="str">
        <f t="shared" si="45"/>
        <v>NPD: In progress: Veneer/Wood; Pending approval: Drawing for SW TBC</v>
      </c>
    </row>
    <row r="203" spans="1:58">
      <c r="A203" s="2" t="str">
        <f>IFERROR(VLOOKUP(E203,'Customer '!$A$4:$D$30,3,FALSE),"")</f>
        <v>NON RH</v>
      </c>
      <c r="B203" s="2" t="s">
        <v>327</v>
      </c>
      <c r="C203" s="2" t="s">
        <v>282</v>
      </c>
      <c r="E203" s="2" t="s">
        <v>499</v>
      </c>
      <c r="F203" s="2" t="str">
        <f>IFERROR(VLOOKUP(E203,'Customer '!$A$4:$D$30,2,FALSE),"")</f>
        <v>MONDO</v>
      </c>
      <c r="G203" s="2" t="s">
        <v>500</v>
      </c>
      <c r="H2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3" s="2">
        <f ca="1">IF(OR($H203="",$B203=""),0,--(COUNTIFS($H$3:$H203,$H203,$B$3:$B203,$B203)=1))</f>
        <v>1</v>
      </c>
      <c r="J203" s="2" t="s">
        <v>284</v>
      </c>
      <c r="K203" s="2" t="s">
        <v>272</v>
      </c>
      <c r="L203" s="119" t="s">
        <v>285</v>
      </c>
      <c r="M203" s="281"/>
      <c r="N203" s="281"/>
      <c r="O203" s="282"/>
      <c r="P203" s="2" t="s">
        <v>51</v>
      </c>
      <c r="Q203" s="2" t="s">
        <v>501</v>
      </c>
      <c r="R203" s="274"/>
      <c r="S203" s="274"/>
      <c r="T203" s="274"/>
      <c r="U203" s="274"/>
      <c r="V203" s="274">
        <v>11</v>
      </c>
      <c r="X203" s="278">
        <v>14973.54</v>
      </c>
      <c r="Y203" s="278">
        <v>14973.54</v>
      </c>
      <c r="Z203" s="2" t="s">
        <v>319</v>
      </c>
      <c r="AA203" s="2" t="str">
        <f t="shared" si="50"/>
        <v>2027</v>
      </c>
      <c r="AB203" s="281"/>
      <c r="AC203" s="281"/>
      <c r="AD203" s="275" t="s">
        <v>149</v>
      </c>
      <c r="AE203" s="281" t="s">
        <v>149</v>
      </c>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TBC</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TBC</v>
      </c>
      <c r="AH203" s="2" t="s">
        <v>304</v>
      </c>
      <c r="AI203" s="276"/>
      <c r="AJ203" s="281"/>
      <c r="AK203" s="2" t="s">
        <v>304</v>
      </c>
      <c r="AL203" s="281"/>
      <c r="AM203" s="281"/>
      <c r="AO203" s="281"/>
      <c r="AP203" s="281"/>
      <c r="AR203" s="281"/>
      <c r="AS203" s="281"/>
      <c r="AU203" s="281"/>
      <c r="AV203" s="281"/>
      <c r="AX203" s="281"/>
      <c r="AY203" s="281"/>
      <c r="BA203" s="281"/>
      <c r="BB203" s="281"/>
      <c r="BC203" s="2" t="str">
        <f t="shared" si="42"/>
        <v>Active</v>
      </c>
      <c r="BE203" s="119" t="str">
        <f t="shared" si="45"/>
        <v>NPD: In progress: Drawing, Veneer/Wood for SW TBC</v>
      </c>
    </row>
    <row r="204" spans="1:58" ht="28.8">
      <c r="A204" s="2" t="str">
        <f>IFERROR(VLOOKUP(E204,'Customer '!$A$4:$D$23,3,FALSE),"")</f>
        <v>RH</v>
      </c>
      <c r="B204" s="2" t="s">
        <v>267</v>
      </c>
      <c r="C204" s="2" t="s">
        <v>149</v>
      </c>
      <c r="E204" s="2" t="s">
        <v>61</v>
      </c>
      <c r="F204" s="2" t="str">
        <f>IFERROR(VLOOKUP(E204,'Customer '!$A$4:$D$28,2,FALSE),"")</f>
        <v>RH</v>
      </c>
      <c r="G204" s="2" t="s">
        <v>1636</v>
      </c>
      <c r="H2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2026-RH-CABOT HILLSIDE HOMES </v>
      </c>
      <c r="I204" s="2">
        <f ca="1">IF(OR($H204="",$B204=""),0,--(COUNTIFS($H$3:$H204,$H204,$B$3:$B204,$B204)=1))</f>
        <v>1</v>
      </c>
      <c r="J204" s="2" t="s">
        <v>284</v>
      </c>
      <c r="K204" s="2" t="s">
        <v>291</v>
      </c>
      <c r="L204" s="119" t="s">
        <v>354</v>
      </c>
      <c r="M204" s="281">
        <v>46315</v>
      </c>
      <c r="N204" s="276" t="s">
        <v>318</v>
      </c>
      <c r="O204" s="282"/>
      <c r="P204" s="2" t="s">
        <v>51</v>
      </c>
      <c r="Q204" s="2" t="s">
        <v>293</v>
      </c>
      <c r="R204" s="274">
        <v>16</v>
      </c>
      <c r="S204" s="274">
        <v>16</v>
      </c>
      <c r="T204" s="274"/>
      <c r="U204" s="274"/>
      <c r="V204" s="274">
        <v>16</v>
      </c>
      <c r="W204" s="274">
        <v>16</v>
      </c>
      <c r="X204" s="278">
        <v>19342.43</v>
      </c>
      <c r="Y204" s="278">
        <v>19342.43</v>
      </c>
      <c r="Z204" s="2" t="s">
        <v>319</v>
      </c>
      <c r="AA204" s="2" t="str">
        <f>IF(Z204="","",IF(OR(Z204="TBC",Z204="Removed"),Z204,LEFT(Z204,4)))</f>
        <v>2027</v>
      </c>
      <c r="AB204" s="281"/>
      <c r="AC204" s="281"/>
      <c r="AD204" s="275">
        <v>46052</v>
      </c>
      <c r="AE204" s="275">
        <v>46052</v>
      </c>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2026/W05</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2026/W05</v>
      </c>
      <c r="AH204" s="2" t="s">
        <v>304</v>
      </c>
      <c r="AI204" s="276">
        <v>46346</v>
      </c>
      <c r="AJ204" s="281"/>
      <c r="AK204" s="2" t="s">
        <v>304</v>
      </c>
      <c r="AL204" s="281"/>
      <c r="AM204" s="281"/>
      <c r="AO204" s="281"/>
      <c r="AP204" s="281"/>
      <c r="AR204" s="281"/>
      <c r="AS204" s="281"/>
      <c r="AU204" s="281"/>
      <c r="AV204" s="281"/>
      <c r="AX204" s="281"/>
      <c r="AY204" s="281"/>
      <c r="BA204" s="281"/>
      <c r="BB204" s="281"/>
      <c r="BC204" s="2" t="str">
        <f>IF(J204="","",IF(OR(J204="OB",J204="NOR",J204="FC",J204="PIPELINE"),"Active","Complete"))</f>
        <v>Active</v>
      </c>
      <c r="BE204" s="119" t="str">
        <f>IF(UPPER(TRIM(J204))="SHIPPED","READY",_xlfn.LET(_xlpm.stage,IF(B204="","",B204&amp;": "),_xlpm.ip,_xlfn.TEXTJOIN(", ",TRUE,IF(LOWER(AH204)="in progress","Drawing",""),IF(LOWER(AK204)="in progress","Veneer/Wood",""),IF(LOWER(AN204)="in progress","Marble",""),IF(LOWER(AQ204)="in progress","Metal",""),IF(LOWER(AT204)="in progress","Mirror",""),IF(LOWER(AW204)="in progress","Electrical",""),IF(LOWER(AZ204)="in progress","Fabric","")),_xlpm.pa,_xlfn.TEXTJOIN(", ",TRUE,IF(LOWER(AH204)="pending approval","Drawing",""),IF(LOWER(AK204)="pending approval","Veneer/Wood",""),IF(LOWER(AN204)="pending approval","Marble",""),IF(LOWER(AQ204)="pending approval","Metal",""),IF(LOWER(AT204)="pending approval","Mirror",""),IF(LOWER(AW204)="pending approval","Electrical",""),IF(LOWER(AZ204)="pending approval","Fabric","")),_xlpm.ns,_xlfn.TEXTJOIN(", ",TRUE,IF(LOWER(AH204)="not started","Drawing",""),IF(LOWER(AK204)="not started","Veneer/Wood",""),IF(LOWER(AN204)="not started","Marble",""),IF(LOWER(AQ204)="not started","Metal",""),IF(LOWER(AT204)="not started","Mirror",""),IF(LOWER(AW204)="not started","Electrical",""),IF(LOWER(AZ204)="not started","Fabric","")),_xlpm.fab,IF(OR(LOWER(AZ204)="com",LOWER(AZ204)="com pending",LOWER(AZ204)="com received"),"Fabric is "&amp;LOWER(AZ204),""),_xlpm.parts,_xlfn.TEXTJOIN("; ",TRUE,IF(_xlpm.ip&lt;&gt;"","In progress: "&amp;_xlpm.ip,""),IF(_xlpm.pa&lt;&gt;"","Pending approval: "&amp;_xlpm.pa,""),IF(_xlpm.ns&lt;&gt;"","Not started: "&amp;_xlpm.ns,""),_xlpm.fab),_xlpm.deadline,MIN(IF(AND(AH204&lt;&gt;"",LOWER(AH204)&lt;&gt;"approved",LOWER(AH204)&lt;&gt;"n/a",ISNUMBER(AI204)),AI204,1E+99),IF(AND(AK204&lt;&gt;"",LOWER(AK204)&lt;&gt;"approved",LOWER(AK204)&lt;&gt;"n/a",ISNUMBER(AL204)),AL204,1E+99),IF(AND(AN204&lt;&gt;"",LOWER(AN204)&lt;&gt;"approved",LOWER(AN204)&lt;&gt;"n/a",ISNUMBER(AO204)),AO204,1E+99),IF(AND(AQ204&lt;&gt;"",LOWER(AQ204)&lt;&gt;"approved",LOWER(AQ204)&lt;&gt;"n/a",ISNUMBER(AR204)),AR204,1E+99),IF(AND(AT204&lt;&gt;"",LOWER(AT204)&lt;&gt;"approved",LOWER(AT204)&lt;&gt;"n/a",ISNUMBER(AU204)),AU204,1E+99),IF(AND(AW204&lt;&gt;"",LOWER(AW204)&lt;&gt;"approved",LOWER(AW204)&lt;&gt;"n/a",ISNUMBER(AX204)),AX204,1E+99),IF(AND(AZ204&lt;&gt;"",LOWER(AZ204)&lt;&gt;"approved",LOWER(AZ204)&lt;&gt;"n/a",ISNUMBER(BA204)),BA204,1E+99)),_xlpm.sw,IF(AG204="","",IFERROR("SW"&amp;MID(AG204,FIND("/W",AG204)+2,99),"SW "&amp;AG204)),_xlpm.stage&amp;IF(_xlpm.parts="","All development items approved/closed",_xlpm.parts)&amp;IF(AND(_xlpm.parts&lt;&gt;"",_xlpm.deadline&lt;1E+99),"; need approval by "&amp;TEXT(_xlpm.deadline,"d-mmm-yy"),"")&amp;IF(_xlpm.sw&lt;&gt;""," for "&amp;_xlpm.sw,"")))</f>
        <v>NPI: In progress: Drawing, Veneer/Wood; need approval by 20-Nov-26 for SW05</v>
      </c>
      <c r="BF204" s="2" t="s">
        <v>1650</v>
      </c>
    </row>
    <row r="205" spans="1:58">
      <c r="A205" s="2" t="str">
        <f>IFERROR(VLOOKUP(E205,'Customer '!$A$4:$D$23,3,FALSE),"")</f>
        <v>NON RH</v>
      </c>
      <c r="B205" s="2" t="s">
        <v>327</v>
      </c>
      <c r="C205" s="2" t="s">
        <v>427</v>
      </c>
      <c r="E205" s="2" t="s">
        <v>430</v>
      </c>
      <c r="F205" s="2" t="str">
        <f>IFERROR(VLOOKUP(E205,'Customer '!$A$4:$D$28,2,FALSE),"")</f>
        <v>BISCAYNE</v>
      </c>
      <c r="G205" s="2" t="s">
        <v>1651</v>
      </c>
      <c r="H2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2026-BISCAYNE-PZT</v>
      </c>
      <c r="I205" s="2">
        <f ca="1">IF(OR($H205="",$B205=""),0,--(COUNTIFS($H$3:$H205,$H205,$B$3:$B205,$B205)=1))</f>
        <v>1</v>
      </c>
      <c r="J205" s="2" t="s">
        <v>284</v>
      </c>
      <c r="K205" s="2" t="s">
        <v>272</v>
      </c>
      <c r="L205" s="119" t="s">
        <v>285</v>
      </c>
      <c r="M205" s="281">
        <v>46318</v>
      </c>
      <c r="N205" s="281"/>
      <c r="O205" s="282"/>
      <c r="P205" s="2" t="s">
        <v>51</v>
      </c>
      <c r="R205" s="274"/>
      <c r="S205" s="274"/>
      <c r="T205" s="274"/>
      <c r="U205" s="274"/>
      <c r="V205" s="274">
        <v>2</v>
      </c>
      <c r="W205" s="274">
        <v>2</v>
      </c>
      <c r="X205" s="278">
        <v>2799.06</v>
      </c>
      <c r="Y205" s="278">
        <v>2799.06</v>
      </c>
      <c r="Z205" s="2" t="s">
        <v>319</v>
      </c>
      <c r="AA205" s="2" t="str">
        <f>IF(Z205="","",IF(OR(Z205="TBC",Z205="Removed"),Z205,LEFT(Z205,4)))</f>
        <v>2027</v>
      </c>
      <c r="AB205" s="281"/>
      <c r="AC205" s="281"/>
      <c r="AD205" s="275">
        <v>46038</v>
      </c>
      <c r="AE205" s="281">
        <v>46038</v>
      </c>
      <c r="AF205" s="2" t="str">
        <f>IF(AD205="","",IF(ISNUMBER(AD205),IF(AND(AD205&gt;='2026 Calendar'!$C$4,AD205&lt;='2026 Calendar'!$E$107),LOOKUP(AD205,'2026 Calendar'!$C$4:$C$107,'2026 Calendar'!$A$4:$A$107),YEAR(AD205-WEEKDAY(AD205,2)+4)&amp;"/W"&amp;TEXT(WEEKNUM(AD205,21),"00")),IF(IFERROR(ISNUMBER(SEARCH("/W",AD205)),FALSE),IF(IFERROR(ISNUMBER(SEARCH("-",AD205)),FALSE),LEFT(AD205,SEARCH("-",AD205)-1),AD205),AD205)))</f>
        <v>2026/W03</v>
      </c>
      <c r="AG205" s="2" t="str">
        <f>IF(AE205="","",IF(ISNUMBER(AE205),IF(AND(AE205&gt;='2026 Calendar'!$C$4,AE205&lt;='2026 Calendar'!$E$107),LOOKUP(AE205,'2026 Calendar'!$C$4:$C$107,'2026 Calendar'!$A$4:$A$107),YEAR(AE205-WEEKDAY(AE205,2)+4)&amp;"/W"&amp;TEXT(WEEKNUM(AE205,21),"00")),IF(IFERROR(ISNUMBER(SEARCH("/W",AE205)),FALSE),IF(IFERROR(ISNUMBER(SEARCH("-",AE205)),FALSE),MID(AE205,SEARCH("-",AE205)+1,100),AE205),AE205)))</f>
        <v>2026/W03</v>
      </c>
      <c r="AH205" s="2" t="s">
        <v>304</v>
      </c>
      <c r="AI205" s="254"/>
      <c r="AJ205" s="281"/>
      <c r="AK205" s="2" t="s">
        <v>287</v>
      </c>
      <c r="AL205" s="254"/>
      <c r="AM205" s="281"/>
      <c r="AO205" s="254"/>
      <c r="AP205" s="281"/>
      <c r="AR205" s="254"/>
      <c r="AS205" s="281"/>
      <c r="AU205" s="254"/>
      <c r="AV205" s="281"/>
      <c r="AX205" s="254"/>
      <c r="AY205" s="281"/>
      <c r="BA205" s="319"/>
      <c r="BB205" s="281"/>
      <c r="BC205" s="2" t="str">
        <f>IF(J205="","",IF(OR(J205="OB",J205="NOR",J205="FC",J205="PIPELINE"),"Active","Complete"))</f>
        <v>Active</v>
      </c>
      <c r="BE205" s="119" t="str">
        <f>IF(UPPER(TRIM(J205))="SHIPPED","READY",_xlfn.LET(_xlpm.stage,IF(B205="","",B205&amp;": "),_xlpm.ip,_xlfn.TEXTJOIN(", ",TRUE,IF(LOWER(AH205)="in progress","Drawing",""),IF(LOWER(AK205)="in progress","Veneer/Wood",""),IF(LOWER(AN205)="in progress","Marble",""),IF(LOWER(AQ205)="in progress","Metal",""),IF(LOWER(AT205)="in progress","Mirror",""),IF(LOWER(AW205)="in progress","Electrical",""),IF(LOWER(AZ205)="in progress","Fabric","")),_xlpm.pa,_xlfn.TEXTJOIN(", ",TRUE,IF(LOWER(AH205)="pending approval","Drawing",""),IF(LOWER(AK205)="pending approval","Veneer/Wood",""),IF(LOWER(AN205)="pending approval","Marble",""),IF(LOWER(AQ205)="pending approval","Metal",""),IF(LOWER(AT205)="pending approval","Mirror",""),IF(LOWER(AW205)="pending approval","Electrical",""),IF(LOWER(AZ205)="pending approval","Fabric","")),_xlpm.ns,_xlfn.TEXTJOIN(", ",TRUE,IF(LOWER(AH205)="not started","Drawing",""),IF(LOWER(AK205)="not started","Veneer/Wood",""),IF(LOWER(AN205)="not started","Marble",""),IF(LOWER(AQ205)="not started","Metal",""),IF(LOWER(AT205)="not started","Mirror",""),IF(LOWER(AW205)="not started","Electrical",""),IF(LOWER(AZ205)="not started","Fabric","")),_xlpm.fab,IF(OR(LOWER(AZ205)="com",LOWER(AZ205)="com pending",LOWER(AZ205)="com received"),"Fabric is "&amp;LOWER(AZ205),""),_xlpm.parts,_xlfn.TEXTJOIN("; ",TRUE,IF(_xlpm.ip&lt;&gt;"","In progress: "&amp;_xlpm.ip,""),IF(_xlpm.pa&lt;&gt;"","Pending approval: "&amp;_xlpm.pa,""),IF(_xlpm.ns&lt;&gt;"","Not started: "&amp;_xlpm.ns,""),_xlpm.fab),_xlpm.deadline,MIN(IF(AND(AH205&lt;&gt;"",LOWER(AH205)&lt;&gt;"approved",LOWER(AH205)&lt;&gt;"n/a",ISNUMBER(AI205)),AI205,1E+99),IF(AND(AK205&lt;&gt;"",LOWER(AK205)&lt;&gt;"approved",LOWER(AK205)&lt;&gt;"n/a",ISNUMBER(AL205)),AL205,1E+99),IF(AND(AN205&lt;&gt;"",LOWER(AN205)&lt;&gt;"approved",LOWER(AN205)&lt;&gt;"n/a",ISNUMBER(AO205)),AO205,1E+99),IF(AND(AQ205&lt;&gt;"",LOWER(AQ205)&lt;&gt;"approved",LOWER(AQ205)&lt;&gt;"n/a",ISNUMBER(AR205)),AR205,1E+99),IF(AND(AT205&lt;&gt;"",LOWER(AT205)&lt;&gt;"approved",LOWER(AT205)&lt;&gt;"n/a",ISNUMBER(AU205)),AU205,1E+99),IF(AND(AW205&lt;&gt;"",LOWER(AW205)&lt;&gt;"approved",LOWER(AW205)&lt;&gt;"n/a",ISNUMBER(AX205)),AX205,1E+99),IF(AND(AZ205&lt;&gt;"",LOWER(AZ205)&lt;&gt;"approved",LOWER(AZ205)&lt;&gt;"n/a",ISNUMBER(BA205)),BA205,1E+99)),_xlpm.sw,IF(AG205="","",IFERROR("SW"&amp;MID(AG205,FIND("/W",AG205)+2,99),"SW "&amp;AG205)),_xlpm.stage&amp;IF(_xlpm.parts="","All development items approved/closed",_xlpm.parts)&amp;IF(AND(_xlpm.parts&lt;&gt;"",_xlpm.deadline&lt;1E+99),"; need approval by "&amp;TEXT(_xlpm.deadline,"d-mmm-yy"),"")&amp;IF(_xlpm.sw&lt;&gt;""," for "&amp;_xlpm.sw,"")))</f>
        <v>NPD: In progress: Drawing; Not started: Veneer/Wood for SW03</v>
      </c>
    </row>
    <row r="206" spans="1:58">
      <c r="A206" s="2" t="str">
        <f>IFERROR(VLOOKUP(E206,'Customer '!$A$4:$D$23,3,FALSE),"")</f>
        <v>NON RH</v>
      </c>
      <c r="B206" s="2" t="s">
        <v>267</v>
      </c>
      <c r="C206" s="2" t="s">
        <v>427</v>
      </c>
      <c r="E206" s="2" t="s">
        <v>430</v>
      </c>
      <c r="F206" s="2" t="str">
        <f>IFERROR(VLOOKUP(E206,'Customer '!$A$4:$D$28,2,FALSE),"")</f>
        <v>BISCAYNE</v>
      </c>
      <c r="G206" s="2" t="s">
        <v>1651</v>
      </c>
      <c r="H2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2026-BISCAYNE-PZT</v>
      </c>
      <c r="I206" s="2">
        <f ca="1">IF(OR($H206="",$B206=""),0,--(COUNTIFS($H$3:$H206,$H206,$B$3:$B206,$B206)=1))</f>
        <v>1</v>
      </c>
      <c r="J206" s="2" t="s">
        <v>284</v>
      </c>
      <c r="K206" s="2" t="s">
        <v>272</v>
      </c>
      <c r="L206" s="119" t="s">
        <v>285</v>
      </c>
      <c r="M206" s="281">
        <v>46318</v>
      </c>
      <c r="N206" s="281"/>
      <c r="O206" s="282"/>
      <c r="P206" s="2" t="s">
        <v>51</v>
      </c>
      <c r="R206" s="274"/>
      <c r="S206" s="274"/>
      <c r="T206" s="274"/>
      <c r="U206" s="274"/>
      <c r="V206" s="274">
        <v>2</v>
      </c>
      <c r="W206" s="274">
        <v>5400</v>
      </c>
      <c r="X206" s="278">
        <v>3778731</v>
      </c>
      <c r="Y206" s="278">
        <v>1259577</v>
      </c>
      <c r="Z206" s="2" t="s">
        <v>288</v>
      </c>
      <c r="AA206" s="2" t="str">
        <f>IF(Z206="","",IF(OR(Z206="TBC",Z206="Removed"),Z206,LEFT(Z206,4)))</f>
        <v>2027</v>
      </c>
      <c r="AB206" s="281"/>
      <c r="AC206" s="281"/>
      <c r="AD206" s="275">
        <v>46570</v>
      </c>
      <c r="AE206" s="281">
        <v>46647</v>
      </c>
      <c r="AF206" s="2" t="str">
        <f>IF(AD206="","",IF(ISNUMBER(AD206),IF(AND(AD206&gt;='2026 Calendar'!$C$4,AD206&lt;='2026 Calendar'!$E$107),LOOKUP(AD206,'2026 Calendar'!$C$4:$C$107,'2026 Calendar'!$A$4:$A$107),YEAR(AD206-WEEKDAY(AD206,2)+4)&amp;"/W"&amp;TEXT(WEEKNUM(AD206,21),"00")),IF(IFERROR(ISNUMBER(SEARCH("/W",AD206)),FALSE),IF(IFERROR(ISNUMBER(SEARCH("-",AD206)),FALSE),LEFT(AD206,SEARCH("-",AD206)-1),AD206),AD206)))</f>
        <v>2027/W27</v>
      </c>
      <c r="AG206" s="2" t="str">
        <f>IF(AE206="","",IF(ISNUMBER(AE206),IF(AND(AE206&gt;='2026 Calendar'!$C$4,AE206&lt;='2026 Calendar'!$E$107),LOOKUP(AE206,'2026 Calendar'!$C$4:$C$107,'2026 Calendar'!$A$4:$A$107),YEAR(AE206-WEEKDAY(AE206,2)+4)&amp;"/W"&amp;TEXT(WEEKNUM(AE206,21),"00")),IF(IFERROR(ISNUMBER(SEARCH("/W",AE206)),FALSE),IF(IFERROR(ISNUMBER(SEARCH("-",AE206)),FALSE),MID(AE206,SEARCH("-",AE206)+1,100),AE206),AE206)))</f>
        <v>2027/W38</v>
      </c>
      <c r="AH206" s="2" t="s">
        <v>287</v>
      </c>
      <c r="AI206" s="254"/>
      <c r="AJ206" s="281"/>
      <c r="AK206" s="2" t="s">
        <v>287</v>
      </c>
      <c r="AL206" s="254"/>
      <c r="AM206" s="281"/>
      <c r="AO206" s="254"/>
      <c r="AP206" s="281"/>
      <c r="AR206" s="254"/>
      <c r="AS206" s="281"/>
      <c r="AU206" s="254"/>
      <c r="AV206" s="281"/>
      <c r="AX206" s="254"/>
      <c r="AY206" s="281"/>
      <c r="BA206" s="319"/>
      <c r="BB206" s="281"/>
      <c r="BC206" s="2" t="str">
        <f>IF(J206="","",IF(OR(J206="OB",J206="NOR",J206="FC",J206="PIPELINE"),"Active","Complete"))</f>
        <v>Active</v>
      </c>
      <c r="BE206" s="119" t="str">
        <f>IF(UPPER(TRIM(J206))="SHIPPED","READY",_xlfn.LET(_xlpm.stage,IF(B206="","",B206&amp;": "),_xlpm.ip,_xlfn.TEXTJOIN(", ",TRUE,IF(LOWER(AH206)="in progress","Drawing",""),IF(LOWER(AK206)="in progress","Veneer/Wood",""),IF(LOWER(AN206)="in progress","Marble",""),IF(LOWER(AQ206)="in progress","Metal",""),IF(LOWER(AT206)="in progress","Mirror",""),IF(LOWER(AW206)="in progress","Electrical",""),IF(LOWER(AZ206)="in progress","Fabric","")),_xlpm.pa,_xlfn.TEXTJOIN(", ",TRUE,IF(LOWER(AH206)="pending approval","Drawing",""),IF(LOWER(AK206)="pending approval","Veneer/Wood",""),IF(LOWER(AN206)="pending approval","Marble",""),IF(LOWER(AQ206)="pending approval","Metal",""),IF(LOWER(AT206)="pending approval","Mirror",""),IF(LOWER(AW206)="pending approval","Electrical",""),IF(LOWER(AZ206)="pending approval","Fabric","")),_xlpm.ns,_xlfn.TEXTJOIN(", ",TRUE,IF(LOWER(AH206)="not started","Drawing",""),IF(LOWER(AK206)="not started","Veneer/Wood",""),IF(LOWER(AN206)="not started","Marble",""),IF(LOWER(AQ206)="not started","Metal",""),IF(LOWER(AT206)="not started","Mirror",""),IF(LOWER(AW206)="not started","Electrical",""),IF(LOWER(AZ206)="not started","Fabric","")),_xlpm.fab,IF(OR(LOWER(AZ206)="com",LOWER(AZ206)="com pending",LOWER(AZ206)="com received"),"Fabric is "&amp;LOWER(AZ206),""),_xlpm.parts,_xlfn.TEXTJOIN("; ",TRUE,IF(_xlpm.ip&lt;&gt;"","In progress: "&amp;_xlpm.ip,""),IF(_xlpm.pa&lt;&gt;"","Pending approval: "&amp;_xlpm.pa,""),IF(_xlpm.ns&lt;&gt;"","Not started: "&amp;_xlpm.ns,""),_xlpm.fab),_xlpm.deadline,MIN(IF(AND(AH206&lt;&gt;"",LOWER(AH206)&lt;&gt;"approved",LOWER(AH206)&lt;&gt;"n/a",ISNUMBER(AI206)),AI206,1E+99),IF(AND(AK206&lt;&gt;"",LOWER(AK206)&lt;&gt;"approved",LOWER(AK206)&lt;&gt;"n/a",ISNUMBER(AL206)),AL206,1E+99),IF(AND(AN206&lt;&gt;"",LOWER(AN206)&lt;&gt;"approved",LOWER(AN206)&lt;&gt;"n/a",ISNUMBER(AO206)),AO206,1E+99),IF(AND(AQ206&lt;&gt;"",LOWER(AQ206)&lt;&gt;"approved",LOWER(AQ206)&lt;&gt;"n/a",ISNUMBER(AR206)),AR206,1E+99),IF(AND(AT206&lt;&gt;"",LOWER(AT206)&lt;&gt;"approved",LOWER(AT206)&lt;&gt;"n/a",ISNUMBER(AU206)),AU206,1E+99),IF(AND(AW206&lt;&gt;"",LOWER(AW206)&lt;&gt;"approved",LOWER(AW206)&lt;&gt;"n/a",ISNUMBER(AX206)),AX206,1E+99),IF(AND(AZ206&lt;&gt;"",LOWER(AZ206)&lt;&gt;"approved",LOWER(AZ206)&lt;&gt;"n/a",ISNUMBER(BA206)),BA206,1E+99)),_xlpm.sw,IF(AG206="","",IFERROR("SW"&amp;MID(AG206,FIND("/W",AG206)+2,99),"SW "&amp;AG206)),_xlpm.stage&amp;IF(_xlpm.parts="","All development items approved/closed",_xlpm.parts)&amp;IF(AND(_xlpm.parts&lt;&gt;"",_xlpm.deadline&lt;1E+99),"; need approval by "&amp;TEXT(_xlpm.deadline,"d-mmm-yy"),"")&amp;IF(_xlpm.sw&lt;&gt;""," for "&amp;_xlpm.sw,"")))</f>
        <v>NPI: Not started: Drawing, Veneer/Wood for SW38</v>
      </c>
    </row>
    <row r="207" spans="1:58">
      <c r="A207" s="2" t="str">
        <f>IFERROR(VLOOKUP(E207,'Customer '!$A$4:$D$23,3,FALSE),"")</f>
        <v>NON RH</v>
      </c>
      <c r="B207" s="2" t="s">
        <v>267</v>
      </c>
      <c r="C207" s="2" t="s">
        <v>427</v>
      </c>
      <c r="E207" s="2" t="s">
        <v>430</v>
      </c>
      <c r="F207" s="2" t="str">
        <f>IFERROR(VLOOKUP(E207,'Customer '!$A$4:$D$28,2,FALSE),"")</f>
        <v>BISCAYNE</v>
      </c>
      <c r="G207" s="2" t="s">
        <v>1651</v>
      </c>
      <c r="H2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2026-BISCAYNE-PZT</v>
      </c>
      <c r="I207" s="2">
        <f ca="1">IF(OR($H207="",$B207=""),0,--(COUNTIFS($H$3:$H207,$H207,$B$3:$B207,$B207)=1))</f>
        <v>0</v>
      </c>
      <c r="J207" s="2" t="s">
        <v>284</v>
      </c>
      <c r="K207" s="2" t="s">
        <v>272</v>
      </c>
      <c r="L207" s="119" t="s">
        <v>285</v>
      </c>
      <c r="M207" s="281">
        <v>46318</v>
      </c>
      <c r="N207" s="281"/>
      <c r="O207" s="282"/>
      <c r="P207" s="2" t="s">
        <v>51</v>
      </c>
      <c r="R207" s="274"/>
      <c r="S207" s="274"/>
      <c r="T207" s="274"/>
      <c r="U207" s="274"/>
      <c r="V207" s="274">
        <v>2</v>
      </c>
      <c r="W207" s="274">
        <v>5400</v>
      </c>
      <c r="X207" s="278">
        <v>3778731</v>
      </c>
      <c r="Y207" s="278">
        <v>1259577</v>
      </c>
      <c r="Z207" s="2" t="s">
        <v>289</v>
      </c>
      <c r="AA207" s="2" t="str">
        <f t="shared" ref="AA207:AA208" si="52">IF(Z207="","",IF(OR(Z207="TBC",Z207="Removed"),Z207,LEFT(Z207,4)))</f>
        <v>2027</v>
      </c>
      <c r="AB207" s="281"/>
      <c r="AC207" s="281"/>
      <c r="AD207" s="275">
        <v>46570</v>
      </c>
      <c r="AE207" s="281">
        <v>46647</v>
      </c>
      <c r="AF207" s="2" t="str">
        <f>IF(AD207="","",IF(ISNUMBER(AD207),IF(AND(AD207&gt;='2026 Calendar'!$C$4,AD207&lt;='2026 Calendar'!$E$107),LOOKUP(AD207,'2026 Calendar'!$C$4:$C$107,'2026 Calendar'!$A$4:$A$107),YEAR(AD207-WEEKDAY(AD207,2)+4)&amp;"/W"&amp;TEXT(WEEKNUM(AD207,21),"00")),IF(IFERROR(ISNUMBER(SEARCH("/W",AD207)),FALSE),IF(IFERROR(ISNUMBER(SEARCH("-",AD207)),FALSE),LEFT(AD207,SEARCH("-",AD207)-1),AD207),AD207)))</f>
        <v>2027/W27</v>
      </c>
      <c r="AG207" s="2" t="str">
        <f>IF(AE207="","",IF(ISNUMBER(AE207),IF(AND(AE207&gt;='2026 Calendar'!$C$4,AE207&lt;='2026 Calendar'!$E$107),LOOKUP(AE207,'2026 Calendar'!$C$4:$C$107,'2026 Calendar'!$A$4:$A$107),YEAR(AE207-WEEKDAY(AE207,2)+4)&amp;"/W"&amp;TEXT(WEEKNUM(AE207,21),"00")),IF(IFERROR(ISNUMBER(SEARCH("/W",AE207)),FALSE),IF(IFERROR(ISNUMBER(SEARCH("-",AE207)),FALSE),MID(AE207,SEARCH("-",AE207)+1,100),AE207),AE207)))</f>
        <v>2027/W38</v>
      </c>
      <c r="AH207" s="2" t="s">
        <v>287</v>
      </c>
      <c r="AI207" s="254"/>
      <c r="AJ207" s="281"/>
      <c r="AK207" s="2" t="s">
        <v>287</v>
      </c>
      <c r="AL207" s="254"/>
      <c r="AM207" s="281"/>
      <c r="AO207" s="254"/>
      <c r="AP207" s="281"/>
      <c r="AR207" s="254"/>
      <c r="AS207" s="281"/>
      <c r="AU207" s="254"/>
      <c r="AV207" s="281"/>
      <c r="AX207" s="254"/>
      <c r="AY207" s="281"/>
      <c r="BA207" s="319"/>
      <c r="BB207" s="281"/>
      <c r="BC207" s="2" t="str">
        <f t="shared" ref="BC207:BC208" si="53">IF(J207="","",IF(OR(J207="OB",J207="NOR",J207="FC",J207="PIPELINE"),"Active","Complete"))</f>
        <v>Active</v>
      </c>
      <c r="BE207" s="119" t="str">
        <f t="shared" ref="BE207:BE208" si="54">IF(UPPER(TRIM(J207))="SHIPPED","READY",_xlfn.LET(_xlpm.stage,IF(B207="","",B207&amp;": "),_xlpm.ip,_xlfn.TEXTJOIN(", ",TRUE,IF(LOWER(AH207)="in progress","Drawing",""),IF(LOWER(AK207)="in progress","Veneer/Wood",""),IF(LOWER(AN207)="in progress","Marble",""),IF(LOWER(AQ207)="in progress","Metal",""),IF(LOWER(AT207)="in progress","Mirror",""),IF(LOWER(AW207)="in progress","Electrical",""),IF(LOWER(AZ207)="in progress","Fabric","")),_xlpm.pa,_xlfn.TEXTJOIN(", ",TRUE,IF(LOWER(AH207)="pending approval","Drawing",""),IF(LOWER(AK207)="pending approval","Veneer/Wood",""),IF(LOWER(AN207)="pending approval","Marble",""),IF(LOWER(AQ207)="pending approval","Metal",""),IF(LOWER(AT207)="pending approval","Mirror",""),IF(LOWER(AW207)="pending approval","Electrical",""),IF(LOWER(AZ207)="pending approval","Fabric","")),_xlpm.ns,_xlfn.TEXTJOIN(", ",TRUE,IF(LOWER(AH207)="not started","Drawing",""),IF(LOWER(AK207)="not started","Veneer/Wood",""),IF(LOWER(AN207)="not started","Marble",""),IF(LOWER(AQ207)="not started","Metal",""),IF(LOWER(AT207)="not started","Mirror",""),IF(LOWER(AW207)="not started","Electrical",""),IF(LOWER(AZ207)="not started","Fabric","")),_xlpm.fab,IF(OR(LOWER(AZ207)="com",LOWER(AZ207)="com pending",LOWER(AZ207)="com received"),"Fabric is "&amp;LOWER(AZ207),""),_xlpm.parts,_xlfn.TEXTJOIN("; ",TRUE,IF(_xlpm.ip&lt;&gt;"","In progress: "&amp;_xlpm.ip,""),IF(_xlpm.pa&lt;&gt;"","Pending approval: "&amp;_xlpm.pa,""),IF(_xlpm.ns&lt;&gt;"","Not started: "&amp;_xlpm.ns,""),_xlpm.fab),_xlpm.deadline,MIN(IF(AND(AH207&lt;&gt;"",LOWER(AH207)&lt;&gt;"approved",LOWER(AH207)&lt;&gt;"n/a",ISNUMBER(AI207)),AI207,1E+99),IF(AND(AK207&lt;&gt;"",LOWER(AK207)&lt;&gt;"approved",LOWER(AK207)&lt;&gt;"n/a",ISNUMBER(AL207)),AL207,1E+99),IF(AND(AN207&lt;&gt;"",LOWER(AN207)&lt;&gt;"approved",LOWER(AN207)&lt;&gt;"n/a",ISNUMBER(AO207)),AO207,1E+99),IF(AND(AQ207&lt;&gt;"",LOWER(AQ207)&lt;&gt;"approved",LOWER(AQ207)&lt;&gt;"n/a",ISNUMBER(AR207)),AR207,1E+99),IF(AND(AT207&lt;&gt;"",LOWER(AT207)&lt;&gt;"approved",LOWER(AT207)&lt;&gt;"n/a",ISNUMBER(AU207)),AU207,1E+99),IF(AND(AW207&lt;&gt;"",LOWER(AW207)&lt;&gt;"approved",LOWER(AW207)&lt;&gt;"n/a",ISNUMBER(AX207)),AX207,1E+99),IF(AND(AZ207&lt;&gt;"",LOWER(AZ207)&lt;&gt;"approved",LOWER(AZ207)&lt;&gt;"n/a",ISNUMBER(BA207)),BA207,1E+99)),_xlpm.sw,IF(AG207="","",IFERROR("SW"&amp;MID(AG207,FIND("/W",AG207)+2,99),"SW "&amp;AG207)),_xlpm.stage&amp;IF(_xlpm.parts="","All development items approved/closed",_xlpm.parts)&amp;IF(AND(_xlpm.parts&lt;&gt;"",_xlpm.deadline&lt;1E+99),"; need approval by "&amp;TEXT(_xlpm.deadline,"d-mmm-yy"),"")&amp;IF(_xlpm.sw&lt;&gt;""," for "&amp;_xlpm.sw,"")))</f>
        <v>NPI: Not started: Drawing, Veneer/Wood for SW38</v>
      </c>
    </row>
    <row r="208" spans="1:58">
      <c r="A208" s="2" t="str">
        <f>IFERROR(VLOOKUP(E208,'Customer '!$A$4:$D$23,3,FALSE),"")</f>
        <v>NON RH</v>
      </c>
      <c r="B208" s="2" t="s">
        <v>267</v>
      </c>
      <c r="C208" s="2" t="s">
        <v>427</v>
      </c>
      <c r="E208" s="2" t="s">
        <v>430</v>
      </c>
      <c r="F208" s="2" t="str">
        <f>IFERROR(VLOOKUP(E208,'Customer '!$A$4:$D$28,2,FALSE),"")</f>
        <v>BISCAYNE</v>
      </c>
      <c r="G208" s="2" t="s">
        <v>1651</v>
      </c>
      <c r="H2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2026-BISCAYNE-PZT</v>
      </c>
      <c r="I208" s="2">
        <f ca="1">IF(OR($H208="",$B208=""),0,--(COUNTIFS($H$3:$H208,$H208,$B$3:$B208,$B208)=1))</f>
        <v>0</v>
      </c>
      <c r="J208" s="2" t="s">
        <v>284</v>
      </c>
      <c r="K208" s="2" t="s">
        <v>272</v>
      </c>
      <c r="L208" s="119" t="s">
        <v>285</v>
      </c>
      <c r="M208" s="281">
        <v>46318</v>
      </c>
      <c r="N208" s="281"/>
      <c r="O208" s="282"/>
      <c r="P208" s="2" t="s">
        <v>51</v>
      </c>
      <c r="R208" s="274"/>
      <c r="S208" s="274"/>
      <c r="T208" s="274"/>
      <c r="U208" s="274"/>
      <c r="V208" s="274">
        <v>2</v>
      </c>
      <c r="W208" s="274">
        <v>5400</v>
      </c>
      <c r="X208" s="278">
        <v>3778731</v>
      </c>
      <c r="Y208" s="278">
        <v>1259577</v>
      </c>
      <c r="Z208" s="2" t="s">
        <v>374</v>
      </c>
      <c r="AA208" s="2" t="str">
        <f t="shared" si="52"/>
        <v>2027</v>
      </c>
      <c r="AB208" s="281"/>
      <c r="AC208" s="281"/>
      <c r="AD208" s="275">
        <v>46570</v>
      </c>
      <c r="AE208" s="281">
        <v>46647</v>
      </c>
      <c r="AF208" s="2" t="str">
        <f>IF(AD208="","",IF(ISNUMBER(AD208),IF(AND(AD208&gt;='2026 Calendar'!$C$4,AD208&lt;='2026 Calendar'!$E$107),LOOKUP(AD208,'2026 Calendar'!$C$4:$C$107,'2026 Calendar'!$A$4:$A$107),YEAR(AD208-WEEKDAY(AD208,2)+4)&amp;"/W"&amp;TEXT(WEEKNUM(AD208,21),"00")),IF(IFERROR(ISNUMBER(SEARCH("/W",AD208)),FALSE),IF(IFERROR(ISNUMBER(SEARCH("-",AD208)),FALSE),LEFT(AD208,SEARCH("-",AD208)-1),AD208),AD208)))</f>
        <v>2027/W27</v>
      </c>
      <c r="AG208" s="2" t="str">
        <f>IF(AE208="","",IF(ISNUMBER(AE208),IF(AND(AE208&gt;='2026 Calendar'!$C$4,AE208&lt;='2026 Calendar'!$E$107),LOOKUP(AE208,'2026 Calendar'!$C$4:$C$107,'2026 Calendar'!$A$4:$A$107),YEAR(AE208-WEEKDAY(AE208,2)+4)&amp;"/W"&amp;TEXT(WEEKNUM(AE208,21),"00")),IF(IFERROR(ISNUMBER(SEARCH("/W",AE208)),FALSE),IF(IFERROR(ISNUMBER(SEARCH("-",AE208)),FALSE),MID(AE208,SEARCH("-",AE208)+1,100),AE208),AE208)))</f>
        <v>2027/W38</v>
      </c>
      <c r="AH208" s="2" t="s">
        <v>287</v>
      </c>
      <c r="AI208" s="254"/>
      <c r="AJ208" s="281"/>
      <c r="AK208" s="2" t="s">
        <v>287</v>
      </c>
      <c r="AL208" s="254"/>
      <c r="AM208" s="281"/>
      <c r="AO208" s="254"/>
      <c r="AP208" s="281"/>
      <c r="AR208" s="254"/>
      <c r="AS208" s="281"/>
      <c r="AU208" s="254"/>
      <c r="AV208" s="281"/>
      <c r="AX208" s="254"/>
      <c r="AY208" s="281"/>
      <c r="BA208" s="319"/>
      <c r="BB208" s="281"/>
      <c r="BC208" s="2" t="str">
        <f t="shared" si="53"/>
        <v>Active</v>
      </c>
      <c r="BE208" s="119" t="str">
        <f t="shared" si="54"/>
        <v>NPI: Not started: Drawing, Veneer/Wood for SW38</v>
      </c>
    </row>
    <row r="209" spans="1:57" ht="15.6">
      <c r="A209" s="2" t="str">
        <f>IFERROR(VLOOKUP(E209,'Customer '!$A$4:$D$23,3,FALSE),"")</f>
        <v/>
      </c>
      <c r="H209" s="303"/>
      <c r="I209" s="2">
        <f>IF(OR($H209="",$B209=""),0,--(COUNTIFS($H$3:$H209,$H209,$B$3:$B209,$B209)=1))</f>
        <v>0</v>
      </c>
      <c r="M209" s="281"/>
      <c r="N209" s="281"/>
      <c r="O209" s="282"/>
      <c r="X209" s="278"/>
      <c r="Y209" s="278"/>
      <c r="AA209" s="2" t="str">
        <f t="shared" si="34"/>
        <v/>
      </c>
      <c r="AB209" s="281"/>
      <c r="AC209" s="281"/>
      <c r="AE209" s="281"/>
      <c r="AF209" s="2" t="str">
        <f>IF(AD209="","",IF(ISNUMBER(AD209),IF(AND(AD209&gt;='2026 Calendar'!$C$4,AD209&lt;='2026 Calendar'!$E$107),LOOKUP(AD209,'2026 Calendar'!$C$4:$C$107,'2026 Calendar'!$A$4:$A$107),YEAR(AD209-WEEKDAY(AD209,2)+4)&amp;"/W"&amp;TEXT(WEEKNUM(AD209,21),"00")),IF(IFERROR(ISNUMBER(SEARCH("/W",AD209)),FALSE),IF(IFERROR(ISNUMBER(SEARCH("-",AD209)),FALSE),LEFT(AD209,SEARCH("-",AD209)-1),AD209),AD209)))</f>
        <v/>
      </c>
      <c r="AG209" s="2" t="str">
        <f>IF(AE209="","",IF(ISNUMBER(AE209),IF(AND(AE209&gt;='2026 Calendar'!$C$4,AE209&lt;='2026 Calendar'!$E$107),LOOKUP(AE209,'2026 Calendar'!$C$4:$C$107,'2026 Calendar'!$A$4:$A$107),YEAR(AE209-WEEKDAY(AE209,2)+4)&amp;"/W"&amp;TEXT(WEEKNUM(AE209,21),"00")),IF(IFERROR(ISNUMBER(SEARCH("/W",AE209)),FALSE),IF(IFERROR(ISNUMBER(SEARCH("-",AE209)),FALSE),MID(AE209,SEARCH("-",AE209)+1,100),AE209),AE209)))</f>
        <v/>
      </c>
      <c r="AI209" s="281"/>
      <c r="AJ209" s="281"/>
      <c r="AL209" s="281"/>
      <c r="AM209" s="281"/>
      <c r="AO209" s="281"/>
      <c r="AP209" s="281"/>
      <c r="AR209" s="281"/>
      <c r="AS209" s="281"/>
      <c r="AU209" s="281"/>
      <c r="AV209" s="281"/>
      <c r="AX209" s="281"/>
      <c r="AY209" s="281"/>
      <c r="BA209" s="281"/>
      <c r="BB209" s="281"/>
      <c r="BC209" s="2" t="str">
        <f t="shared" si="42"/>
        <v/>
      </c>
      <c r="BE209" s="119" t="str">
        <f t="shared" si="45"/>
        <v>All development items approved/closed</v>
      </c>
    </row>
    <row r="210" spans="1:57">
      <c r="M210" s="276"/>
      <c r="N210" s="276"/>
      <c r="O210" s="277"/>
      <c r="X210" s="278"/>
      <c r="Y210" s="278"/>
      <c r="AB210" s="276"/>
      <c r="AC210" s="276"/>
      <c r="AE210" s="276"/>
      <c r="AF210" s="2" t="str">
        <f>IF(AD210="","",IF(ISNUMBER(AD210),IF(AND(AD210&gt;='2026 Calendar'!$C$4,AD210&lt;='2026 Calendar'!$E$107),LOOKUP(AD210,'2026 Calendar'!$C$4:$C$107,'2026 Calendar'!$A$4:$A$107),YEAR(AD210-WEEKDAY(AD210,2)+4)&amp;"/W"&amp;TEXT(WEEKNUM(AD210,21),"00")),IF(IFERROR(ISNUMBER(SEARCH("/W",AD210)),FALSE),IF(IFERROR(ISNUMBER(SEARCH("-",AD210)),FALSE),LEFT(AD210,SEARCH("-",AD210)-1),AD210),AD210)))</f>
        <v/>
      </c>
      <c r="AG210" s="2" t="str">
        <f>IF(AE210="","",IF(ISNUMBER(AE210),IF(AND(AE210&gt;='2026 Calendar'!$C$4,AE210&lt;='2026 Calendar'!$E$107),LOOKUP(AE210,'2026 Calendar'!$C$4:$C$107,'2026 Calendar'!$A$4:$A$107),YEAR(AE210-WEEKDAY(AE210,2)+4)&amp;"/W"&amp;TEXT(WEEKNUM(AE210,21),"00")),IF(IFERROR(ISNUMBER(SEARCH("/W",AE210)),FALSE),IF(IFERROR(ISNUMBER(SEARCH("-",AE210)),FALSE),MID(AE210,SEARCH("-",AE210)+1,100),AE210),AE210)))</f>
        <v/>
      </c>
      <c r="AI210" s="276"/>
      <c r="AJ210" s="276"/>
      <c r="AL210" s="276"/>
      <c r="AM210" s="276"/>
      <c r="AO210" s="276"/>
      <c r="AP210" s="276"/>
      <c r="AR210" s="276"/>
      <c r="AS210" s="276"/>
      <c r="AU210" s="276"/>
      <c r="AV210" s="276"/>
      <c r="AX210" s="276"/>
      <c r="AY210" s="276"/>
      <c r="BA210" s="281"/>
      <c r="BB210" s="276"/>
    </row>
    <row r="211" spans="1:57">
      <c r="M211" s="276"/>
      <c r="N211" s="276"/>
      <c r="O211" s="277"/>
      <c r="X211" s="278"/>
      <c r="Y211" s="278"/>
      <c r="AB211" s="276"/>
      <c r="AC211" s="276"/>
      <c r="AE211" s="276"/>
      <c r="AK211" s="276"/>
      <c r="AM211" s="276"/>
      <c r="AO211" s="276"/>
      <c r="AQ211" s="276"/>
      <c r="AS211" s="276"/>
      <c r="AU211" s="276"/>
      <c r="BA211" s="281"/>
    </row>
    <row r="212" spans="1:57">
      <c r="BA212" s="281"/>
    </row>
    <row r="215" spans="1:57">
      <c r="G215" s="283"/>
    </row>
    <row r="224" spans="1:57">
      <c r="Y224" s="278"/>
    </row>
  </sheetData>
  <conditionalFormatting sqref="J3:J209">
    <cfRule type="containsText" dxfId="122" priority="1" operator="containsText" text="OB">
      <formula>NOT(ISERROR(SEARCH("OB",J3)))</formula>
    </cfRule>
    <cfRule type="containsText" dxfId="121" priority="2" operator="containsText" text="FC">
      <formula>NOT(ISERROR(SEARCH("FC",J3)))</formula>
    </cfRule>
    <cfRule type="containsText" dxfId="120" priority="3" operator="containsText" text="SHIPPED">
      <formula>NOT(ISERROR(SEARCH("SHIPPED",J3)))</formula>
    </cfRule>
    <cfRule type="containsText" dxfId="119" priority="4" operator="containsText" text="REMOVED">
      <formula>NOT(ISERROR(SEARCH("REMOVED",J3)))</formula>
    </cfRule>
    <cfRule type="containsText" dxfId="118" priority="5" operator="containsText" text="PIPELINE">
      <formula>NOT(ISERROR(SEARCH("PIPELINE",J3)))</formula>
    </cfRule>
  </conditionalFormatting>
  <conditionalFormatting sqref="BC3:BE209">
    <cfRule type="containsText" dxfId="117" priority="6" operator="containsText" text="Active">
      <formula>NOT(ISERROR(SEARCH("Active",BC3)))</formula>
    </cfRule>
    <cfRule type="containsText" dxfId="116" priority="7" operator="containsText" text="Complete">
      <formula>NOT(ISERROR(SEARCH("Complete",BC3)))</formula>
    </cfRule>
  </conditionalFormatting>
  <dataValidations count="4">
    <dataValidation type="list" allowBlank="1" showInputMessage="1" showErrorMessage="1" sqref="BB132 AV132 AY132 AV150:AW150 AP132 AW3:AW149 AV154:AV158 AV160:AV208 AW151:AW208 AQ3:AQ209 AN3:AN209 AK3:AK209 AZ3:AZ209 AT3:AT209 AH3:AH209" xr:uid="{2751AA3E-8EA4-4B43-A4C1-672BDEE64BD4}">
      <formula1>"Not Started,In Progress,Pending Approval,Approved,N/A,COM,COM Pending,COM Received"</formula1>
    </dataValidation>
    <dataValidation type="list" allowBlank="1" showInputMessage="1" showErrorMessage="1" sqref="B3:B209" xr:uid="{6CE4430B-6875-438C-908B-CF80F068FC45}">
      <formula1>"NPD,NPI,NPD to NPI"</formula1>
    </dataValidation>
    <dataValidation type="list" allowBlank="1" showInputMessage="1" showErrorMessage="1" sqref="K3:K209" xr:uid="{1DBA7A8C-AB88-4DFF-917E-7B6BDCE7EEBF}">
      <formula1>"NEW,REO"</formula1>
    </dataValidation>
    <dataValidation type="list" allowBlank="1" showInputMessage="1" showErrorMessage="1" sqref="J3:J209"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E211:E1048576 E1:E209</xm:sqref>
        </x14:dataValidation>
        <x14:dataValidation type="list" allowBlank="1" showInputMessage="1" showErrorMessage="1" xr:uid="{81F8A60E-D493-44A3-9052-A1A4158E6AD6}">
          <x14:formula1>
            <xm:f>'Drop list'!$H:$H</xm:f>
          </x14:formula1>
          <xm:sqref>C211:D1048576 D1 C1:C208</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topRight" activeCell="G1" sqref="G1"/>
      <selection pane="bottomLeft" activeCell="A6" sqref="A6"/>
      <selection pane="bottomRight" activeCell="H71" sqref="H71"/>
    </sheetView>
  </sheetViews>
  <sheetFormatPr defaultRowHeight="14.4"/>
  <cols>
    <col min="1" max="1" width="13.5546875" customWidth="1"/>
    <col min="2" max="2" width="18.44140625" customWidth="1"/>
    <col min="3" max="3" width="51.5546875" bestFit="1" customWidth="1"/>
    <col min="4" max="4" width="10.44140625" style="13" customWidth="1"/>
    <col min="5" max="5" width="18.44140625" style="115" bestFit="1" customWidth="1"/>
    <col min="6" max="6" width="12.44140625" bestFit="1" customWidth="1"/>
    <col min="7" max="7" width="11.5546875" style="113" bestFit="1" customWidth="1"/>
    <col min="8" max="8" width="11" style="113" bestFit="1" customWidth="1"/>
    <col min="9" max="9" width="11.5546875" style="114" bestFit="1" customWidth="1"/>
    <col min="10" max="10" width="12.44140625" style="126" bestFit="1" customWidth="1"/>
    <col min="11" max="11" width="14" bestFit="1" customWidth="1"/>
    <col min="12" max="12" width="14.44140625" bestFit="1" customWidth="1"/>
    <col min="13" max="13" width="14" bestFit="1" customWidth="1"/>
    <col min="14" max="14" width="11.5546875" bestFit="1" customWidth="1"/>
    <col min="15" max="16" width="12.44140625" bestFit="1" customWidth="1"/>
    <col min="17" max="17" width="14" bestFit="1" customWidth="1"/>
    <col min="18" max="20" width="14.44140625" bestFit="1" customWidth="1"/>
    <col min="21" max="21" width="13.5546875" bestFit="1" customWidth="1"/>
    <col min="22" max="22" width="14.44140625" bestFit="1" customWidth="1"/>
    <col min="23" max="24" width="14" bestFit="1" customWidth="1"/>
    <col min="25" max="26" width="14.44140625" bestFit="1" customWidth="1"/>
    <col min="27" max="27" width="13.5546875" bestFit="1" customWidth="1"/>
    <col min="29" max="29" width="14" bestFit="1" customWidth="1"/>
    <col min="31" max="31" width="15.44140625" bestFit="1" customWidth="1"/>
  </cols>
  <sheetData>
    <row r="1" spans="1:31">
      <c r="A1" s="9" t="s">
        <v>502</v>
      </c>
      <c r="D1"/>
      <c r="E1"/>
      <c r="F1" s="9" t="s">
        <v>503</v>
      </c>
      <c r="G1" s="9" t="s">
        <v>504</v>
      </c>
      <c r="H1"/>
      <c r="I1"/>
      <c r="J1"/>
    </row>
    <row r="2" spans="1:31">
      <c r="D2"/>
      <c r="E2"/>
      <c r="F2" t="s">
        <v>505</v>
      </c>
      <c r="G2"/>
      <c r="H2"/>
      <c r="I2"/>
      <c r="J2"/>
      <c r="R2" s="167" t="s">
        <v>506</v>
      </c>
    </row>
    <row r="3" spans="1:31" s="167" customFormat="1" ht="15" customHeight="1">
      <c r="A3" s="166" t="s">
        <v>218</v>
      </c>
      <c r="B3" s="166" t="s">
        <v>210</v>
      </c>
      <c r="C3" s="166" t="s">
        <v>216</v>
      </c>
      <c r="D3" s="166" t="s">
        <v>211</v>
      </c>
      <c r="E3" s="166" t="s">
        <v>230</v>
      </c>
      <c r="F3" t="s">
        <v>381</v>
      </c>
      <c r="G3" t="s">
        <v>402</v>
      </c>
      <c r="H3" t="s">
        <v>325</v>
      </c>
      <c r="I3" t="s">
        <v>294</v>
      </c>
      <c r="J3" t="s">
        <v>276</v>
      </c>
      <c r="K3" t="s">
        <v>279</v>
      </c>
      <c r="L3" t="s">
        <v>280</v>
      </c>
      <c r="M3" t="s">
        <v>281</v>
      </c>
      <c r="N3" t="s">
        <v>297</v>
      </c>
      <c r="O3" t="s">
        <v>303</v>
      </c>
      <c r="P3" t="s">
        <v>312</v>
      </c>
      <c r="Q3" t="s">
        <v>333</v>
      </c>
      <c r="S3"/>
      <c r="T3"/>
      <c r="U3"/>
      <c r="V3"/>
      <c r="W3"/>
      <c r="X3"/>
      <c r="Y3"/>
      <c r="Z3"/>
      <c r="AA3"/>
      <c r="AB3"/>
      <c r="AC3"/>
      <c r="AD3"/>
      <c r="AE3"/>
    </row>
    <row r="4" spans="1:31">
      <c r="A4" t="s">
        <v>271</v>
      </c>
      <c r="B4" t="s">
        <v>59</v>
      </c>
      <c r="C4" t="s">
        <v>507</v>
      </c>
      <c r="D4" t="s">
        <v>267</v>
      </c>
      <c r="E4">
        <v>18</v>
      </c>
      <c r="F4" s="70"/>
      <c r="G4" s="70"/>
      <c r="H4" s="70"/>
      <c r="I4" s="70"/>
      <c r="J4" s="70"/>
      <c r="K4" s="70"/>
      <c r="L4" s="70">
        <v>110307</v>
      </c>
      <c r="M4" s="70">
        <v>53695.14</v>
      </c>
      <c r="N4" s="70"/>
      <c r="O4" s="70"/>
      <c r="P4" s="70"/>
      <c r="Q4" s="70"/>
      <c r="R4" s="70">
        <v>164002.14000000001</v>
      </c>
    </row>
    <row r="5" spans="1:31">
      <c r="C5" t="s">
        <v>508</v>
      </c>
      <c r="D5" t="s">
        <v>267</v>
      </c>
      <c r="E5">
        <v>1</v>
      </c>
      <c r="F5" s="70"/>
      <c r="G5" s="70"/>
      <c r="H5" s="70"/>
      <c r="I5" s="70"/>
      <c r="J5" s="70"/>
      <c r="K5" s="70"/>
      <c r="L5" s="70">
        <v>1375.5</v>
      </c>
      <c r="M5" s="70"/>
      <c r="N5" s="70"/>
      <c r="O5" s="70"/>
      <c r="P5" s="70"/>
      <c r="Q5" s="70"/>
      <c r="R5" s="70">
        <v>1375.5</v>
      </c>
    </row>
    <row r="6" spans="1:31">
      <c r="C6" t="s">
        <v>509</v>
      </c>
      <c r="D6" t="s">
        <v>267</v>
      </c>
      <c r="E6">
        <v>26</v>
      </c>
      <c r="F6" s="70">
        <v>71837</v>
      </c>
      <c r="G6" s="70"/>
      <c r="H6" s="70"/>
      <c r="I6" s="70">
        <v>30383.55</v>
      </c>
      <c r="J6" s="70"/>
      <c r="K6" s="70"/>
      <c r="L6" s="70"/>
      <c r="M6" s="70"/>
      <c r="N6" s="70"/>
      <c r="O6" s="70"/>
      <c r="P6" s="70"/>
      <c r="Q6" s="70"/>
      <c r="R6" s="70">
        <v>102220.55</v>
      </c>
    </row>
    <row r="7" spans="1:31">
      <c r="C7" t="s">
        <v>510</v>
      </c>
      <c r="D7" t="s">
        <v>267</v>
      </c>
      <c r="E7">
        <v>9</v>
      </c>
      <c r="F7" s="70"/>
      <c r="G7" s="70"/>
      <c r="H7" s="70"/>
      <c r="I7" s="70">
        <v>54061.599999999999</v>
      </c>
      <c r="J7" s="70"/>
      <c r="K7" s="70"/>
      <c r="L7" s="70"/>
      <c r="M7" s="70"/>
      <c r="N7" s="70"/>
      <c r="O7" s="70"/>
      <c r="P7" s="70"/>
      <c r="Q7" s="70"/>
      <c r="R7" s="70">
        <v>54061.599999999999</v>
      </c>
    </row>
    <row r="8" spans="1:31">
      <c r="C8" t="s">
        <v>511</v>
      </c>
      <c r="D8" t="s">
        <v>267</v>
      </c>
      <c r="E8">
        <v>50</v>
      </c>
      <c r="F8" s="70"/>
      <c r="G8" s="70"/>
      <c r="H8" s="70"/>
      <c r="I8" s="70"/>
      <c r="J8" s="70"/>
      <c r="K8" s="70"/>
      <c r="L8" s="70">
        <v>269518</v>
      </c>
      <c r="M8" s="70">
        <v>760037</v>
      </c>
      <c r="N8" s="70">
        <v>131612</v>
      </c>
      <c r="O8" s="70"/>
      <c r="P8" s="70"/>
      <c r="Q8" s="70"/>
      <c r="R8" s="70">
        <v>1161167</v>
      </c>
    </row>
    <row r="9" spans="1:31">
      <c r="C9" t="s">
        <v>512</v>
      </c>
      <c r="D9" t="s">
        <v>267</v>
      </c>
      <c r="E9">
        <v>1</v>
      </c>
      <c r="F9" s="70"/>
      <c r="G9" s="70"/>
      <c r="H9" s="70"/>
      <c r="I9" s="70"/>
      <c r="J9" s="70"/>
      <c r="K9" s="70"/>
      <c r="L9" s="70"/>
      <c r="M9" s="70"/>
      <c r="N9" s="70">
        <v>13398</v>
      </c>
      <c r="O9" s="70"/>
      <c r="P9" s="70"/>
      <c r="Q9" s="70"/>
      <c r="R9" s="70">
        <v>13398</v>
      </c>
    </row>
    <row r="10" spans="1:31">
      <c r="C10" t="s">
        <v>513</v>
      </c>
      <c r="D10" t="s">
        <v>267</v>
      </c>
      <c r="E10">
        <v>1</v>
      </c>
      <c r="F10" s="70"/>
      <c r="G10" s="70"/>
      <c r="H10" s="70"/>
      <c r="I10" s="70"/>
      <c r="J10" s="70"/>
      <c r="K10" s="70"/>
      <c r="L10" s="70">
        <v>499.5</v>
      </c>
      <c r="M10" s="70"/>
      <c r="N10" s="70"/>
      <c r="O10" s="70"/>
      <c r="P10" s="70"/>
      <c r="Q10" s="70"/>
      <c r="R10" s="70">
        <v>499.5</v>
      </c>
    </row>
    <row r="11" spans="1:31">
      <c r="C11" t="s">
        <v>514</v>
      </c>
      <c r="D11" t="s">
        <v>267</v>
      </c>
      <c r="E11">
        <v>1</v>
      </c>
      <c r="F11" s="70"/>
      <c r="G11" s="70"/>
      <c r="H11" s="70"/>
      <c r="I11" s="70"/>
      <c r="J11" s="70"/>
      <c r="K11" s="70"/>
      <c r="L11" s="70">
        <v>1466</v>
      </c>
      <c r="M11" s="70"/>
      <c r="N11" s="70"/>
      <c r="O11" s="70"/>
      <c r="P11" s="70"/>
      <c r="Q11" s="70"/>
      <c r="R11" s="70">
        <v>1466</v>
      </c>
    </row>
    <row r="12" spans="1:31">
      <c r="C12" t="s">
        <v>515</v>
      </c>
      <c r="D12" t="s">
        <v>267</v>
      </c>
      <c r="E12">
        <v>26</v>
      </c>
      <c r="F12" s="70"/>
      <c r="G12" s="70"/>
      <c r="H12" s="70"/>
      <c r="I12" s="70"/>
      <c r="J12" s="70"/>
      <c r="K12" s="70">
        <v>1004676</v>
      </c>
      <c r="L12" s="70">
        <v>969712.83000000007</v>
      </c>
      <c r="M12" s="70">
        <v>326460</v>
      </c>
      <c r="N12" s="70"/>
      <c r="O12" s="70"/>
      <c r="P12" s="70"/>
      <c r="Q12" s="70"/>
      <c r="R12" s="70">
        <v>2300848.83</v>
      </c>
    </row>
    <row r="13" spans="1:31">
      <c r="C13" t="s">
        <v>516</v>
      </c>
      <c r="D13" t="s">
        <v>267</v>
      </c>
      <c r="E13">
        <v>26</v>
      </c>
      <c r="F13" s="70"/>
      <c r="G13" s="70"/>
      <c r="H13" s="70"/>
      <c r="I13" s="70"/>
      <c r="J13" s="70">
        <v>153379</v>
      </c>
      <c r="K13" s="70"/>
      <c r="L13" s="70"/>
      <c r="M13" s="70"/>
      <c r="N13" s="70"/>
      <c r="O13" s="70"/>
      <c r="P13" s="70"/>
      <c r="Q13" s="70"/>
      <c r="R13" s="70">
        <v>153379</v>
      </c>
    </row>
    <row r="14" spans="1:31">
      <c r="C14" t="s">
        <v>517</v>
      </c>
      <c r="D14" t="s">
        <v>267</v>
      </c>
      <c r="E14">
        <v>1</v>
      </c>
      <c r="F14" s="70"/>
      <c r="G14" s="70"/>
      <c r="H14" s="70"/>
      <c r="I14" s="70"/>
      <c r="J14" s="70"/>
      <c r="K14" s="70">
        <v>12309</v>
      </c>
      <c r="L14" s="70"/>
      <c r="M14" s="70"/>
      <c r="N14" s="70"/>
      <c r="O14" s="70"/>
      <c r="P14" s="70"/>
      <c r="Q14" s="70"/>
      <c r="R14" s="70">
        <v>12309</v>
      </c>
    </row>
    <row r="15" spans="1:31">
      <c r="C15" t="s">
        <v>518</v>
      </c>
      <c r="D15" t="s">
        <v>267</v>
      </c>
      <c r="E15">
        <v>1</v>
      </c>
      <c r="F15" s="70"/>
      <c r="G15" s="70"/>
      <c r="H15" s="70"/>
      <c r="I15" s="70"/>
      <c r="J15" s="70"/>
      <c r="K15" s="70"/>
      <c r="L15" s="70"/>
      <c r="M15" s="70">
        <v>1142.75</v>
      </c>
      <c r="N15" s="70"/>
      <c r="O15" s="70"/>
      <c r="P15" s="70"/>
      <c r="Q15" s="70"/>
      <c r="R15" s="70">
        <v>1142.75</v>
      </c>
    </row>
    <row r="16" spans="1:31">
      <c r="C16" t="s">
        <v>519</v>
      </c>
      <c r="D16" t="s">
        <v>267</v>
      </c>
      <c r="E16">
        <v>1</v>
      </c>
      <c r="F16" s="70"/>
      <c r="G16" s="70"/>
      <c r="H16" s="70"/>
      <c r="I16" s="70">
        <v>1672</v>
      </c>
      <c r="J16" s="70"/>
      <c r="K16" s="70"/>
      <c r="L16" s="70"/>
      <c r="M16" s="70"/>
      <c r="N16" s="70"/>
      <c r="O16" s="70"/>
      <c r="P16" s="70"/>
      <c r="Q16" s="70"/>
      <c r="R16" s="70">
        <v>1672</v>
      </c>
    </row>
    <row r="17" spans="1:31">
      <c r="C17" t="s">
        <v>520</v>
      </c>
      <c r="D17" t="s">
        <v>267</v>
      </c>
      <c r="E17">
        <v>11</v>
      </c>
      <c r="F17" s="70"/>
      <c r="G17" s="70"/>
      <c r="H17" s="70"/>
      <c r="I17" s="70"/>
      <c r="J17" s="70"/>
      <c r="K17" s="70"/>
      <c r="L17" s="70"/>
      <c r="M17" s="70"/>
      <c r="N17" s="70">
        <v>74720</v>
      </c>
      <c r="O17" s="70"/>
      <c r="P17" s="70"/>
      <c r="Q17" s="70"/>
      <c r="R17" s="70">
        <v>74720</v>
      </c>
    </row>
    <row r="18" spans="1:31">
      <c r="C18" t="s">
        <v>521</v>
      </c>
      <c r="D18" t="s">
        <v>267</v>
      </c>
      <c r="E18">
        <v>2</v>
      </c>
      <c r="F18" s="70">
        <v>5432.2</v>
      </c>
      <c r="G18" s="70"/>
      <c r="H18" s="70"/>
      <c r="I18" s="70"/>
      <c r="J18" s="70"/>
      <c r="K18" s="70"/>
      <c r="L18" s="70"/>
      <c r="M18" s="70"/>
      <c r="N18" s="70"/>
      <c r="O18" s="70"/>
      <c r="P18" s="70"/>
      <c r="Q18" s="70"/>
      <c r="R18" s="70">
        <v>5432.2</v>
      </c>
    </row>
    <row r="19" spans="1:31">
      <c r="C19" t="s">
        <v>522</v>
      </c>
      <c r="D19" t="s">
        <v>267</v>
      </c>
      <c r="E19">
        <v>1</v>
      </c>
      <c r="F19" s="70"/>
      <c r="G19" s="70"/>
      <c r="H19" s="70">
        <v>4200</v>
      </c>
      <c r="I19" s="70"/>
      <c r="J19" s="70"/>
      <c r="K19" s="70"/>
      <c r="L19" s="70"/>
      <c r="M19" s="70"/>
      <c r="N19" s="70"/>
      <c r="O19" s="70"/>
      <c r="P19" s="70"/>
      <c r="Q19" s="70"/>
      <c r="R19" s="70">
        <v>4200</v>
      </c>
    </row>
    <row r="20" spans="1:31">
      <c r="C20" t="s">
        <v>523</v>
      </c>
      <c r="D20" t="s">
        <v>267</v>
      </c>
      <c r="E20">
        <v>12</v>
      </c>
      <c r="F20" s="70"/>
      <c r="G20" s="70"/>
      <c r="H20" s="70"/>
      <c r="I20" s="70"/>
      <c r="J20" s="70"/>
      <c r="K20" s="70"/>
      <c r="L20" s="70"/>
      <c r="M20" s="70">
        <v>203436.49</v>
      </c>
      <c r="N20" s="70"/>
      <c r="O20" s="70"/>
      <c r="P20" s="70"/>
      <c r="Q20" s="70"/>
      <c r="R20" s="70">
        <v>203436.49</v>
      </c>
    </row>
    <row r="21" spans="1:31">
      <c r="C21" t="s">
        <v>524</v>
      </c>
      <c r="D21" t="s">
        <v>267</v>
      </c>
      <c r="E21">
        <v>18</v>
      </c>
      <c r="F21" s="70"/>
      <c r="G21" s="70"/>
      <c r="H21" s="70"/>
      <c r="I21" s="70"/>
      <c r="J21" s="70"/>
      <c r="K21" s="70"/>
      <c r="L21" s="70"/>
      <c r="M21" s="70"/>
      <c r="N21" s="70">
        <v>149029</v>
      </c>
      <c r="O21" s="70"/>
      <c r="P21" s="70"/>
      <c r="Q21" s="70"/>
      <c r="R21" s="70">
        <v>149029</v>
      </c>
    </row>
    <row r="22" spans="1:31">
      <c r="B22" t="s">
        <v>525</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c r="B23" t="s">
        <v>46</v>
      </c>
      <c r="C23" t="s">
        <v>526</v>
      </c>
      <c r="D23" t="s">
        <v>267</v>
      </c>
      <c r="E23">
        <v>25</v>
      </c>
      <c r="F23" s="70"/>
      <c r="G23" s="70"/>
      <c r="H23" s="70"/>
      <c r="I23" s="70">
        <v>56748.11</v>
      </c>
      <c r="J23" s="70">
        <v>87190</v>
      </c>
      <c r="K23" s="70">
        <v>54084</v>
      </c>
      <c r="L23" s="70"/>
      <c r="M23" s="70"/>
      <c r="N23" s="70"/>
      <c r="O23" s="70"/>
      <c r="P23" s="70"/>
      <c r="Q23" s="70"/>
      <c r="R23" s="70">
        <v>198022.11</v>
      </c>
    </row>
    <row r="24" spans="1:31" s="122" customFormat="1">
      <c r="A24"/>
      <c r="B24"/>
      <c r="C24" t="s">
        <v>527</v>
      </c>
      <c r="D24" t="s">
        <v>267</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c r="C25" t="s">
        <v>528</v>
      </c>
      <c r="D25" t="s">
        <v>267</v>
      </c>
      <c r="E25">
        <v>30</v>
      </c>
      <c r="F25" s="70"/>
      <c r="G25" s="70"/>
      <c r="H25" s="70">
        <v>22782.880000000001</v>
      </c>
      <c r="I25" s="70">
        <v>68348.760000000009</v>
      </c>
      <c r="J25" s="70"/>
      <c r="K25" s="70"/>
      <c r="L25" s="70"/>
      <c r="M25" s="70"/>
      <c r="N25" s="70">
        <v>96242</v>
      </c>
      <c r="O25" s="70"/>
      <c r="P25" s="70"/>
      <c r="Q25" s="70"/>
      <c r="R25" s="70">
        <v>187373.64</v>
      </c>
    </row>
    <row r="26" spans="1:31">
      <c r="C26" t="s">
        <v>529</v>
      </c>
      <c r="D26" t="s">
        <v>267</v>
      </c>
      <c r="E26">
        <v>28</v>
      </c>
      <c r="F26" s="70"/>
      <c r="G26" s="70"/>
      <c r="H26" s="70"/>
      <c r="I26" s="70"/>
      <c r="J26" s="70">
        <v>178386</v>
      </c>
      <c r="K26" s="70">
        <v>179389</v>
      </c>
      <c r="L26" s="70"/>
      <c r="M26" s="70"/>
      <c r="N26" s="70"/>
      <c r="O26" s="70"/>
      <c r="P26" s="70"/>
      <c r="Q26" s="70"/>
      <c r="R26" s="70">
        <v>357775</v>
      </c>
    </row>
    <row r="27" spans="1:31">
      <c r="C27" t="s">
        <v>530</v>
      </c>
      <c r="D27" t="s">
        <v>267</v>
      </c>
      <c r="E27">
        <v>48</v>
      </c>
      <c r="F27" s="70"/>
      <c r="G27" s="70"/>
      <c r="H27" s="70">
        <v>21344</v>
      </c>
      <c r="I27" s="70"/>
      <c r="J27" s="70">
        <v>2668</v>
      </c>
      <c r="K27" s="70"/>
      <c r="L27" s="70"/>
      <c r="M27" s="70"/>
      <c r="N27" s="70"/>
      <c r="O27" s="70"/>
      <c r="P27" s="70"/>
      <c r="Q27" s="70"/>
      <c r="R27" s="70">
        <v>24012</v>
      </c>
    </row>
    <row r="28" spans="1:31">
      <c r="C28" t="s">
        <v>531</v>
      </c>
      <c r="D28" t="s">
        <v>267</v>
      </c>
      <c r="E28">
        <v>17</v>
      </c>
      <c r="F28" s="70"/>
      <c r="G28" s="70">
        <v>51127</v>
      </c>
      <c r="H28" s="70"/>
      <c r="I28" s="70">
        <v>1908.8</v>
      </c>
      <c r="J28" s="70"/>
      <c r="K28" s="70"/>
      <c r="L28" s="70"/>
      <c r="M28" s="70"/>
      <c r="N28" s="70"/>
      <c r="O28" s="70"/>
      <c r="P28" s="70"/>
      <c r="Q28" s="70"/>
      <c r="R28" s="70">
        <v>53035.8</v>
      </c>
    </row>
    <row r="29" spans="1:31">
      <c r="C29" t="s">
        <v>532</v>
      </c>
      <c r="D29" t="s">
        <v>267</v>
      </c>
      <c r="E29">
        <v>7</v>
      </c>
      <c r="F29" s="70">
        <v>1601</v>
      </c>
      <c r="G29" s="70"/>
      <c r="H29" s="70"/>
      <c r="I29" s="70"/>
      <c r="J29" s="70"/>
      <c r="K29" s="70"/>
      <c r="L29" s="70"/>
      <c r="M29" s="70"/>
      <c r="N29" s="70"/>
      <c r="O29" s="70"/>
      <c r="P29" s="70"/>
      <c r="Q29" s="70"/>
      <c r="R29" s="70">
        <v>1601</v>
      </c>
    </row>
    <row r="30" spans="1:31">
      <c r="C30" t="s">
        <v>533</v>
      </c>
      <c r="D30" t="s">
        <v>267</v>
      </c>
      <c r="E30">
        <v>2</v>
      </c>
      <c r="F30" s="70"/>
      <c r="G30" s="70"/>
      <c r="H30" s="70"/>
      <c r="I30" s="70"/>
      <c r="J30" s="70"/>
      <c r="K30" s="70"/>
      <c r="L30" s="70"/>
      <c r="M30" s="70"/>
      <c r="N30" s="70"/>
      <c r="O30" s="70">
        <v>13541.25</v>
      </c>
      <c r="P30" s="70"/>
      <c r="Q30" s="70"/>
      <c r="R30" s="70">
        <v>13541.25</v>
      </c>
    </row>
    <row r="31" spans="1:31">
      <c r="C31" t="s">
        <v>534</v>
      </c>
      <c r="D31" t="s">
        <v>267</v>
      </c>
      <c r="E31">
        <v>30</v>
      </c>
      <c r="F31" s="70">
        <v>362480.94</v>
      </c>
      <c r="G31" s="70">
        <v>33400</v>
      </c>
      <c r="H31" s="70"/>
      <c r="I31" s="70"/>
      <c r="J31" s="70"/>
      <c r="K31" s="70"/>
      <c r="L31" s="70"/>
      <c r="M31" s="70"/>
      <c r="N31" s="70"/>
      <c r="O31" s="70"/>
      <c r="P31" s="70"/>
      <c r="Q31" s="70"/>
      <c r="R31" s="70">
        <v>395880.94</v>
      </c>
    </row>
    <row r="32" spans="1:31">
      <c r="C32" t="s">
        <v>561</v>
      </c>
      <c r="D32" t="s">
        <v>267</v>
      </c>
      <c r="E32">
        <v>50</v>
      </c>
      <c r="F32" s="70"/>
      <c r="G32" s="70"/>
      <c r="H32" s="70"/>
      <c r="I32" s="70"/>
      <c r="J32" s="70"/>
      <c r="K32" s="70"/>
      <c r="L32" s="70"/>
      <c r="M32" s="70"/>
      <c r="N32" s="70"/>
      <c r="O32" s="70">
        <v>98457.81</v>
      </c>
      <c r="P32" s="70"/>
      <c r="Q32" s="70"/>
      <c r="R32" s="70">
        <v>98457.81</v>
      </c>
    </row>
    <row r="33" spans="1:18">
      <c r="C33" t="s">
        <v>535</v>
      </c>
      <c r="D33" t="s">
        <v>267</v>
      </c>
      <c r="E33">
        <v>22</v>
      </c>
      <c r="F33" s="70"/>
      <c r="G33" s="70"/>
      <c r="H33" s="70"/>
      <c r="I33" s="70"/>
      <c r="J33" s="70"/>
      <c r="K33" s="70"/>
      <c r="L33" s="70"/>
      <c r="M33" s="70">
        <v>89785.840000000011</v>
      </c>
      <c r="N33" s="70">
        <v>80159</v>
      </c>
      <c r="O33" s="70"/>
      <c r="P33" s="70"/>
      <c r="Q33" s="70"/>
      <c r="R33" s="70">
        <v>169944.84000000003</v>
      </c>
    </row>
    <row r="34" spans="1:18">
      <c r="C34" t="s">
        <v>536</v>
      </c>
      <c r="D34" t="s">
        <v>267</v>
      </c>
      <c r="E34">
        <v>13</v>
      </c>
      <c r="F34" s="70"/>
      <c r="G34" s="70"/>
      <c r="H34" s="70"/>
      <c r="I34" s="70"/>
      <c r="J34" s="70"/>
      <c r="K34" s="70"/>
      <c r="L34" s="70"/>
      <c r="M34" s="70"/>
      <c r="N34" s="70"/>
      <c r="O34" s="70">
        <v>100243</v>
      </c>
      <c r="P34" s="70"/>
      <c r="Q34" s="70"/>
      <c r="R34" s="70">
        <v>100243</v>
      </c>
    </row>
    <row r="35" spans="1:18">
      <c r="C35" t="s">
        <v>537</v>
      </c>
      <c r="D35" t="s">
        <v>267</v>
      </c>
      <c r="E35">
        <v>48</v>
      </c>
      <c r="F35" s="70">
        <v>24407</v>
      </c>
      <c r="G35" s="70">
        <v>80520</v>
      </c>
      <c r="H35" s="70"/>
      <c r="I35" s="70"/>
      <c r="J35" s="70"/>
      <c r="K35" s="70"/>
      <c r="L35" s="70"/>
      <c r="M35" s="70"/>
      <c r="N35" s="70"/>
      <c r="O35" s="70"/>
      <c r="P35" s="70"/>
      <c r="Q35" s="70"/>
      <c r="R35" s="70">
        <v>104927</v>
      </c>
    </row>
    <row r="36" spans="1:18">
      <c r="C36" t="s">
        <v>538</v>
      </c>
      <c r="D36" t="s">
        <v>267</v>
      </c>
      <c r="E36">
        <v>20</v>
      </c>
      <c r="F36" s="70"/>
      <c r="G36" s="70"/>
      <c r="H36" s="70"/>
      <c r="I36" s="70"/>
      <c r="J36" s="70"/>
      <c r="K36" s="70"/>
      <c r="L36" s="70">
        <v>93065</v>
      </c>
      <c r="M36" s="70"/>
      <c r="N36" s="70"/>
      <c r="O36" s="70"/>
      <c r="P36" s="70"/>
      <c r="Q36" s="70"/>
      <c r="R36" s="70">
        <v>93065</v>
      </c>
    </row>
    <row r="37" spans="1:18">
      <c r="C37" t="s">
        <v>539</v>
      </c>
      <c r="D37" t="s">
        <v>267</v>
      </c>
      <c r="E37">
        <v>32</v>
      </c>
      <c r="F37" s="70"/>
      <c r="G37" s="70"/>
      <c r="H37" s="70"/>
      <c r="I37" s="70"/>
      <c r="J37" s="70"/>
      <c r="K37" s="70"/>
      <c r="L37" s="70"/>
      <c r="M37" s="70">
        <v>46234.26</v>
      </c>
      <c r="N37" s="70">
        <v>122196</v>
      </c>
      <c r="O37" s="70"/>
      <c r="P37" s="70"/>
      <c r="Q37" s="70"/>
      <c r="R37" s="70">
        <v>168430.26</v>
      </c>
    </row>
    <row r="38" spans="1:18">
      <c r="C38" t="s">
        <v>540</v>
      </c>
      <c r="D38" t="s">
        <v>267</v>
      </c>
      <c r="E38">
        <v>4</v>
      </c>
      <c r="F38" s="70"/>
      <c r="G38" s="70"/>
      <c r="H38" s="70"/>
      <c r="I38" s="70"/>
      <c r="J38" s="70"/>
      <c r="K38" s="70"/>
      <c r="L38" s="70">
        <v>525145.19999999995</v>
      </c>
      <c r="M38" s="70">
        <v>471952.96</v>
      </c>
      <c r="N38" s="70">
        <v>38212.51</v>
      </c>
      <c r="O38" s="70"/>
      <c r="P38" s="70"/>
      <c r="Q38" s="70"/>
      <c r="R38" s="70">
        <v>1035310.6699999999</v>
      </c>
    </row>
    <row r="39" spans="1:18">
      <c r="C39" t="s">
        <v>541</v>
      </c>
      <c r="D39" t="s">
        <v>267</v>
      </c>
      <c r="E39">
        <v>12</v>
      </c>
      <c r="F39" s="70"/>
      <c r="G39" s="70"/>
      <c r="H39" s="70"/>
      <c r="I39" s="70"/>
      <c r="J39" s="70"/>
      <c r="K39" s="70"/>
      <c r="L39" s="70"/>
      <c r="M39" s="70">
        <v>22198</v>
      </c>
      <c r="N39" s="70"/>
      <c r="O39" s="70"/>
      <c r="P39" s="70"/>
      <c r="Q39" s="70"/>
      <c r="R39" s="70">
        <v>22198</v>
      </c>
    </row>
    <row r="40" spans="1:18">
      <c r="B40" t="s">
        <v>542</v>
      </c>
      <c r="D40"/>
      <c r="E40"/>
      <c r="F40" s="70">
        <v>388488.94</v>
      </c>
      <c r="G40" s="70">
        <v>165047</v>
      </c>
      <c r="H40" s="70">
        <v>44126.880000000005</v>
      </c>
      <c r="I40" s="70">
        <v>134021.16999999998</v>
      </c>
      <c r="J40" s="70">
        <v>268244</v>
      </c>
      <c r="K40" s="70">
        <v>233473</v>
      </c>
      <c r="L40" s="70">
        <v>618210.19999999995</v>
      </c>
      <c r="M40" s="70">
        <v>630171.06000000006</v>
      </c>
      <c r="N40" s="70">
        <v>336809.51</v>
      </c>
      <c r="O40" s="70">
        <v>212242.06</v>
      </c>
      <c r="P40" s="70"/>
      <c r="Q40" s="70"/>
      <c r="R40" s="70">
        <v>3030833.8200000003</v>
      </c>
    </row>
    <row r="41" spans="1:18">
      <c r="B41" t="s">
        <v>543</v>
      </c>
      <c r="C41" t="s">
        <v>544</v>
      </c>
      <c r="D41" t="s">
        <v>267</v>
      </c>
      <c r="E41">
        <v>6</v>
      </c>
      <c r="F41" s="70"/>
      <c r="G41" s="70"/>
      <c r="H41" s="70"/>
      <c r="I41" s="70"/>
      <c r="J41" s="70"/>
      <c r="K41" s="70">
        <v>48755</v>
      </c>
      <c r="L41" s="70"/>
      <c r="M41" s="70"/>
      <c r="N41" s="70"/>
      <c r="O41" s="70"/>
      <c r="P41" s="70"/>
      <c r="Q41" s="70"/>
      <c r="R41" s="70">
        <v>48755</v>
      </c>
    </row>
    <row r="42" spans="1:18">
      <c r="B42" t="s">
        <v>545</v>
      </c>
      <c r="D42"/>
      <c r="E42"/>
      <c r="F42" s="70"/>
      <c r="G42" s="70"/>
      <c r="H42" s="70"/>
      <c r="I42" s="70"/>
      <c r="J42" s="70"/>
      <c r="K42" s="70">
        <v>48755</v>
      </c>
      <c r="L42" s="70"/>
      <c r="M42" s="70"/>
      <c r="N42" s="70"/>
      <c r="O42" s="70"/>
      <c r="P42" s="70"/>
      <c r="Q42" s="70"/>
      <c r="R42" s="70">
        <v>48755</v>
      </c>
    </row>
    <row r="43" spans="1:18">
      <c r="B43" t="s">
        <v>546</v>
      </c>
      <c r="C43" t="s">
        <v>547</v>
      </c>
      <c r="D43" t="s">
        <v>267</v>
      </c>
      <c r="E43">
        <v>7</v>
      </c>
      <c r="F43" s="70"/>
      <c r="G43" s="70"/>
      <c r="H43" s="70">
        <v>10003.5</v>
      </c>
      <c r="I43" s="70"/>
      <c r="J43" s="70"/>
      <c r="K43" s="70"/>
      <c r="L43" s="70"/>
      <c r="M43" s="70"/>
      <c r="N43" s="70"/>
      <c r="O43" s="70"/>
      <c r="P43" s="70"/>
      <c r="Q43" s="70"/>
      <c r="R43" s="70">
        <v>10003.5</v>
      </c>
    </row>
    <row r="44" spans="1:18">
      <c r="B44" t="s">
        <v>548</v>
      </c>
      <c r="D44"/>
      <c r="E44"/>
      <c r="F44" s="70"/>
      <c r="G44" s="70"/>
      <c r="H44" s="70">
        <v>10003.5</v>
      </c>
      <c r="I44" s="70"/>
      <c r="J44" s="70"/>
      <c r="K44" s="70"/>
      <c r="L44" s="70"/>
      <c r="M44" s="70"/>
      <c r="N44" s="70"/>
      <c r="O44" s="70"/>
      <c r="P44" s="70"/>
      <c r="Q44" s="70"/>
      <c r="R44" s="70">
        <v>10003.5</v>
      </c>
    </row>
    <row r="45" spans="1:18">
      <c r="A45" s="224" t="s">
        <v>549</v>
      </c>
      <c r="B45" s="224"/>
      <c r="C45" s="224"/>
      <c r="D45" s="224"/>
      <c r="E45" s="224"/>
      <c r="F45" s="225">
        <v>465758.14</v>
      </c>
      <c r="G45" s="225">
        <v>165047</v>
      </c>
      <c r="H45" s="225">
        <v>58330.380000000005</v>
      </c>
      <c r="I45" s="225">
        <v>220138.32</v>
      </c>
      <c r="J45" s="225">
        <v>421623</v>
      </c>
      <c r="K45" s="225">
        <v>1299213</v>
      </c>
      <c r="L45" s="225">
        <v>1971089.03</v>
      </c>
      <c r="M45" s="225">
        <v>1974942.4400000002</v>
      </c>
      <c r="N45" s="225">
        <v>705568.51</v>
      </c>
      <c r="O45" s="225">
        <v>212242.06</v>
      </c>
      <c r="P45" s="225"/>
      <c r="Q45" s="225"/>
      <c r="R45" s="225">
        <v>7493951.8799999999</v>
      </c>
    </row>
    <row r="46" spans="1:18">
      <c r="A46" t="s">
        <v>310</v>
      </c>
      <c r="B46" t="s">
        <v>59</v>
      </c>
      <c r="C46" t="s">
        <v>550</v>
      </c>
      <c r="D46" t="s">
        <v>267</v>
      </c>
      <c r="E46">
        <v>38</v>
      </c>
      <c r="F46" s="70"/>
      <c r="G46" s="70"/>
      <c r="H46" s="70"/>
      <c r="I46" s="70"/>
      <c r="J46" s="70"/>
      <c r="K46" s="70"/>
      <c r="L46" s="70"/>
      <c r="M46" s="70"/>
      <c r="N46" s="70"/>
      <c r="O46" s="70"/>
      <c r="P46" s="70">
        <v>239023</v>
      </c>
      <c r="Q46" s="70">
        <v>72450.760000000068</v>
      </c>
      <c r="R46" s="70">
        <v>311473.76000000007</v>
      </c>
    </row>
    <row r="47" spans="1:18">
      <c r="C47" t="s">
        <v>551</v>
      </c>
      <c r="D47" t="s">
        <v>267</v>
      </c>
      <c r="E47">
        <v>1</v>
      </c>
      <c r="F47" s="70"/>
      <c r="G47" s="70"/>
      <c r="H47" s="70"/>
      <c r="I47" s="70"/>
      <c r="J47" s="70"/>
      <c r="K47" s="70"/>
      <c r="L47" s="70"/>
      <c r="M47" s="70"/>
      <c r="N47" s="70"/>
      <c r="O47" s="70"/>
      <c r="P47" s="70"/>
      <c r="Q47" s="70">
        <v>6068.79</v>
      </c>
      <c r="R47" s="70">
        <v>6068.79</v>
      </c>
    </row>
    <row r="48" spans="1:18">
      <c r="C48" t="s">
        <v>552</v>
      </c>
      <c r="D48" t="s">
        <v>267</v>
      </c>
      <c r="E48">
        <v>1</v>
      </c>
      <c r="F48" s="70"/>
      <c r="G48" s="70"/>
      <c r="H48" s="70"/>
      <c r="I48" s="70"/>
      <c r="J48" s="70"/>
      <c r="K48" s="70"/>
      <c r="L48" s="70"/>
      <c r="M48" s="70"/>
      <c r="N48" s="70"/>
      <c r="O48" s="70"/>
      <c r="P48" s="70">
        <v>3454</v>
      </c>
      <c r="Q48" s="70"/>
      <c r="R48" s="70">
        <v>3454</v>
      </c>
    </row>
    <row r="49" spans="1:18">
      <c r="C49" t="s">
        <v>553</v>
      </c>
      <c r="D49" t="s">
        <v>267</v>
      </c>
      <c r="E49">
        <v>1</v>
      </c>
      <c r="F49" s="70"/>
      <c r="G49" s="70"/>
      <c r="H49" s="70"/>
      <c r="I49" s="70"/>
      <c r="J49" s="70"/>
      <c r="K49" s="70"/>
      <c r="L49" s="70"/>
      <c r="M49" s="70"/>
      <c r="N49" s="70"/>
      <c r="O49" s="70"/>
      <c r="P49" s="70">
        <v>5839.5599999999995</v>
      </c>
      <c r="Q49" s="70"/>
      <c r="R49" s="70">
        <v>5839.5599999999995</v>
      </c>
    </row>
    <row r="50" spans="1:18">
      <c r="C50" t="s">
        <v>520</v>
      </c>
      <c r="D50" t="s">
        <v>267</v>
      </c>
      <c r="E50">
        <v>11</v>
      </c>
      <c r="F50" s="70"/>
      <c r="G50" s="70"/>
      <c r="H50" s="70"/>
      <c r="I50" s="70"/>
      <c r="J50" s="70"/>
      <c r="K50" s="70"/>
      <c r="L50" s="70"/>
      <c r="M50" s="70"/>
      <c r="N50" s="70"/>
      <c r="O50" s="70">
        <v>127455</v>
      </c>
      <c r="P50" s="70"/>
      <c r="Q50" s="70"/>
      <c r="R50" s="70">
        <v>127455</v>
      </c>
    </row>
    <row r="51" spans="1:18">
      <c r="B51" t="s">
        <v>525</v>
      </c>
      <c r="D51"/>
      <c r="E51"/>
      <c r="F51" s="70"/>
      <c r="G51" s="70"/>
      <c r="H51" s="70"/>
      <c r="I51" s="70"/>
      <c r="J51" s="70"/>
      <c r="K51" s="70"/>
      <c r="L51" s="70"/>
      <c r="M51" s="70"/>
      <c r="N51" s="70"/>
      <c r="O51" s="70">
        <v>127455</v>
      </c>
      <c r="P51" s="70">
        <v>248316.56</v>
      </c>
      <c r="Q51" s="70">
        <v>78519.550000000061</v>
      </c>
      <c r="R51" s="70">
        <v>454291.11000000004</v>
      </c>
    </row>
    <row r="52" spans="1:18">
      <c r="B52" t="s">
        <v>46</v>
      </c>
      <c r="C52" t="s">
        <v>554</v>
      </c>
      <c r="D52" t="s">
        <v>267</v>
      </c>
      <c r="E52">
        <v>50</v>
      </c>
      <c r="F52" s="70"/>
      <c r="G52" s="70"/>
      <c r="H52" s="70"/>
      <c r="I52" s="70"/>
      <c r="J52" s="70"/>
      <c r="K52" s="70"/>
      <c r="L52" s="70"/>
      <c r="M52" s="70"/>
      <c r="N52" s="70"/>
      <c r="O52" s="70"/>
      <c r="P52" s="70">
        <v>148976.37</v>
      </c>
      <c r="Q52" s="70">
        <v>59908.57</v>
      </c>
      <c r="R52" s="70">
        <v>208884.94</v>
      </c>
    </row>
    <row r="53" spans="1:18">
      <c r="C53" t="s">
        <v>555</v>
      </c>
      <c r="D53" t="s">
        <v>267</v>
      </c>
      <c r="E53">
        <v>7</v>
      </c>
      <c r="F53" s="70"/>
      <c r="G53" s="70"/>
      <c r="H53" s="70"/>
      <c r="I53" s="70"/>
      <c r="J53" s="70"/>
      <c r="K53" s="70"/>
      <c r="L53" s="70"/>
      <c r="M53" s="70"/>
      <c r="N53" s="70"/>
      <c r="O53" s="70"/>
      <c r="P53" s="70"/>
      <c r="Q53" s="70">
        <v>15139</v>
      </c>
      <c r="R53" s="70">
        <v>15139</v>
      </c>
    </row>
    <row r="54" spans="1:18">
      <c r="C54" t="s">
        <v>556</v>
      </c>
      <c r="D54" t="s">
        <v>267</v>
      </c>
      <c r="E54">
        <v>2</v>
      </c>
      <c r="F54" s="70"/>
      <c r="G54" s="70"/>
      <c r="H54" s="70"/>
      <c r="I54" s="70"/>
      <c r="J54" s="70"/>
      <c r="K54" s="70"/>
      <c r="L54" s="70"/>
      <c r="M54" s="70"/>
      <c r="N54" s="70"/>
      <c r="O54" s="70"/>
      <c r="P54" s="70">
        <v>10410</v>
      </c>
      <c r="Q54" s="70"/>
      <c r="R54" s="70">
        <v>10410</v>
      </c>
    </row>
    <row r="55" spans="1:18">
      <c r="C55" t="s">
        <v>557</v>
      </c>
      <c r="D55" t="s">
        <v>267</v>
      </c>
      <c r="E55">
        <v>5</v>
      </c>
      <c r="F55" s="70"/>
      <c r="G55" s="70"/>
      <c r="H55" s="70"/>
      <c r="I55" s="70"/>
      <c r="J55" s="70"/>
      <c r="K55" s="70"/>
      <c r="L55" s="70"/>
      <c r="M55" s="70"/>
      <c r="N55" s="70"/>
      <c r="O55" s="70"/>
      <c r="P55" s="70">
        <v>17615.419999999998</v>
      </c>
      <c r="Q55" s="70"/>
      <c r="R55" s="70">
        <v>17615.419999999998</v>
      </c>
    </row>
    <row r="56" spans="1:18">
      <c r="C56" t="s">
        <v>558</v>
      </c>
      <c r="D56" t="s">
        <v>267</v>
      </c>
      <c r="E56">
        <v>1</v>
      </c>
      <c r="F56" s="70"/>
      <c r="G56" s="70"/>
      <c r="H56" s="70"/>
      <c r="I56" s="70"/>
      <c r="J56" s="70"/>
      <c r="K56" s="70"/>
      <c r="L56" s="70"/>
      <c r="M56" s="70"/>
      <c r="N56" s="70"/>
      <c r="O56" s="70"/>
      <c r="P56" s="70"/>
      <c r="Q56" s="70">
        <v>3202</v>
      </c>
      <c r="R56" s="70">
        <v>3202</v>
      </c>
    </row>
    <row r="57" spans="1:18">
      <c r="C57" t="s">
        <v>559</v>
      </c>
      <c r="D57" t="s">
        <v>267</v>
      </c>
      <c r="E57">
        <v>15</v>
      </c>
      <c r="F57" s="70"/>
      <c r="G57" s="70"/>
      <c r="H57" s="70"/>
      <c r="I57" s="70"/>
      <c r="J57" s="70"/>
      <c r="K57" s="70"/>
      <c r="L57" s="70"/>
      <c r="M57" s="70"/>
      <c r="N57" s="70"/>
      <c r="O57" s="70"/>
      <c r="P57" s="70">
        <v>64112.41</v>
      </c>
      <c r="Q57" s="70"/>
      <c r="R57" s="70">
        <v>64112.41</v>
      </c>
    </row>
    <row r="58" spans="1:18">
      <c r="C58" t="s">
        <v>560</v>
      </c>
      <c r="D58" t="s">
        <v>267</v>
      </c>
      <c r="E58">
        <v>5</v>
      </c>
      <c r="F58" s="70"/>
      <c r="G58" s="70"/>
      <c r="H58" s="70"/>
      <c r="I58" s="70"/>
      <c r="J58" s="70"/>
      <c r="K58" s="70"/>
      <c r="L58" s="70"/>
      <c r="M58" s="70"/>
      <c r="N58" s="70"/>
      <c r="O58" s="70"/>
      <c r="P58" s="70">
        <v>22890.480000000003</v>
      </c>
      <c r="Q58" s="70"/>
      <c r="R58" s="70">
        <v>22890.480000000003</v>
      </c>
    </row>
    <row r="59" spans="1:18">
      <c r="C59" t="s">
        <v>564</v>
      </c>
      <c r="D59" t="s">
        <v>267</v>
      </c>
      <c r="E59">
        <v>3</v>
      </c>
      <c r="F59" s="70"/>
      <c r="G59" s="70"/>
      <c r="H59" s="70"/>
      <c r="I59" s="70"/>
      <c r="J59" s="70"/>
      <c r="K59" s="70"/>
      <c r="L59" s="70"/>
      <c r="M59" s="70"/>
      <c r="N59" s="70"/>
      <c r="O59" s="70"/>
      <c r="P59" s="70"/>
      <c r="Q59" s="70">
        <v>2680</v>
      </c>
      <c r="R59" s="70">
        <v>2680</v>
      </c>
    </row>
    <row r="60" spans="1:18">
      <c r="C60" t="s">
        <v>562</v>
      </c>
      <c r="D60" t="s">
        <v>267</v>
      </c>
      <c r="E60">
        <v>24</v>
      </c>
      <c r="F60" s="70"/>
      <c r="G60" s="70"/>
      <c r="H60" s="70"/>
      <c r="I60" s="70"/>
      <c r="J60" s="70"/>
      <c r="K60" s="70"/>
      <c r="L60" s="70"/>
      <c r="M60" s="70"/>
      <c r="N60" s="70"/>
      <c r="O60" s="70"/>
      <c r="P60" s="70">
        <v>48791.869999999995</v>
      </c>
      <c r="Q60" s="70"/>
      <c r="R60" s="70">
        <v>48791.869999999995</v>
      </c>
    </row>
    <row r="61" spans="1:18">
      <c r="B61" t="s">
        <v>542</v>
      </c>
      <c r="D61"/>
      <c r="E61"/>
      <c r="F61" s="70"/>
      <c r="G61" s="70"/>
      <c r="H61" s="70"/>
      <c r="I61" s="70"/>
      <c r="J61" s="70"/>
      <c r="K61" s="70"/>
      <c r="L61" s="70"/>
      <c r="M61" s="70"/>
      <c r="N61" s="70"/>
      <c r="O61" s="70"/>
      <c r="P61" s="70">
        <v>312796.55</v>
      </c>
      <c r="Q61" s="70">
        <v>80929.570000000007</v>
      </c>
      <c r="R61" s="70">
        <v>393726.12</v>
      </c>
    </row>
    <row r="62" spans="1:18">
      <c r="A62" s="224" t="s">
        <v>563</v>
      </c>
      <c r="B62" s="224"/>
      <c r="C62" s="224"/>
      <c r="D62" s="224"/>
      <c r="E62" s="224"/>
      <c r="F62" s="225"/>
      <c r="G62" s="225"/>
      <c r="H62" s="225"/>
      <c r="I62" s="225"/>
      <c r="J62" s="225"/>
      <c r="K62" s="225"/>
      <c r="L62" s="225"/>
      <c r="M62" s="225"/>
      <c r="N62" s="225"/>
      <c r="O62" s="225">
        <v>127455</v>
      </c>
      <c r="P62" s="225">
        <v>561113.11</v>
      </c>
      <c r="Q62" s="225">
        <v>159449.12000000005</v>
      </c>
      <c r="R62" s="225">
        <v>848017.2300000001</v>
      </c>
    </row>
    <row r="63" spans="1:18">
      <c r="A63" t="s">
        <v>506</v>
      </c>
      <c r="D63"/>
      <c r="E63"/>
      <c r="F63" s="70">
        <v>465758.14</v>
      </c>
      <c r="G63" s="70">
        <v>165047</v>
      </c>
      <c r="H63" s="70">
        <v>58330.380000000005</v>
      </c>
      <c r="I63" s="70">
        <v>220138.32</v>
      </c>
      <c r="J63" s="70">
        <v>421623</v>
      </c>
      <c r="K63" s="70">
        <v>1299213</v>
      </c>
      <c r="L63" s="70">
        <v>1971089.03</v>
      </c>
      <c r="M63" s="70">
        <v>1974942.4400000002</v>
      </c>
      <c r="N63" s="70">
        <v>705568.51</v>
      </c>
      <c r="O63" s="70">
        <v>339697.06</v>
      </c>
      <c r="P63" s="70">
        <v>561113.11</v>
      </c>
      <c r="Q63" s="70">
        <v>159449.12000000005</v>
      </c>
      <c r="R63" s="70">
        <v>8341969.1100000003</v>
      </c>
    </row>
    <row r="64" spans="1:18">
      <c r="D64"/>
      <c r="E64"/>
      <c r="G64"/>
      <c r="H64"/>
      <c r="I64"/>
      <c r="J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sheetData>
  <conditionalFormatting sqref="D1:D1048576">
    <cfRule type="duplicateValues" dxfId="115" priority="10"/>
    <cfRule type="duplicateValues" dxfId="114" priority="11"/>
  </conditionalFormatting>
  <conditionalFormatting sqref="E1:H2 E3:E138 E139:H1048576">
    <cfRule type="cellIs" dxfId="113"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topRight" activeCell="C1" sqref="C1"/>
      <selection pane="bottomLeft" activeCell="A2" sqref="A2"/>
      <selection pane="bottomRight" activeCell="T17" sqref="T17"/>
    </sheetView>
  </sheetViews>
  <sheetFormatPr defaultColWidth="8.5546875" defaultRowHeight="18" outlineLevelCol="1"/>
  <cols>
    <col min="1" max="1" width="8.44140625" style="129" hidden="1" customWidth="1"/>
    <col min="2" max="2" width="15.5546875" style="129" hidden="1" customWidth="1" outlineLevel="1"/>
    <col min="3" max="3" width="8.44140625" style="129" customWidth="1" collapsed="1"/>
    <col min="4" max="4" width="10.5546875" style="129" customWidth="1"/>
    <col min="5" max="5" width="31.44140625" style="136" customWidth="1"/>
    <col min="6" max="6" width="35.44140625" style="129" customWidth="1"/>
    <col min="7" max="7" width="85.5546875" style="129" customWidth="1"/>
    <col min="8" max="8" width="15.44140625" style="138" customWidth="1" outlineLevel="1"/>
    <col min="9" max="11" width="10.44140625" style="129" customWidth="1" outlineLevel="1"/>
    <col min="12" max="13" width="15.5546875" style="129" customWidth="1" outlineLevel="1"/>
    <col min="14" max="14" width="16.5546875" style="129" customWidth="1" outlineLevel="1"/>
    <col min="15" max="15" width="12.44140625" style="136" customWidth="1"/>
    <col min="16" max="16" width="14" style="129" hidden="1" customWidth="1"/>
    <col min="17" max="17" width="14" style="141" customWidth="1"/>
    <col min="18" max="18" width="20.44140625" style="129" hidden="1" customWidth="1"/>
    <col min="19" max="19" width="14" style="129" customWidth="1"/>
    <col min="20" max="20" width="41.44140625" style="129" customWidth="1"/>
    <col min="21" max="21" width="46.44140625" style="129" customWidth="1"/>
    <col min="22" max="16384" width="8.5546875" style="129"/>
  </cols>
  <sheetData>
    <row r="1" spans="1:21">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c r="A2" s="128" t="s">
        <v>0</v>
      </c>
      <c r="B2" s="128"/>
      <c r="C2" s="147" t="s">
        <v>211</v>
      </c>
      <c r="D2" s="147" t="s">
        <v>218</v>
      </c>
      <c r="E2" s="147" t="s">
        <v>216</v>
      </c>
      <c r="F2" s="147" t="s">
        <v>566</v>
      </c>
      <c r="G2" s="147" t="s">
        <v>567</v>
      </c>
      <c r="H2" s="148" t="s">
        <v>568</v>
      </c>
      <c r="I2" s="149" t="s">
        <v>569</v>
      </c>
      <c r="J2" s="149" t="s">
        <v>570</v>
      </c>
      <c r="K2" s="149" t="s">
        <v>571</v>
      </c>
      <c r="L2" s="149" t="s">
        <v>572</v>
      </c>
      <c r="M2" s="149" t="s">
        <v>573</v>
      </c>
      <c r="N2" s="149" t="s">
        <v>574</v>
      </c>
      <c r="O2" s="147" t="s">
        <v>575</v>
      </c>
      <c r="P2" s="150" t="s">
        <v>576</v>
      </c>
      <c r="Q2" s="151" t="s">
        <v>577</v>
      </c>
      <c r="R2" s="150" t="s">
        <v>578</v>
      </c>
      <c r="S2" s="150" t="s">
        <v>218</v>
      </c>
      <c r="T2" s="147" t="s">
        <v>579</v>
      </c>
      <c r="U2" s="147" t="s">
        <v>580</v>
      </c>
    </row>
    <row r="3" spans="1:21" ht="175.35" hidden="1" customHeight="1">
      <c r="A3" s="130"/>
      <c r="B3" s="130"/>
      <c r="C3" s="130"/>
      <c r="D3" s="130"/>
      <c r="E3" s="135" t="s">
        <v>581</v>
      </c>
      <c r="F3" s="130" t="s">
        <v>582</v>
      </c>
      <c r="G3" s="135" t="s">
        <v>583</v>
      </c>
      <c r="H3" s="137">
        <v>2416687.2400000002</v>
      </c>
      <c r="I3" s="130">
        <v>26</v>
      </c>
      <c r="J3" s="130" t="s">
        <v>53</v>
      </c>
      <c r="K3" s="130" t="s">
        <v>73</v>
      </c>
      <c r="L3" s="130" t="s">
        <v>56</v>
      </c>
      <c r="M3" s="130" t="s">
        <v>56</v>
      </c>
      <c r="N3" s="135" t="s">
        <v>584</v>
      </c>
      <c r="O3" s="135" t="s">
        <v>585</v>
      </c>
      <c r="P3" s="130" t="s">
        <v>586</v>
      </c>
      <c r="Q3" s="145"/>
      <c r="R3" s="130"/>
      <c r="S3" s="130" t="s">
        <v>587</v>
      </c>
      <c r="T3" s="130"/>
    </row>
    <row r="4" spans="1:21" ht="122.85" hidden="1" customHeight="1">
      <c r="A4" s="130">
        <v>11</v>
      </c>
      <c r="B4" s="130"/>
      <c r="C4" s="130"/>
      <c r="D4" s="130"/>
      <c r="E4" s="342" t="s">
        <v>588</v>
      </c>
      <c r="F4" s="343" t="s">
        <v>589</v>
      </c>
      <c r="G4" s="130" t="s">
        <v>590</v>
      </c>
      <c r="H4" s="344">
        <v>1022212.16</v>
      </c>
      <c r="I4" s="347">
        <v>4</v>
      </c>
      <c r="J4" s="347" t="s">
        <v>53</v>
      </c>
      <c r="K4" s="347" t="s">
        <v>53</v>
      </c>
      <c r="L4" s="347" t="s">
        <v>56</v>
      </c>
      <c r="M4" s="347" t="s">
        <v>56</v>
      </c>
      <c r="N4" s="342" t="s">
        <v>591</v>
      </c>
      <c r="O4" s="135" t="s">
        <v>592</v>
      </c>
      <c r="P4" s="130"/>
      <c r="Q4" s="145"/>
      <c r="R4" s="130"/>
      <c r="S4" s="130" t="s">
        <v>587</v>
      </c>
      <c r="T4" s="130"/>
    </row>
    <row r="5" spans="1:21" ht="74.849999999999994" hidden="1" customHeight="1">
      <c r="A5" s="130"/>
      <c r="B5" s="130"/>
      <c r="C5" s="130"/>
      <c r="D5" s="130"/>
      <c r="E5" s="342"/>
      <c r="F5" s="343"/>
      <c r="G5" s="130" t="s">
        <v>593</v>
      </c>
      <c r="H5" s="344"/>
      <c r="I5" s="347"/>
      <c r="J5" s="347"/>
      <c r="K5" s="347"/>
      <c r="L5" s="347"/>
      <c r="M5" s="347"/>
      <c r="N5" s="342"/>
      <c r="O5" s="135" t="s">
        <v>594</v>
      </c>
      <c r="P5" s="130"/>
      <c r="Q5" s="145"/>
      <c r="R5" s="130"/>
      <c r="S5" s="130" t="s">
        <v>587</v>
      </c>
      <c r="T5" s="130"/>
    </row>
    <row r="6" spans="1:21" ht="74.849999999999994" hidden="1" customHeight="1">
      <c r="A6" s="130"/>
      <c r="B6" s="130"/>
      <c r="C6" s="130"/>
      <c r="D6" s="130"/>
      <c r="E6" s="342"/>
      <c r="F6" s="343"/>
      <c r="G6" s="130" t="s">
        <v>595</v>
      </c>
      <c r="H6" s="344"/>
      <c r="I6" s="347"/>
      <c r="J6" s="347"/>
      <c r="K6" s="347"/>
      <c r="L6" s="347"/>
      <c r="M6" s="347"/>
      <c r="N6" s="342"/>
      <c r="O6" s="135" t="s">
        <v>585</v>
      </c>
      <c r="P6" s="130"/>
      <c r="Q6" s="145"/>
      <c r="R6" s="130"/>
      <c r="S6" s="130" t="s">
        <v>587</v>
      </c>
      <c r="T6" s="130"/>
    </row>
    <row r="7" spans="1:21" s="130" customFormat="1" ht="79.349999999999994" hidden="1" customHeight="1">
      <c r="A7" s="130">
        <v>13</v>
      </c>
      <c r="E7" s="135" t="s">
        <v>596</v>
      </c>
      <c r="F7" s="130" t="s">
        <v>597</v>
      </c>
      <c r="G7" s="159" t="s">
        <v>598</v>
      </c>
      <c r="H7" s="137">
        <v>13096.1</v>
      </c>
      <c r="I7" s="130">
        <v>11</v>
      </c>
      <c r="J7" s="130" t="s">
        <v>53</v>
      </c>
      <c r="K7" s="130" t="s">
        <v>53</v>
      </c>
      <c r="L7" s="130" t="s">
        <v>599</v>
      </c>
      <c r="M7" s="130" t="s">
        <v>599</v>
      </c>
      <c r="N7" s="135" t="s">
        <v>600</v>
      </c>
      <c r="O7" s="135" t="s">
        <v>601</v>
      </c>
      <c r="P7" s="130" t="s">
        <v>586</v>
      </c>
      <c r="Q7" s="145"/>
      <c r="S7" s="130" t="s">
        <v>587</v>
      </c>
      <c r="T7" s="130" t="s">
        <v>586</v>
      </c>
    </row>
    <row r="8" spans="1:21" s="130" customFormat="1" ht="103.35" hidden="1" customHeight="1">
      <c r="E8" s="342" t="s">
        <v>602</v>
      </c>
      <c r="F8" s="343" t="s">
        <v>603</v>
      </c>
      <c r="G8" s="135" t="s">
        <v>604</v>
      </c>
      <c r="H8" s="344">
        <v>14470.66</v>
      </c>
      <c r="I8" s="347">
        <v>11</v>
      </c>
      <c r="J8" s="347" t="s">
        <v>53</v>
      </c>
      <c r="K8" s="347" t="s">
        <v>53</v>
      </c>
      <c r="L8" s="343" t="s">
        <v>56</v>
      </c>
      <c r="M8" s="343" t="s">
        <v>56</v>
      </c>
      <c r="N8" s="345">
        <v>46149</v>
      </c>
      <c r="O8" s="135" t="s">
        <v>601</v>
      </c>
      <c r="Q8" s="145">
        <v>46128</v>
      </c>
      <c r="S8" s="130" t="s">
        <v>587</v>
      </c>
      <c r="T8" s="130" t="e" vm="1">
        <v>#VALUE!</v>
      </c>
    </row>
    <row r="9" spans="1:21" s="130" customFormat="1" ht="103.35" hidden="1" customHeight="1">
      <c r="E9" s="342"/>
      <c r="F9" s="343"/>
      <c r="G9" s="135" t="s">
        <v>605</v>
      </c>
      <c r="H9" s="344"/>
      <c r="I9" s="347"/>
      <c r="J9" s="347"/>
      <c r="K9" s="347"/>
      <c r="L9" s="343"/>
      <c r="M9" s="343"/>
      <c r="N9" s="346"/>
      <c r="O9" s="135" t="s">
        <v>606</v>
      </c>
      <c r="Q9" s="145">
        <v>46128</v>
      </c>
      <c r="S9" s="130" t="s">
        <v>587</v>
      </c>
    </row>
    <row r="10" spans="1:21" s="130" customFormat="1" ht="103.35" hidden="1" customHeight="1">
      <c r="E10" s="342"/>
      <c r="F10" s="164" t="s">
        <v>607</v>
      </c>
      <c r="G10" s="135" t="s">
        <v>608</v>
      </c>
      <c r="H10" s="344"/>
      <c r="I10" s="347"/>
      <c r="J10" s="347"/>
      <c r="K10" s="347"/>
      <c r="L10" s="343"/>
      <c r="M10" s="343"/>
      <c r="N10" s="346"/>
      <c r="O10" s="135" t="s">
        <v>594</v>
      </c>
      <c r="Q10" s="145">
        <v>46136</v>
      </c>
      <c r="S10" s="130" t="s">
        <v>587</v>
      </c>
    </row>
    <row r="11" spans="1:21" s="130" customFormat="1" ht="134.1" customHeight="1">
      <c r="B11" s="130" t="str">
        <f>E8&amp;'MOM Project'!C11</f>
        <v>2026-BROOKFIELD-PARK HYATT VANCOUVER
NPD</v>
      </c>
      <c r="C11" s="130" t="s">
        <v>327</v>
      </c>
      <c r="D11" s="130" t="s">
        <v>310</v>
      </c>
      <c r="E11" s="342"/>
      <c r="F11" s="130" t="s">
        <v>609</v>
      </c>
      <c r="G11" s="135" t="s">
        <v>610</v>
      </c>
      <c r="H11" s="344"/>
      <c r="I11" s="347"/>
      <c r="J11" s="347"/>
      <c r="K11" s="347"/>
      <c r="L11" s="343"/>
      <c r="M11" s="343"/>
      <c r="N11" s="346"/>
      <c r="O11" s="135" t="s">
        <v>585</v>
      </c>
      <c r="Q11" s="145">
        <v>46147</v>
      </c>
      <c r="S11" s="130" t="s">
        <v>587</v>
      </c>
    </row>
    <row r="12" spans="1:21" ht="85.35" hidden="1" customHeight="1">
      <c r="A12" s="129">
        <v>20</v>
      </c>
      <c r="E12" s="340" t="s">
        <v>611</v>
      </c>
      <c r="F12" s="341" t="s">
        <v>612</v>
      </c>
      <c r="G12" s="129" t="s">
        <v>613</v>
      </c>
      <c r="H12" s="138">
        <v>198023</v>
      </c>
      <c r="I12" s="129">
        <v>37</v>
      </c>
      <c r="J12" s="129" t="s">
        <v>53</v>
      </c>
      <c r="K12" s="129" t="s">
        <v>53</v>
      </c>
      <c r="L12" s="129" t="s">
        <v>56</v>
      </c>
      <c r="M12" s="129" t="s">
        <v>56</v>
      </c>
      <c r="N12" s="135" t="s">
        <v>614</v>
      </c>
      <c r="O12" s="135" t="s">
        <v>601</v>
      </c>
      <c r="P12" s="130"/>
      <c r="Q12" s="145"/>
      <c r="R12" s="130"/>
      <c r="S12" s="132" t="s">
        <v>615</v>
      </c>
    </row>
    <row r="13" spans="1:21" ht="115.35" hidden="1" customHeight="1">
      <c r="E13" s="340"/>
      <c r="F13" s="341"/>
      <c r="G13" s="129" t="s">
        <v>616</v>
      </c>
      <c r="H13" s="138">
        <v>198023</v>
      </c>
      <c r="I13" s="129">
        <v>37</v>
      </c>
      <c r="J13" s="129" t="s">
        <v>53</v>
      </c>
      <c r="K13" s="129" t="s">
        <v>53</v>
      </c>
      <c r="L13" s="129" t="s">
        <v>56</v>
      </c>
      <c r="M13" s="129" t="s">
        <v>56</v>
      </c>
      <c r="N13" s="135" t="s">
        <v>614</v>
      </c>
      <c r="O13" s="136" t="s">
        <v>592</v>
      </c>
      <c r="S13" s="132" t="s">
        <v>615</v>
      </c>
    </row>
    <row r="14" spans="1:21" ht="61.35" hidden="1" customHeight="1">
      <c r="E14" s="136" t="s">
        <v>617</v>
      </c>
      <c r="F14" s="162" t="s">
        <v>618</v>
      </c>
      <c r="G14" s="129" t="s">
        <v>619</v>
      </c>
      <c r="H14" s="138">
        <v>93065.64</v>
      </c>
      <c r="I14" s="129">
        <v>20</v>
      </c>
      <c r="J14" s="129" t="s">
        <v>53</v>
      </c>
      <c r="K14" s="129" t="s">
        <v>53</v>
      </c>
      <c r="L14" s="129" t="s">
        <v>56</v>
      </c>
      <c r="M14" s="129" t="s">
        <v>56</v>
      </c>
      <c r="N14" s="161" t="s">
        <v>620</v>
      </c>
      <c r="O14" s="136" t="s">
        <v>621</v>
      </c>
      <c r="Q14" s="145">
        <v>46132</v>
      </c>
      <c r="S14" s="132" t="s">
        <v>615</v>
      </c>
    </row>
    <row r="15" spans="1:21" ht="80.099999999999994" hidden="1" customHeight="1">
      <c r="E15" s="136" t="s">
        <v>622</v>
      </c>
      <c r="F15" s="162" t="s">
        <v>623</v>
      </c>
      <c r="G15" s="129" t="s">
        <v>624</v>
      </c>
      <c r="H15" s="138">
        <v>48755</v>
      </c>
      <c r="I15" s="129">
        <v>6</v>
      </c>
      <c r="J15" s="129" t="s">
        <v>53</v>
      </c>
      <c r="K15" s="129" t="s">
        <v>53</v>
      </c>
      <c r="L15" s="129" t="s">
        <v>56</v>
      </c>
      <c r="M15" s="129" t="s">
        <v>56</v>
      </c>
      <c r="N15" s="129" t="s">
        <v>625</v>
      </c>
      <c r="O15" s="136" t="s">
        <v>601</v>
      </c>
      <c r="Q15" s="141">
        <v>46128</v>
      </c>
      <c r="S15" s="132" t="s">
        <v>615</v>
      </c>
      <c r="T15" s="160" t="e" vm="2">
        <v>#VALUE!</v>
      </c>
    </row>
    <row r="16" spans="1:21" ht="80.099999999999994" customHeight="1">
      <c r="F16" s="162" t="s">
        <v>626</v>
      </c>
      <c r="G16" s="144" t="s">
        <v>627</v>
      </c>
      <c r="H16" s="205"/>
      <c r="I16" s="206"/>
      <c r="J16" s="206"/>
      <c r="K16" s="206"/>
      <c r="L16" s="164"/>
      <c r="M16" s="164"/>
      <c r="N16" s="204"/>
      <c r="O16" s="136" t="s">
        <v>628</v>
      </c>
      <c r="S16" s="130" t="s">
        <v>629</v>
      </c>
      <c r="T16" s="207" t="e" vm="3">
        <v>#VALUE!</v>
      </c>
    </row>
    <row r="17" spans="2:19" ht="167.1" customHeight="1">
      <c r="B17" s="130" t="str">
        <f>E17&amp;C17</f>
        <v>2026-RH-ROSEWOOD CALISTOGANPI</v>
      </c>
      <c r="C17" s="129" t="s">
        <v>267</v>
      </c>
      <c r="D17" s="129">
        <f>VLOOKUP(B17,Detail!A:J,9,0)</f>
        <v>1</v>
      </c>
      <c r="E17" s="161" t="s">
        <v>630</v>
      </c>
      <c r="F17" s="162" t="s">
        <v>631</v>
      </c>
      <c r="G17" s="144" t="s">
        <v>632</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606</v>
      </c>
      <c r="Q17" s="145">
        <v>46147</v>
      </c>
      <c r="S17" s="129" t="s">
        <v>629</v>
      </c>
    </row>
    <row r="18" spans="2:19" ht="87.6" customHeight="1">
      <c r="B18" s="130" t="str">
        <f>E18&amp;C18</f>
        <v>2026-RH-VICEROY SUGAR BEACH - ASH WOOD VERSIONNPI</v>
      </c>
      <c r="C18" s="129" t="s">
        <v>267</v>
      </c>
      <c r="D18" s="129">
        <f>VLOOKUP(B18,Detail!A:J,9,0)</f>
        <v>1</v>
      </c>
      <c r="E18" s="161" t="s">
        <v>524</v>
      </c>
      <c r="F18" s="162" t="s">
        <v>633</v>
      </c>
      <c r="G18" s="129" t="s">
        <v>634</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635</v>
      </c>
      <c r="O18" s="136" t="s">
        <v>636</v>
      </c>
      <c r="Q18" s="145" t="s">
        <v>149</v>
      </c>
      <c r="S18" s="129" t="s">
        <v>629</v>
      </c>
    </row>
    <row r="19" spans="2:19" ht="135.6" hidden="1" customHeight="1">
      <c r="E19" s="136" t="s">
        <v>637</v>
      </c>
      <c r="F19" s="129" t="s">
        <v>638</v>
      </c>
      <c r="G19" s="144" t="s">
        <v>639</v>
      </c>
      <c r="H19" s="138">
        <v>48755</v>
      </c>
      <c r="I19" s="129">
        <v>6</v>
      </c>
      <c r="J19" s="129" t="s">
        <v>53</v>
      </c>
      <c r="K19" s="129" t="s">
        <v>73</v>
      </c>
      <c r="L19" s="129" t="s">
        <v>56</v>
      </c>
      <c r="M19" s="129" t="s">
        <v>56</v>
      </c>
      <c r="N19" s="136" t="s">
        <v>640</v>
      </c>
      <c r="O19" s="136" t="s">
        <v>601</v>
      </c>
      <c r="Q19" s="145">
        <v>46134</v>
      </c>
      <c r="S19" s="129" t="s">
        <v>615</v>
      </c>
    </row>
    <row r="20" spans="2:19" hidden="1">
      <c r="E20" s="136" t="s">
        <v>641</v>
      </c>
    </row>
    <row r="21" spans="2:19" ht="75" customHeight="1">
      <c r="B21" s="130" t="str">
        <f t="shared" ref="B21:B22" si="0">E21&amp;C21</f>
        <v/>
      </c>
      <c r="G21" s="129" t="s">
        <v>642</v>
      </c>
      <c r="O21" s="136" t="s">
        <v>606</v>
      </c>
      <c r="Q21" s="145" t="s">
        <v>149</v>
      </c>
      <c r="S21" s="129" t="s">
        <v>629</v>
      </c>
    </row>
    <row r="22" spans="2:19" ht="134.1" customHeight="1">
      <c r="B22" s="130" t="str">
        <f t="shared" si="0"/>
        <v>2026-TRIMA KASI-JRHNPI</v>
      </c>
      <c r="C22" s="129" t="s">
        <v>267</v>
      </c>
      <c r="D22" s="129" t="e">
        <f>VLOOKUP(B22,Detail!A:J,9,0)</f>
        <v>#N/A</v>
      </c>
      <c r="E22" s="136" t="s">
        <v>643</v>
      </c>
      <c r="F22" s="129" t="s">
        <v>644</v>
      </c>
      <c r="G22" s="129" t="s">
        <v>645</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646</v>
      </c>
      <c r="O22" s="136" t="s">
        <v>647</v>
      </c>
      <c r="Q22" s="145">
        <v>46135</v>
      </c>
      <c r="S22" s="129" t="s">
        <v>629</v>
      </c>
    </row>
  </sheetData>
  <autoFilter ref="A2:T22" xr:uid="{9EFC7270-1621-436A-95A9-58C0A366A553}">
    <filterColumn colId="18">
      <filters>
        <filter val="Open"/>
      </filters>
    </filterColumn>
  </autoFilter>
  <mergeCells count="20">
    <mergeCell ref="N8:N11"/>
    <mergeCell ref="E8:E11"/>
    <mergeCell ref="H8:H11"/>
    <mergeCell ref="I8:I11"/>
    <mergeCell ref="L4:L6"/>
    <mergeCell ref="M4:M6"/>
    <mergeCell ref="N4:N6"/>
    <mergeCell ref="I4:I6"/>
    <mergeCell ref="J4:J6"/>
    <mergeCell ref="K4:K6"/>
    <mergeCell ref="J8:J11"/>
    <mergeCell ref="K8:K11"/>
    <mergeCell ref="L8:L11"/>
    <mergeCell ref="M8:M11"/>
    <mergeCell ref="E12:E13"/>
    <mergeCell ref="F12:F13"/>
    <mergeCell ref="E4:E6"/>
    <mergeCell ref="F4:F6"/>
    <mergeCell ref="H4:H6"/>
    <mergeCell ref="F8:F9"/>
  </mergeCells>
  <conditionalFormatting sqref="S1:S1048576">
    <cfRule type="cellIs" dxfId="112" priority="6" operator="equal">
      <formula>"Open"</formula>
    </cfRule>
    <cfRule type="cellIs" dxfId="111" priority="7" operator="equal">
      <formula>"Done"</formula>
    </cfRule>
    <cfRule type="cellIs" dxfId="110" priority="8" operator="equal">
      <formula>"On track"</formula>
    </cfRule>
    <cfRule type="cellIs" dxfId="109" priority="9" operator="equal">
      <formula>"Open"</formula>
    </cfRule>
    <cfRule type="cellIs" dxfId="108"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topRight" activeCell="C1" sqref="C1"/>
      <selection pane="bottomLeft" activeCell="A2" sqref="A2"/>
      <selection pane="bottomRight" activeCell="D34" sqref="D34"/>
    </sheetView>
  </sheetViews>
  <sheetFormatPr defaultColWidth="8.5546875" defaultRowHeight="18" outlineLevelCol="1"/>
  <cols>
    <col min="1" max="1" width="8.44140625" style="129" hidden="1" customWidth="1"/>
    <col min="2" max="2" width="31.44140625" style="136" customWidth="1"/>
    <col min="3" max="3" width="49" style="129" customWidth="1"/>
    <col min="4" max="4" width="85.5546875" style="129" customWidth="1"/>
    <col min="5" max="5" width="15.44140625" style="138" customWidth="1" outlineLevel="1"/>
    <col min="6" max="8" width="10.44140625" style="129" customWidth="1" outlineLevel="1"/>
    <col min="9" max="10" width="15.5546875" style="129" customWidth="1" outlineLevel="1"/>
    <col min="11" max="11" width="12.44140625" style="129" customWidth="1" outlineLevel="1"/>
    <col min="12" max="12" width="12.44140625" style="136" customWidth="1"/>
    <col min="13" max="13" width="14" style="129" customWidth="1"/>
    <col min="14" max="14" width="14" style="141" customWidth="1"/>
    <col min="15" max="15" width="15.5546875" style="129" customWidth="1"/>
    <col min="16" max="16" width="14" style="129" customWidth="1"/>
    <col min="17" max="17" width="35.5546875" style="129" customWidth="1"/>
    <col min="18" max="18" width="46.44140625" style="129" customWidth="1"/>
    <col min="19" max="16384" width="8.5546875" style="129"/>
  </cols>
  <sheetData>
    <row r="1" spans="1:18" s="152" customFormat="1" ht="51" customHeight="1">
      <c r="A1" s="128" t="s">
        <v>0</v>
      </c>
      <c r="B1" s="147" t="s">
        <v>648</v>
      </c>
      <c r="C1" s="147" t="s">
        <v>566</v>
      </c>
      <c r="D1" s="147" t="s">
        <v>567</v>
      </c>
      <c r="E1" s="148" t="s">
        <v>568</v>
      </c>
      <c r="F1" s="149" t="s">
        <v>569</v>
      </c>
      <c r="G1" s="149" t="s">
        <v>570</v>
      </c>
      <c r="H1" s="149" t="s">
        <v>571</v>
      </c>
      <c r="I1" s="149" t="s">
        <v>572</v>
      </c>
      <c r="J1" s="149" t="s">
        <v>573</v>
      </c>
      <c r="K1" s="149" t="s">
        <v>574</v>
      </c>
      <c r="L1" s="147" t="s">
        <v>575</v>
      </c>
      <c r="M1" s="150" t="s">
        <v>576</v>
      </c>
      <c r="N1" s="151" t="s">
        <v>577</v>
      </c>
      <c r="O1" s="150" t="s">
        <v>578</v>
      </c>
      <c r="P1" s="150" t="s">
        <v>218</v>
      </c>
      <c r="Q1" s="147" t="s">
        <v>579</v>
      </c>
      <c r="R1" s="147" t="s">
        <v>580</v>
      </c>
    </row>
    <row r="2" spans="1:18" s="130" customFormat="1" ht="77.849999999999994" hidden="1" customHeight="1">
      <c r="A2" s="130">
        <v>1</v>
      </c>
      <c r="B2" s="135" t="s">
        <v>649</v>
      </c>
      <c r="C2" s="130" t="s">
        <v>650</v>
      </c>
      <c r="D2" s="165" t="s">
        <v>651</v>
      </c>
      <c r="E2" s="137">
        <v>232220</v>
      </c>
      <c r="F2" s="130">
        <v>35</v>
      </c>
      <c r="G2" s="130" t="s">
        <v>53</v>
      </c>
      <c r="H2" s="130" t="s">
        <v>53</v>
      </c>
      <c r="I2" s="130" t="s">
        <v>599</v>
      </c>
      <c r="J2" s="130" t="s">
        <v>599</v>
      </c>
      <c r="K2" s="130" t="s">
        <v>652</v>
      </c>
      <c r="L2" s="130" t="s">
        <v>606</v>
      </c>
      <c r="M2" s="130" t="s">
        <v>586</v>
      </c>
      <c r="N2" s="139">
        <v>46116</v>
      </c>
      <c r="O2" s="130" t="s">
        <v>586</v>
      </c>
      <c r="P2" s="130" t="s">
        <v>587</v>
      </c>
      <c r="Q2" s="130" t="s">
        <v>586</v>
      </c>
    </row>
    <row r="3" spans="1:18" s="130" customFormat="1" ht="117" hidden="1" customHeight="1">
      <c r="A3" s="130">
        <v>2</v>
      </c>
      <c r="B3" s="135" t="s">
        <v>653</v>
      </c>
      <c r="C3" s="130" t="s">
        <v>654</v>
      </c>
      <c r="D3" s="130" t="s">
        <v>655</v>
      </c>
      <c r="E3" s="137">
        <v>232220</v>
      </c>
      <c r="F3" s="130">
        <v>35</v>
      </c>
      <c r="G3" s="130" t="s">
        <v>53</v>
      </c>
      <c r="H3" s="130" t="s">
        <v>53</v>
      </c>
      <c r="I3" s="130" t="s">
        <v>599</v>
      </c>
      <c r="J3" s="130" t="s">
        <v>599</v>
      </c>
      <c r="K3" s="130" t="s">
        <v>149</v>
      </c>
      <c r="L3" s="144" t="s">
        <v>592</v>
      </c>
      <c r="M3" s="130" t="s">
        <v>586</v>
      </c>
      <c r="N3" s="145">
        <v>46119</v>
      </c>
      <c r="O3" s="130" t="s">
        <v>586</v>
      </c>
      <c r="P3" s="130" t="s">
        <v>587</v>
      </c>
      <c r="Q3" s="130" t="s">
        <v>586</v>
      </c>
    </row>
    <row r="4" spans="1:18" s="130" customFormat="1" ht="98.1" hidden="1" customHeight="1">
      <c r="A4" s="130">
        <v>3</v>
      </c>
      <c r="B4" s="135" t="s">
        <v>656</v>
      </c>
      <c r="C4" s="130" t="s">
        <v>657</v>
      </c>
      <c r="D4" s="130" t="s">
        <v>658</v>
      </c>
      <c r="E4" s="137">
        <v>232220</v>
      </c>
      <c r="F4" s="130">
        <v>35</v>
      </c>
      <c r="G4" s="130" t="s">
        <v>53</v>
      </c>
      <c r="H4" s="130" t="s">
        <v>53</v>
      </c>
      <c r="I4" s="130" t="s">
        <v>599</v>
      </c>
      <c r="J4" s="130" t="s">
        <v>599</v>
      </c>
      <c r="K4" s="130" t="s">
        <v>659</v>
      </c>
      <c r="L4" s="130" t="s">
        <v>660</v>
      </c>
      <c r="M4" s="130" t="s">
        <v>586</v>
      </c>
      <c r="N4" s="139">
        <v>46107</v>
      </c>
      <c r="O4" s="130" t="s">
        <v>586</v>
      </c>
      <c r="P4" s="130" t="s">
        <v>587</v>
      </c>
      <c r="Q4" s="130" t="s">
        <v>586</v>
      </c>
    </row>
    <row r="5" spans="1:18" s="130" customFormat="1" ht="77.849999999999994" hidden="1" customHeight="1">
      <c r="A5" s="130">
        <v>4</v>
      </c>
      <c r="B5" s="135" t="s">
        <v>656</v>
      </c>
      <c r="C5" s="130" t="s">
        <v>661</v>
      </c>
      <c r="D5" s="130" t="s">
        <v>662</v>
      </c>
      <c r="E5" s="137">
        <v>232220</v>
      </c>
      <c r="F5" s="130">
        <v>35</v>
      </c>
      <c r="G5" s="130" t="s">
        <v>53</v>
      </c>
      <c r="H5" s="130" t="s">
        <v>53</v>
      </c>
      <c r="I5" s="130" t="s">
        <v>599</v>
      </c>
      <c r="J5" s="130" t="s">
        <v>599</v>
      </c>
      <c r="K5" s="130" t="s">
        <v>663</v>
      </c>
      <c r="L5" s="130" t="s">
        <v>594</v>
      </c>
      <c r="M5" s="130" t="s">
        <v>586</v>
      </c>
      <c r="N5" s="131">
        <v>46112</v>
      </c>
      <c r="O5" s="130" t="s">
        <v>586</v>
      </c>
      <c r="P5" s="130" t="s">
        <v>587</v>
      </c>
      <c r="Q5" s="130" t="s">
        <v>586</v>
      </c>
    </row>
    <row r="6" spans="1:18" s="130" customFormat="1" ht="77.849999999999994" hidden="1" customHeight="1">
      <c r="A6" s="130">
        <v>5</v>
      </c>
      <c r="B6" s="135" t="s">
        <v>611</v>
      </c>
      <c r="C6" s="130" t="s">
        <v>664</v>
      </c>
      <c r="D6" s="130" t="s">
        <v>665</v>
      </c>
      <c r="G6" s="130" t="s">
        <v>53</v>
      </c>
      <c r="H6" s="130" t="s">
        <v>53</v>
      </c>
      <c r="I6" s="130" t="s">
        <v>56</v>
      </c>
      <c r="J6" s="130" t="s">
        <v>56</v>
      </c>
      <c r="K6" s="130" t="s">
        <v>614</v>
      </c>
      <c r="L6" s="130" t="s">
        <v>594</v>
      </c>
      <c r="M6" s="130" t="s">
        <v>586</v>
      </c>
      <c r="N6" s="131">
        <v>46112</v>
      </c>
      <c r="O6" s="130" t="s">
        <v>586</v>
      </c>
      <c r="P6" s="130" t="s">
        <v>587</v>
      </c>
      <c r="Q6" s="130" t="s">
        <v>586</v>
      </c>
      <c r="R6" s="130" t="s">
        <v>666</v>
      </c>
    </row>
    <row r="7" spans="1:18" s="130" customFormat="1" ht="122.1" hidden="1" customHeight="1">
      <c r="A7" s="130">
        <v>6</v>
      </c>
      <c r="B7" s="135" t="s">
        <v>667</v>
      </c>
      <c r="C7" s="130" t="s">
        <v>668</v>
      </c>
      <c r="D7" s="130" t="s">
        <v>669</v>
      </c>
      <c r="E7" s="137">
        <v>2416687.2400000002</v>
      </c>
      <c r="F7" s="130">
        <v>26</v>
      </c>
      <c r="G7" s="130" t="s">
        <v>53</v>
      </c>
      <c r="H7" s="130" t="s">
        <v>73</v>
      </c>
      <c r="I7" s="130" t="s">
        <v>56</v>
      </c>
      <c r="J7" s="130" t="s">
        <v>56</v>
      </c>
      <c r="K7" s="130" t="s">
        <v>670</v>
      </c>
      <c r="L7" s="144" t="s">
        <v>601</v>
      </c>
      <c r="M7" s="130" t="s">
        <v>586</v>
      </c>
      <c r="N7" s="145">
        <v>46116</v>
      </c>
      <c r="O7" s="130" t="s">
        <v>586</v>
      </c>
      <c r="P7" s="130" t="s">
        <v>587</v>
      </c>
    </row>
    <row r="8" spans="1:18" s="130" customFormat="1" ht="170.85" hidden="1" customHeight="1">
      <c r="A8" s="130">
        <v>7</v>
      </c>
      <c r="B8" s="135" t="s">
        <v>671</v>
      </c>
      <c r="C8" s="130" t="s">
        <v>672</v>
      </c>
      <c r="D8" s="130" t="s">
        <v>673</v>
      </c>
      <c r="G8" s="130" t="s">
        <v>53</v>
      </c>
      <c r="H8" s="130" t="s">
        <v>73</v>
      </c>
      <c r="I8" s="130" t="s">
        <v>56</v>
      </c>
      <c r="J8" s="130" t="s">
        <v>56</v>
      </c>
      <c r="K8" s="130" t="s">
        <v>674</v>
      </c>
      <c r="L8" s="130" t="s">
        <v>592</v>
      </c>
      <c r="M8" s="130" t="s">
        <v>586</v>
      </c>
      <c r="N8" s="131">
        <v>46107</v>
      </c>
      <c r="O8" s="130" t="s">
        <v>586</v>
      </c>
      <c r="P8" s="130" t="s">
        <v>587</v>
      </c>
      <c r="Q8" s="130" t="s">
        <v>586</v>
      </c>
    </row>
    <row r="9" spans="1:18" s="130" customFormat="1" ht="143.85" hidden="1" customHeight="1">
      <c r="A9" s="130">
        <v>8</v>
      </c>
      <c r="B9" s="135" t="s">
        <v>675</v>
      </c>
      <c r="C9" s="130" t="s">
        <v>676</v>
      </c>
      <c r="D9" s="130" t="s">
        <v>677</v>
      </c>
      <c r="G9" s="130" t="s">
        <v>53</v>
      </c>
      <c r="H9" s="130" t="s">
        <v>73</v>
      </c>
      <c r="I9" s="130" t="s">
        <v>56</v>
      </c>
      <c r="J9" s="130" t="s">
        <v>56</v>
      </c>
      <c r="K9" s="130" t="s">
        <v>674</v>
      </c>
      <c r="L9" s="130" t="s">
        <v>592</v>
      </c>
      <c r="N9" s="131">
        <v>46107</v>
      </c>
      <c r="P9" s="130" t="s">
        <v>587</v>
      </c>
      <c r="Q9" s="130" t="s">
        <v>586</v>
      </c>
      <c r="R9" s="130" t="s">
        <v>678</v>
      </c>
    </row>
    <row r="10" spans="1:18" s="123" customFormat="1" ht="68.099999999999994" hidden="1" customHeight="1">
      <c r="A10" s="123">
        <v>9</v>
      </c>
      <c r="B10" s="123" t="s">
        <v>675</v>
      </c>
      <c r="C10" s="123" t="s">
        <v>679</v>
      </c>
      <c r="D10" s="123" t="s">
        <v>680</v>
      </c>
      <c r="L10" s="123" t="s">
        <v>647</v>
      </c>
      <c r="N10" s="124"/>
      <c r="P10" s="123" t="s">
        <v>587</v>
      </c>
      <c r="Q10" s="123" t="s">
        <v>586</v>
      </c>
      <c r="R10" s="123" t="s">
        <v>681</v>
      </c>
    </row>
    <row r="11" spans="1:18" s="123" customFormat="1" ht="59.1" hidden="1" customHeight="1">
      <c r="A11" s="123">
        <v>10</v>
      </c>
      <c r="B11" s="123" t="s">
        <v>682</v>
      </c>
      <c r="C11" s="123" t="s">
        <v>683</v>
      </c>
      <c r="D11" s="123" t="s">
        <v>684</v>
      </c>
      <c r="L11" s="123" t="s">
        <v>636</v>
      </c>
      <c r="M11" s="123" t="s">
        <v>586</v>
      </c>
      <c r="N11" s="124">
        <v>46107</v>
      </c>
      <c r="O11" s="123" t="s">
        <v>586</v>
      </c>
      <c r="P11" s="123" t="s">
        <v>587</v>
      </c>
      <c r="Q11" s="123" t="s">
        <v>586</v>
      </c>
    </row>
    <row r="12" spans="1:18" ht="124.35" hidden="1" customHeight="1">
      <c r="A12" s="130">
        <v>11</v>
      </c>
      <c r="B12" s="135" t="s">
        <v>685</v>
      </c>
      <c r="C12" s="130" t="s">
        <v>686</v>
      </c>
      <c r="D12" s="130" t="s">
        <v>687</v>
      </c>
      <c r="E12" s="137">
        <v>1022212.16</v>
      </c>
      <c r="F12" s="130">
        <v>4</v>
      </c>
      <c r="G12" s="130" t="s">
        <v>53</v>
      </c>
      <c r="H12" s="130" t="s">
        <v>53</v>
      </c>
      <c r="I12" s="130" t="s">
        <v>114</v>
      </c>
      <c r="J12" s="130" t="s">
        <v>599</v>
      </c>
      <c r="K12" s="130" t="s">
        <v>688</v>
      </c>
      <c r="L12" s="135" t="s">
        <v>601</v>
      </c>
      <c r="M12" s="130" t="s">
        <v>586</v>
      </c>
      <c r="N12" s="139">
        <v>46116</v>
      </c>
      <c r="O12" s="130" t="s">
        <v>586</v>
      </c>
      <c r="P12" s="130" t="s">
        <v>587</v>
      </c>
      <c r="Q12" s="130" t="s">
        <v>586</v>
      </c>
    </row>
    <row r="13" spans="1:18" ht="124.35" customHeight="1">
      <c r="A13" s="130"/>
      <c r="B13" s="135" t="s">
        <v>581</v>
      </c>
      <c r="C13" s="130" t="s">
        <v>582</v>
      </c>
      <c r="D13" s="135" t="s">
        <v>689</v>
      </c>
      <c r="E13" s="137">
        <v>2416687.2400000002</v>
      </c>
      <c r="F13" s="130">
        <v>26</v>
      </c>
      <c r="G13" s="130" t="s">
        <v>53</v>
      </c>
      <c r="H13" s="130" t="s">
        <v>73</v>
      </c>
      <c r="I13" s="130" t="s">
        <v>56</v>
      </c>
      <c r="J13" s="130" t="s">
        <v>56</v>
      </c>
      <c r="K13" s="130" t="s">
        <v>584</v>
      </c>
      <c r="L13" s="144" t="s">
        <v>594</v>
      </c>
      <c r="M13" s="130" t="s">
        <v>586</v>
      </c>
      <c r="N13" s="145">
        <v>46121</v>
      </c>
      <c r="O13" s="130"/>
      <c r="P13" s="130" t="s">
        <v>629</v>
      </c>
      <c r="Q13" s="130"/>
    </row>
    <row r="14" spans="1:18" ht="63.6" hidden="1" customHeight="1">
      <c r="A14" s="130"/>
      <c r="B14" s="135" t="s">
        <v>690</v>
      </c>
      <c r="C14" s="130" t="s">
        <v>691</v>
      </c>
      <c r="D14" s="130" t="s">
        <v>692</v>
      </c>
      <c r="E14" s="137">
        <v>1022212.16</v>
      </c>
      <c r="F14" s="130">
        <v>4</v>
      </c>
      <c r="G14" s="130" t="s">
        <v>53</v>
      </c>
      <c r="H14" s="130" t="s">
        <v>53</v>
      </c>
      <c r="I14" s="130" t="s">
        <v>599</v>
      </c>
      <c r="J14" s="130" t="s">
        <v>599</v>
      </c>
      <c r="K14" s="130" t="s">
        <v>688</v>
      </c>
      <c r="L14" s="144" t="s">
        <v>601</v>
      </c>
      <c r="M14" s="130" t="s">
        <v>586</v>
      </c>
      <c r="N14" s="145">
        <v>46118</v>
      </c>
      <c r="O14" s="130"/>
      <c r="P14" s="130" t="s">
        <v>587</v>
      </c>
      <c r="Q14" s="130"/>
    </row>
    <row r="15" spans="1:18" ht="63.6" hidden="1" customHeight="1">
      <c r="A15" s="130"/>
      <c r="B15" s="135" t="s">
        <v>693</v>
      </c>
      <c r="C15" s="130" t="s">
        <v>694</v>
      </c>
      <c r="D15" s="130" t="s">
        <v>695</v>
      </c>
      <c r="E15" s="137">
        <v>1022212.16</v>
      </c>
      <c r="F15" s="130">
        <v>4</v>
      </c>
      <c r="G15" s="130" t="s">
        <v>53</v>
      </c>
      <c r="H15" s="130" t="s">
        <v>53</v>
      </c>
      <c r="I15" s="130" t="s">
        <v>599</v>
      </c>
      <c r="J15" s="130" t="s">
        <v>599</v>
      </c>
      <c r="K15" s="130" t="s">
        <v>688</v>
      </c>
      <c r="L15" s="144" t="s">
        <v>592</v>
      </c>
      <c r="M15" s="130"/>
      <c r="N15" s="145">
        <v>46119</v>
      </c>
      <c r="O15" s="130"/>
      <c r="P15" s="130" t="s">
        <v>587</v>
      </c>
      <c r="Q15" s="130"/>
    </row>
    <row r="16" spans="1:18" ht="63.6" hidden="1" customHeight="1">
      <c r="A16" s="130">
        <v>11</v>
      </c>
      <c r="B16" s="135" t="s">
        <v>696</v>
      </c>
      <c r="C16" s="130" t="s">
        <v>697</v>
      </c>
      <c r="D16" s="130" t="s">
        <v>698</v>
      </c>
      <c r="E16" s="137">
        <v>1022212.16</v>
      </c>
      <c r="F16" s="130">
        <v>4</v>
      </c>
      <c r="G16" s="130" t="s">
        <v>53</v>
      </c>
      <c r="H16" s="130" t="s">
        <v>53</v>
      </c>
      <c r="I16" s="130" t="s">
        <v>599</v>
      </c>
      <c r="J16" s="130" t="s">
        <v>599</v>
      </c>
      <c r="K16" s="130" t="s">
        <v>688</v>
      </c>
      <c r="L16" s="144" t="s">
        <v>606</v>
      </c>
      <c r="M16" s="130" t="s">
        <v>586</v>
      </c>
      <c r="N16" s="145">
        <v>46118</v>
      </c>
      <c r="O16" s="130" t="s">
        <v>586</v>
      </c>
      <c r="P16" s="130" t="s">
        <v>587</v>
      </c>
      <c r="Q16" s="130" t="s">
        <v>586</v>
      </c>
    </row>
    <row r="17" spans="1:18" ht="96.6" hidden="1" customHeight="1">
      <c r="A17" s="130">
        <v>11</v>
      </c>
      <c r="B17" s="135" t="s">
        <v>699</v>
      </c>
      <c r="C17" s="130" t="s">
        <v>700</v>
      </c>
      <c r="D17" s="130" t="s">
        <v>701</v>
      </c>
      <c r="E17" s="137">
        <v>1022212.16</v>
      </c>
      <c r="F17" s="130">
        <v>4</v>
      </c>
      <c r="G17" s="130" t="s">
        <v>53</v>
      </c>
      <c r="H17" s="130" t="s">
        <v>53</v>
      </c>
      <c r="I17" s="130" t="s">
        <v>599</v>
      </c>
      <c r="J17" s="130" t="s">
        <v>599</v>
      </c>
      <c r="K17" s="130" t="s">
        <v>688</v>
      </c>
      <c r="L17" s="144" t="s">
        <v>606</v>
      </c>
      <c r="M17" s="130" t="s">
        <v>586</v>
      </c>
      <c r="N17" s="145">
        <v>46118</v>
      </c>
      <c r="O17" s="130" t="s">
        <v>586</v>
      </c>
      <c r="P17" s="130" t="s">
        <v>587</v>
      </c>
      <c r="Q17" s="130" t="s">
        <v>586</v>
      </c>
    </row>
    <row r="18" spans="1:18" ht="96.6" customHeight="1">
      <c r="A18" s="130">
        <v>11</v>
      </c>
      <c r="B18" s="135" t="s">
        <v>588</v>
      </c>
      <c r="C18" s="130" t="s">
        <v>589</v>
      </c>
      <c r="D18" s="130" t="s">
        <v>702</v>
      </c>
      <c r="E18" s="137">
        <v>1022212.16</v>
      </c>
      <c r="F18" s="130">
        <v>4</v>
      </c>
      <c r="G18" s="130" t="s">
        <v>53</v>
      </c>
      <c r="H18" s="130" t="s">
        <v>53</v>
      </c>
      <c r="I18" s="130" t="s">
        <v>56</v>
      </c>
      <c r="J18" s="130" t="s">
        <v>599</v>
      </c>
      <c r="K18" s="144" t="s">
        <v>703</v>
      </c>
      <c r="L18" s="144" t="s">
        <v>594</v>
      </c>
      <c r="M18" s="130" t="s">
        <v>586</v>
      </c>
      <c r="N18" s="145"/>
      <c r="O18" s="130" t="s">
        <v>586</v>
      </c>
      <c r="P18" s="130" t="s">
        <v>629</v>
      </c>
      <c r="Q18" s="130" t="s">
        <v>586</v>
      </c>
    </row>
    <row r="19" spans="1:18" s="130" customFormat="1" ht="77.849999999999994" hidden="1" customHeight="1">
      <c r="A19" s="130">
        <v>12</v>
      </c>
      <c r="B19" s="135" t="s">
        <v>704</v>
      </c>
      <c r="C19" s="130" t="s">
        <v>705</v>
      </c>
      <c r="D19" s="130" t="s">
        <v>706</v>
      </c>
      <c r="G19" s="130" t="s">
        <v>53</v>
      </c>
      <c r="H19" s="130" t="s">
        <v>53</v>
      </c>
      <c r="I19" s="130" t="s">
        <v>56</v>
      </c>
      <c r="J19" s="130" t="s">
        <v>56</v>
      </c>
      <c r="K19" s="130" t="s">
        <v>625</v>
      </c>
      <c r="L19" s="130" t="s">
        <v>707</v>
      </c>
      <c r="N19" s="131">
        <v>46107</v>
      </c>
      <c r="O19" s="130" t="s">
        <v>586</v>
      </c>
      <c r="P19" s="130" t="s">
        <v>587</v>
      </c>
      <c r="Q19" s="130" t="s">
        <v>586</v>
      </c>
    </row>
    <row r="20" spans="1:18" s="130" customFormat="1" ht="79.349999999999994" customHeight="1">
      <c r="A20" s="130">
        <v>13</v>
      </c>
      <c r="B20" s="135" t="s">
        <v>596</v>
      </c>
      <c r="C20" s="130" t="s">
        <v>597</v>
      </c>
      <c r="D20" s="159" t="s">
        <v>708</v>
      </c>
      <c r="E20" s="137">
        <v>13096.1</v>
      </c>
      <c r="F20" s="130">
        <v>11</v>
      </c>
      <c r="G20" s="130" t="s">
        <v>53</v>
      </c>
      <c r="H20" s="130" t="s">
        <v>53</v>
      </c>
      <c r="I20" s="130" t="s">
        <v>599</v>
      </c>
      <c r="J20" s="130" t="s">
        <v>599</v>
      </c>
      <c r="K20" s="130" t="s">
        <v>600</v>
      </c>
      <c r="L20" s="144" t="s">
        <v>709</v>
      </c>
      <c r="M20" s="130" t="s">
        <v>586</v>
      </c>
      <c r="N20" s="145"/>
      <c r="O20" s="130" t="s">
        <v>586</v>
      </c>
      <c r="P20" s="130" t="s">
        <v>629</v>
      </c>
      <c r="Q20" s="130" t="s">
        <v>586</v>
      </c>
    </row>
    <row r="21" spans="1:18" s="130" customFormat="1" ht="89.1" customHeight="1">
      <c r="B21" s="135" t="s">
        <v>596</v>
      </c>
      <c r="C21" s="130" t="s">
        <v>603</v>
      </c>
      <c r="D21" s="135"/>
      <c r="E21" s="137">
        <v>13096.1</v>
      </c>
      <c r="F21" s="130">
        <v>11</v>
      </c>
      <c r="G21" s="130" t="s">
        <v>53</v>
      </c>
      <c r="H21" s="130" t="s">
        <v>53</v>
      </c>
      <c r="I21" s="130" t="s">
        <v>599</v>
      </c>
      <c r="J21" s="130" t="s">
        <v>599</v>
      </c>
      <c r="K21" s="130" t="s">
        <v>600</v>
      </c>
      <c r="L21" s="144" t="s">
        <v>606</v>
      </c>
      <c r="N21" s="145"/>
      <c r="P21" s="130" t="s">
        <v>629</v>
      </c>
    </row>
    <row r="22" spans="1:18" s="130" customFormat="1" ht="89.85" customHeight="1">
      <c r="B22" s="135" t="s">
        <v>710</v>
      </c>
      <c r="C22" s="130" t="s">
        <v>603</v>
      </c>
      <c r="D22" s="130" t="s">
        <v>711</v>
      </c>
      <c r="E22" s="137">
        <v>13096.1</v>
      </c>
      <c r="F22" s="130">
        <v>11</v>
      </c>
      <c r="G22" s="130" t="s">
        <v>53</v>
      </c>
      <c r="H22" s="130" t="s">
        <v>53</v>
      </c>
      <c r="I22" s="130" t="s">
        <v>599</v>
      </c>
      <c r="J22" s="130" t="s">
        <v>599</v>
      </c>
      <c r="K22" s="130" t="s">
        <v>149</v>
      </c>
      <c r="L22" s="144" t="s">
        <v>585</v>
      </c>
      <c r="N22" s="145"/>
      <c r="P22" s="130" t="s">
        <v>629</v>
      </c>
    </row>
    <row r="23" spans="1:18" s="130" customFormat="1" ht="126" hidden="1">
      <c r="A23" s="130">
        <v>13</v>
      </c>
      <c r="B23" s="135" t="s">
        <v>712</v>
      </c>
      <c r="C23" s="130" t="s">
        <v>713</v>
      </c>
      <c r="D23" s="130" t="s">
        <v>714</v>
      </c>
      <c r="E23" s="137">
        <v>13096.1</v>
      </c>
      <c r="F23" s="130">
        <v>9</v>
      </c>
      <c r="G23" s="130" t="s">
        <v>53</v>
      </c>
      <c r="H23" s="130" t="s">
        <v>53</v>
      </c>
      <c r="I23" s="130" t="s">
        <v>599</v>
      </c>
      <c r="J23" s="130" t="s">
        <v>599</v>
      </c>
      <c r="K23" s="130" t="s">
        <v>600</v>
      </c>
      <c r="L23" s="144" t="s">
        <v>592</v>
      </c>
      <c r="M23" s="130" t="s">
        <v>586</v>
      </c>
      <c r="N23" s="145">
        <v>46114</v>
      </c>
      <c r="O23" s="130" t="s">
        <v>586</v>
      </c>
      <c r="P23" s="130" t="s">
        <v>587</v>
      </c>
      <c r="Q23" s="130" t="s">
        <v>586</v>
      </c>
    </row>
    <row r="24" spans="1:18" s="123" customFormat="1" ht="36" hidden="1" customHeight="1">
      <c r="A24" s="123">
        <v>14</v>
      </c>
      <c r="B24" s="123" t="s">
        <v>715</v>
      </c>
      <c r="C24" s="123" t="s">
        <v>716</v>
      </c>
      <c r="D24" s="123" t="s">
        <v>717</v>
      </c>
      <c r="L24" s="123" t="s">
        <v>718</v>
      </c>
      <c r="M24" s="123" t="s">
        <v>586</v>
      </c>
      <c r="N24" s="124">
        <v>46105</v>
      </c>
      <c r="O24" s="123" t="s">
        <v>586</v>
      </c>
      <c r="P24" s="123" t="s">
        <v>587</v>
      </c>
      <c r="Q24" s="123" t="s">
        <v>586</v>
      </c>
    </row>
    <row r="25" spans="1:18" s="132" customFormat="1" ht="77.849999999999994" hidden="1" customHeight="1">
      <c r="A25" s="130">
        <v>15</v>
      </c>
      <c r="B25" s="135" t="s">
        <v>719</v>
      </c>
      <c r="C25" s="130" t="s">
        <v>720</v>
      </c>
      <c r="D25" s="130" t="s">
        <v>721</v>
      </c>
      <c r="E25" s="137">
        <v>371262</v>
      </c>
      <c r="F25" s="130">
        <v>55</v>
      </c>
      <c r="G25" s="130" t="s">
        <v>722</v>
      </c>
      <c r="H25" s="130" t="s">
        <v>722</v>
      </c>
      <c r="I25" s="130" t="s">
        <v>722</v>
      </c>
      <c r="J25" s="130" t="s">
        <v>722</v>
      </c>
      <c r="K25" s="130" t="s">
        <v>722</v>
      </c>
      <c r="L25" s="130" t="s">
        <v>592</v>
      </c>
      <c r="M25" s="130" t="s">
        <v>586</v>
      </c>
      <c r="N25" s="140">
        <v>46114</v>
      </c>
      <c r="O25" s="130" t="s">
        <v>586</v>
      </c>
      <c r="P25" s="132" t="s">
        <v>615</v>
      </c>
    </row>
    <row r="26" spans="1:18" s="132" customFormat="1" ht="77.849999999999994" hidden="1" customHeight="1">
      <c r="A26" s="130">
        <v>16</v>
      </c>
      <c r="B26" s="135" t="s">
        <v>339</v>
      </c>
      <c r="C26" s="130" t="s">
        <v>723</v>
      </c>
      <c r="D26" s="130" t="s">
        <v>724</v>
      </c>
      <c r="E26" s="137">
        <v>164002.01999999999</v>
      </c>
      <c r="F26" s="130">
        <v>18</v>
      </c>
      <c r="G26" s="130" t="s">
        <v>53</v>
      </c>
      <c r="H26" s="130" t="s">
        <v>73</v>
      </c>
      <c r="I26" s="130" t="s">
        <v>599</v>
      </c>
      <c r="J26" s="130" t="s">
        <v>599</v>
      </c>
      <c r="K26" s="130" t="s">
        <v>725</v>
      </c>
      <c r="L26" s="144" t="s">
        <v>601</v>
      </c>
      <c r="M26" s="130" t="s">
        <v>586</v>
      </c>
      <c r="N26" s="146">
        <v>46119</v>
      </c>
      <c r="O26" s="130" t="s">
        <v>586</v>
      </c>
      <c r="P26" s="132" t="s">
        <v>615</v>
      </c>
    </row>
    <row r="27" spans="1:18" s="132" customFormat="1" ht="77.849999999999994" hidden="1" customHeight="1">
      <c r="A27" s="130">
        <v>16</v>
      </c>
      <c r="B27" s="135" t="s">
        <v>339</v>
      </c>
      <c r="C27" s="130" t="s">
        <v>726</v>
      </c>
      <c r="D27" s="130" t="s">
        <v>727</v>
      </c>
      <c r="E27" s="137">
        <v>164002.01999999999</v>
      </c>
      <c r="F27" s="130">
        <v>18</v>
      </c>
      <c r="G27" s="130" t="s">
        <v>53</v>
      </c>
      <c r="H27" s="130" t="s">
        <v>73</v>
      </c>
      <c r="I27" s="130" t="s">
        <v>599</v>
      </c>
      <c r="J27" s="130" t="s">
        <v>599</v>
      </c>
      <c r="K27" s="130" t="s">
        <v>725</v>
      </c>
      <c r="L27" s="144" t="s">
        <v>601</v>
      </c>
      <c r="M27" s="130" t="s">
        <v>586</v>
      </c>
      <c r="N27" s="146">
        <v>46119</v>
      </c>
      <c r="O27" s="130" t="s">
        <v>586</v>
      </c>
      <c r="P27" s="132" t="s">
        <v>615</v>
      </c>
    </row>
    <row r="28" spans="1:18" s="132" customFormat="1" ht="77.849999999999994" hidden="1" customHeight="1">
      <c r="A28" s="130">
        <v>17</v>
      </c>
      <c r="B28" s="135" t="s">
        <v>339</v>
      </c>
      <c r="C28" s="130" t="s">
        <v>728</v>
      </c>
      <c r="D28" s="130" t="s">
        <v>729</v>
      </c>
      <c r="E28" s="137">
        <v>164002.01999999999</v>
      </c>
      <c r="F28" s="130">
        <v>18</v>
      </c>
      <c r="G28" s="130" t="s">
        <v>53</v>
      </c>
      <c r="H28" s="130" t="s">
        <v>73</v>
      </c>
      <c r="I28" s="130" t="s">
        <v>599</v>
      </c>
      <c r="J28" s="130" t="s">
        <v>599</v>
      </c>
      <c r="K28" s="130" t="s">
        <v>663</v>
      </c>
      <c r="L28" s="144" t="s">
        <v>647</v>
      </c>
      <c r="M28" s="130" t="s">
        <v>586</v>
      </c>
      <c r="N28" s="146">
        <v>46115</v>
      </c>
      <c r="O28" s="130" t="s">
        <v>586</v>
      </c>
      <c r="P28" s="132" t="s">
        <v>615</v>
      </c>
    </row>
    <row r="29" spans="1:18" ht="88.35" hidden="1" customHeight="1">
      <c r="A29" s="130">
        <v>18</v>
      </c>
      <c r="B29" s="135" t="s">
        <v>165</v>
      </c>
      <c r="C29" s="130" t="s">
        <v>730</v>
      </c>
      <c r="D29" s="130" t="s">
        <v>731</v>
      </c>
      <c r="E29" s="130"/>
      <c r="F29" s="130"/>
      <c r="G29" s="130" t="s">
        <v>64</v>
      </c>
      <c r="H29" s="130" t="s">
        <v>73</v>
      </c>
      <c r="I29" s="133" t="s">
        <v>114</v>
      </c>
      <c r="J29" s="130" t="s">
        <v>732</v>
      </c>
      <c r="K29" s="132" t="s">
        <v>733</v>
      </c>
      <c r="L29" s="132" t="s">
        <v>594</v>
      </c>
      <c r="M29" s="132"/>
      <c r="N29" s="132"/>
      <c r="O29" s="132"/>
      <c r="P29" s="132" t="s">
        <v>615</v>
      </c>
      <c r="Q29" s="132"/>
      <c r="R29" s="132"/>
    </row>
    <row r="30" spans="1:18" ht="53.85" hidden="1" customHeight="1">
      <c r="A30" s="129">
        <v>19</v>
      </c>
      <c r="B30" s="136" t="s">
        <v>155</v>
      </c>
      <c r="C30" s="129" t="s">
        <v>734</v>
      </c>
      <c r="D30" s="129" t="s">
        <v>735</v>
      </c>
      <c r="E30" s="138">
        <v>1161167</v>
      </c>
      <c r="F30" s="129">
        <v>50</v>
      </c>
      <c r="G30" s="129" t="s">
        <v>53</v>
      </c>
      <c r="H30" s="129" t="s">
        <v>73</v>
      </c>
      <c r="I30" s="129" t="s">
        <v>72</v>
      </c>
      <c r="J30" s="130"/>
      <c r="K30" s="129" t="s">
        <v>736</v>
      </c>
      <c r="L30" s="144" t="s">
        <v>647</v>
      </c>
      <c r="M30" s="130" t="s">
        <v>586</v>
      </c>
      <c r="N30" s="145">
        <v>46115</v>
      </c>
      <c r="P30" s="132" t="s">
        <v>615</v>
      </c>
    </row>
    <row r="31" spans="1:18" ht="53.85" hidden="1" customHeight="1">
      <c r="A31" s="129">
        <v>20</v>
      </c>
      <c r="B31" s="136" t="s">
        <v>155</v>
      </c>
      <c r="C31" s="129" t="s">
        <v>737</v>
      </c>
      <c r="D31" s="129" t="s">
        <v>738</v>
      </c>
      <c r="G31" s="129" t="s">
        <v>53</v>
      </c>
      <c r="H31" s="129" t="s">
        <v>73</v>
      </c>
      <c r="I31" s="129" t="s">
        <v>72</v>
      </c>
      <c r="K31" s="129" t="s">
        <v>736</v>
      </c>
      <c r="L31" s="129" t="s">
        <v>606</v>
      </c>
      <c r="N31" s="134"/>
      <c r="P31" s="132" t="s">
        <v>615</v>
      </c>
    </row>
    <row r="32" spans="1:18" ht="53.85" hidden="1" customHeight="1">
      <c r="A32" s="129">
        <v>21</v>
      </c>
      <c r="B32" s="136" t="s">
        <v>194</v>
      </c>
      <c r="C32" s="129" t="s">
        <v>739</v>
      </c>
      <c r="D32" s="130" t="s">
        <v>740</v>
      </c>
      <c r="E32" s="130"/>
      <c r="F32" s="130"/>
      <c r="G32" s="129" t="s">
        <v>64</v>
      </c>
      <c r="H32" s="129" t="s">
        <v>73</v>
      </c>
      <c r="I32" s="129" t="s">
        <v>114</v>
      </c>
      <c r="K32" s="129" t="s">
        <v>741</v>
      </c>
      <c r="L32" s="129" t="s">
        <v>594</v>
      </c>
      <c r="N32" s="134"/>
      <c r="P32" s="132" t="s">
        <v>615</v>
      </c>
    </row>
    <row r="33" spans="1:16" ht="111" customHeight="1">
      <c r="A33" s="129">
        <v>20</v>
      </c>
      <c r="B33" s="136" t="s">
        <v>611</v>
      </c>
      <c r="C33" s="129" t="s">
        <v>612</v>
      </c>
      <c r="D33" s="129" t="s">
        <v>742</v>
      </c>
      <c r="E33" s="138">
        <v>198023</v>
      </c>
      <c r="F33" s="129">
        <v>37</v>
      </c>
      <c r="G33" s="129" t="s">
        <v>53</v>
      </c>
      <c r="H33" s="129" t="s">
        <v>53</v>
      </c>
      <c r="I33" s="129" t="s">
        <v>56</v>
      </c>
      <c r="J33" s="129" t="s">
        <v>56</v>
      </c>
      <c r="K33" s="129" t="s">
        <v>614</v>
      </c>
      <c r="L33" s="144" t="s">
        <v>594</v>
      </c>
      <c r="M33" s="130"/>
      <c r="N33" s="145">
        <v>46119</v>
      </c>
      <c r="O33" s="153"/>
      <c r="P33" s="132" t="s">
        <v>629</v>
      </c>
    </row>
    <row r="34" spans="1:16" ht="115.35" customHeight="1">
      <c r="B34" s="154" t="s">
        <v>743</v>
      </c>
      <c r="C34" s="155" t="s">
        <v>744</v>
      </c>
      <c r="D34" s="155" t="s">
        <v>745</v>
      </c>
      <c r="E34" s="156">
        <v>93065.64</v>
      </c>
      <c r="F34" s="155"/>
      <c r="G34" s="155" t="s">
        <v>53</v>
      </c>
      <c r="H34" s="155" t="s">
        <v>53</v>
      </c>
      <c r="I34" s="155" t="s">
        <v>56</v>
      </c>
      <c r="J34" s="155" t="s">
        <v>599</v>
      </c>
      <c r="K34" s="155" t="s">
        <v>620</v>
      </c>
      <c r="L34" s="154" t="s">
        <v>585</v>
      </c>
      <c r="M34" s="155"/>
      <c r="N34" s="157"/>
      <c r="P34" s="132" t="s">
        <v>629</v>
      </c>
    </row>
    <row r="35" spans="1:16" ht="84.6" customHeight="1">
      <c r="B35" s="154" t="s">
        <v>74</v>
      </c>
      <c r="C35" s="155" t="s">
        <v>746</v>
      </c>
      <c r="D35" s="155" t="s">
        <v>747</v>
      </c>
      <c r="E35" s="156"/>
      <c r="F35" s="155">
        <v>15</v>
      </c>
      <c r="G35" s="155"/>
      <c r="H35" s="155"/>
      <c r="I35" s="155"/>
      <c r="J35" s="155"/>
      <c r="K35" s="155"/>
      <c r="L35" s="154" t="s">
        <v>601</v>
      </c>
      <c r="M35" s="155"/>
      <c r="N35" s="157"/>
      <c r="O35" s="155"/>
      <c r="P35" s="158" t="s">
        <v>629</v>
      </c>
    </row>
    <row r="36" spans="1:16" ht="95.85" customHeight="1">
      <c r="A36" s="136"/>
      <c r="B36" s="154" t="s">
        <v>74</v>
      </c>
      <c r="C36" s="155" t="s">
        <v>748</v>
      </c>
      <c r="D36" s="155" t="s">
        <v>747</v>
      </c>
      <c r="E36" s="155"/>
      <c r="F36" s="155">
        <v>15</v>
      </c>
      <c r="G36" s="155"/>
      <c r="H36" s="155"/>
      <c r="I36" s="155"/>
      <c r="J36" s="155"/>
      <c r="K36" s="154"/>
      <c r="L36" s="154" t="s">
        <v>601</v>
      </c>
      <c r="M36" s="157"/>
      <c r="N36" s="155"/>
      <c r="O36" s="158"/>
      <c r="P36" s="158" t="s">
        <v>629</v>
      </c>
    </row>
  </sheetData>
  <autoFilter ref="A1:Q36" xr:uid="{9EFC7270-1621-436A-95A9-58C0A366A553}">
    <filterColumn colId="15">
      <filters>
        <filter val="Open"/>
      </filters>
    </filterColumn>
  </autoFilter>
  <conditionalFormatting sqref="K29">
    <cfRule type="cellIs" dxfId="107" priority="13" operator="equal">
      <formula>"On track"</formula>
    </cfRule>
    <cfRule type="cellIs" dxfId="106" priority="14" operator="equal">
      <formula>"Open"</formula>
    </cfRule>
    <cfRule type="cellIs" dxfId="105" priority="15" operator="equal">
      <formula>"Done"</formula>
    </cfRule>
  </conditionalFormatting>
  <conditionalFormatting sqref="O36">
    <cfRule type="cellIs" dxfId="104" priority="6" operator="equal">
      <formula>"Open"</formula>
    </cfRule>
    <cfRule type="cellIs" dxfId="103" priority="7" operator="equal">
      <formula>"Done"</formula>
    </cfRule>
    <cfRule type="cellIs" dxfId="102" priority="8" operator="equal">
      <formula>"On track"</formula>
    </cfRule>
    <cfRule type="cellIs" dxfId="101" priority="9" operator="equal">
      <formula>"Open"</formula>
    </cfRule>
    <cfRule type="cellIs" dxfId="100" priority="10" operator="equal">
      <formula>"Done"</formula>
    </cfRule>
  </conditionalFormatting>
  <conditionalFormatting sqref="P1:P36 N37">
    <cfRule type="cellIs" dxfId="99" priority="1" operator="equal">
      <formula>"Open"</formula>
    </cfRule>
    <cfRule type="cellIs" dxfId="98" priority="2" operator="equal">
      <formula>"Done"</formula>
    </cfRule>
    <cfRule type="cellIs" dxfId="97" priority="3" operator="equal">
      <formula>"On track"</formula>
    </cfRule>
    <cfRule type="cellIs" dxfId="96" priority="4" operator="equal">
      <formula>"Open"</formula>
    </cfRule>
    <cfRule type="cellIs" dxfId="95" priority="5" operator="equal">
      <formula>"Done"</formula>
    </cfRule>
  </conditionalFormatting>
  <conditionalFormatting sqref="P38:P1048576">
    <cfRule type="cellIs" dxfId="94" priority="11" operator="equal">
      <formula>"Open"</formula>
    </cfRule>
    <cfRule type="cellIs" dxfId="93" priority="12" operator="equal">
      <formula>"Done"</formula>
    </cfRule>
    <cfRule type="cellIs" dxfId="92" priority="16" operator="equal">
      <formula>"On track"</formula>
    </cfRule>
    <cfRule type="cellIs" dxfId="91" priority="17" operator="equal">
      <formula>"Open"</formula>
    </cfRule>
    <cfRule type="cellIs" dxfId="90"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80" zoomScaleNormal="80" workbookViewId="0">
      <pane xSplit="18" ySplit="3" topLeftCell="S4" activePane="bottomRight" state="frozen"/>
      <selection pane="topRight" activeCell="S1" sqref="S1"/>
      <selection pane="bottomLeft" activeCell="A4" sqref="A4"/>
      <selection pane="bottomRight" activeCell="G26" sqref="G26"/>
    </sheetView>
  </sheetViews>
  <sheetFormatPr defaultRowHeight="14.4" outlineLevelCol="1"/>
  <cols>
    <col min="1" max="1" width="15.44140625" customWidth="1" outlineLevel="1"/>
    <col min="2" max="2" width="46.5546875" customWidth="1" outlineLevel="1"/>
    <col min="3" max="3" width="10.5546875" customWidth="1" outlineLevel="1"/>
    <col min="4" max="4" width="17.44140625" style="13" customWidth="1" outlineLevel="1"/>
    <col min="5" max="5" width="18.44140625" style="115" bestFit="1" customWidth="1" outlineLevel="1"/>
    <col min="6" max="6" width="9.109375" bestFit="1" customWidth="1" outlineLevel="1"/>
    <col min="7" max="8" width="9.109375" style="142" bestFit="1" customWidth="1" outlineLevel="1"/>
    <col min="9" max="9" width="11" style="143" bestFit="1" customWidth="1" outlineLevel="1"/>
    <col min="10" max="10" width="10.5546875" style="126" customWidth="1" outlineLevel="1"/>
    <col min="11" max="17" width="10.5546875" customWidth="1" outlineLevel="1"/>
    <col min="18" max="18" width="11" customWidth="1" outlineLevel="1"/>
    <col min="19" max="19" width="12" customWidth="1"/>
    <col min="20" max="20" width="15.44140625" hidden="1" customWidth="1" outlineLevel="1"/>
    <col min="21" max="21" width="46.5546875" hidden="1" customWidth="1" outlineLevel="1"/>
    <col min="22" max="22" width="10.5546875" hidden="1" customWidth="1" outlineLevel="1"/>
    <col min="23" max="23" width="17.44140625" style="13" hidden="1" customWidth="1" outlineLevel="1"/>
    <col min="24" max="24" width="18.33203125" style="115" hidden="1" customWidth="1" outlineLevel="1"/>
    <col min="25" max="25" width="9.6640625" hidden="1" customWidth="1" outlineLevel="1"/>
    <col min="26" max="27" width="9.6640625" style="142" hidden="1" customWidth="1" outlineLevel="1"/>
    <col min="28" max="28" width="9.6640625" style="143" hidden="1" customWidth="1" outlineLevel="1"/>
    <col min="29" max="29" width="9.6640625" style="126" hidden="1" customWidth="1" outlineLevel="1"/>
    <col min="30" max="36" width="9.6640625" hidden="1" customWidth="1" outlineLevel="1"/>
    <col min="37" max="37" width="11" bestFit="1" customWidth="1" collapsed="1"/>
    <col min="38" max="48" width="13.44140625" bestFit="1" customWidth="1"/>
    <col min="49" max="49" width="11.44140625" bestFit="1" customWidth="1"/>
    <col min="50" max="50" width="18.44140625" bestFit="1" customWidth="1"/>
  </cols>
  <sheetData>
    <row r="1" spans="1:50">
      <c r="A1" t="s">
        <v>768</v>
      </c>
      <c r="D1"/>
      <c r="E1"/>
      <c r="F1" t="s">
        <v>503</v>
      </c>
      <c r="G1" t="s">
        <v>504</v>
      </c>
      <c r="H1"/>
      <c r="I1"/>
      <c r="J1"/>
      <c r="T1" t="s">
        <v>769</v>
      </c>
      <c r="W1"/>
      <c r="X1"/>
      <c r="Y1" t="s">
        <v>503</v>
      </c>
      <c r="Z1" t="s">
        <v>504</v>
      </c>
      <c r="AA1"/>
      <c r="AB1"/>
      <c r="AC1"/>
    </row>
    <row r="2" spans="1:50">
      <c r="D2"/>
      <c r="E2"/>
      <c r="F2" t="s">
        <v>505</v>
      </c>
      <c r="G2"/>
      <c r="H2"/>
      <c r="I2" s="201" t="s">
        <v>506</v>
      </c>
      <c r="J2"/>
      <c r="W2"/>
      <c r="X2"/>
      <c r="Y2" t="s">
        <v>505</v>
      </c>
      <c r="Z2"/>
      <c r="AA2"/>
      <c r="AB2"/>
      <c r="AC2"/>
      <c r="AK2" s="201" t="s">
        <v>506</v>
      </c>
    </row>
    <row r="3" spans="1:50" s="201" customFormat="1" ht="15" customHeight="1">
      <c r="A3" s="201" t="s">
        <v>210</v>
      </c>
      <c r="B3" s="201" t="s">
        <v>216</v>
      </c>
      <c r="C3" s="201" t="s">
        <v>211</v>
      </c>
      <c r="D3" s="201" t="s">
        <v>218</v>
      </c>
      <c r="E3" s="167" t="s">
        <v>230</v>
      </c>
      <c r="F3" t="s">
        <v>303</v>
      </c>
      <c r="G3" t="s">
        <v>312</v>
      </c>
      <c r="H3" t="s">
        <v>333</v>
      </c>
      <c r="J3"/>
      <c r="K3"/>
      <c r="L3"/>
      <c r="M3"/>
      <c r="N3"/>
      <c r="O3"/>
      <c r="P3"/>
      <c r="Q3"/>
      <c r="R3"/>
      <c r="S3"/>
      <c r="T3" s="201" t="s">
        <v>210</v>
      </c>
      <c r="U3" s="201" t="s">
        <v>216</v>
      </c>
      <c r="V3" s="201" t="s">
        <v>211</v>
      </c>
      <c r="W3" s="201" t="s">
        <v>218</v>
      </c>
      <c r="X3" s="167" t="s">
        <v>230</v>
      </c>
      <c r="Y3" t="s">
        <v>381</v>
      </c>
      <c r="Z3" t="s">
        <v>402</v>
      </c>
      <c r="AA3" t="s">
        <v>325</v>
      </c>
      <c r="AB3" t="s">
        <v>294</v>
      </c>
      <c r="AC3" t="s">
        <v>276</v>
      </c>
      <c r="AD3" t="s">
        <v>279</v>
      </c>
      <c r="AE3" t="s">
        <v>280</v>
      </c>
      <c r="AF3" t="s">
        <v>281</v>
      </c>
      <c r="AG3" t="s">
        <v>297</v>
      </c>
      <c r="AH3" t="s">
        <v>303</v>
      </c>
      <c r="AI3" t="s">
        <v>312</v>
      </c>
      <c r="AJ3" t="s">
        <v>333</v>
      </c>
      <c r="AL3"/>
      <c r="AM3"/>
      <c r="AN3"/>
      <c r="AO3"/>
      <c r="AP3"/>
      <c r="AQ3"/>
      <c r="AR3"/>
      <c r="AS3"/>
      <c r="AT3"/>
      <c r="AU3"/>
      <c r="AV3"/>
      <c r="AW3"/>
      <c r="AX3"/>
    </row>
    <row r="4" spans="1:50">
      <c r="A4" t="s">
        <v>46</v>
      </c>
      <c r="B4" t="s">
        <v>554</v>
      </c>
      <c r="C4" t="s">
        <v>267</v>
      </c>
      <c r="D4" s="326" t="s">
        <v>310</v>
      </c>
      <c r="E4">
        <v>50</v>
      </c>
      <c r="F4" s="325"/>
      <c r="G4" s="310">
        <v>148976.37</v>
      </c>
      <c r="H4" s="325">
        <v>59908.57</v>
      </c>
      <c r="I4" s="325">
        <v>208884.94</v>
      </c>
      <c r="J4"/>
      <c r="T4" t="s">
        <v>46</v>
      </c>
      <c r="U4" t="s">
        <v>531</v>
      </c>
      <c r="V4" t="s">
        <v>267</v>
      </c>
      <c r="W4" s="293" t="s">
        <v>271</v>
      </c>
      <c r="X4">
        <v>17</v>
      </c>
      <c r="Y4" s="330"/>
      <c r="Z4" s="330">
        <v>0</v>
      </c>
      <c r="AA4" s="330"/>
      <c r="AB4" s="330">
        <v>1</v>
      </c>
      <c r="AC4" s="330"/>
      <c r="AD4" s="330"/>
      <c r="AE4" s="330"/>
      <c r="AF4" s="330"/>
      <c r="AG4" s="330"/>
      <c r="AH4" s="330"/>
      <c r="AI4" s="330"/>
      <c r="AJ4" s="330"/>
      <c r="AK4" s="331">
        <v>1</v>
      </c>
    </row>
    <row r="5" spans="1:50">
      <c r="B5" t="s">
        <v>559</v>
      </c>
      <c r="C5" t="s">
        <v>267</v>
      </c>
      <c r="D5" s="326" t="s">
        <v>310</v>
      </c>
      <c r="E5">
        <v>15</v>
      </c>
      <c r="F5" s="325"/>
      <c r="G5" s="310">
        <v>64112.41</v>
      </c>
      <c r="H5" s="325"/>
      <c r="I5" s="325">
        <v>64112.41</v>
      </c>
      <c r="J5"/>
      <c r="U5" t="s">
        <v>535</v>
      </c>
      <c r="V5" t="s">
        <v>267</v>
      </c>
      <c r="W5" s="293" t="s">
        <v>271</v>
      </c>
      <c r="X5">
        <v>22</v>
      </c>
      <c r="Y5" s="330"/>
      <c r="Z5" s="330"/>
      <c r="AA5" s="330"/>
      <c r="AB5" s="330"/>
      <c r="AC5" s="330"/>
      <c r="AD5" s="330"/>
      <c r="AE5" s="330"/>
      <c r="AF5" s="330">
        <v>1</v>
      </c>
      <c r="AG5" s="330">
        <v>0</v>
      </c>
      <c r="AH5" s="330"/>
      <c r="AI5" s="330"/>
      <c r="AJ5" s="330"/>
      <c r="AK5" s="331">
        <v>1</v>
      </c>
    </row>
    <row r="6" spans="1:50">
      <c r="B6" t="s">
        <v>560</v>
      </c>
      <c r="C6" t="s">
        <v>267</v>
      </c>
      <c r="D6" s="326" t="s">
        <v>310</v>
      </c>
      <c r="E6">
        <v>5</v>
      </c>
      <c r="F6" s="325"/>
      <c r="G6" s="310">
        <v>22890.480000000003</v>
      </c>
      <c r="H6" s="325"/>
      <c r="I6" s="325">
        <v>22890.480000000003</v>
      </c>
      <c r="J6"/>
      <c r="U6" t="s">
        <v>526</v>
      </c>
      <c r="V6" t="s">
        <v>267</v>
      </c>
      <c r="W6" s="293" t="s">
        <v>271</v>
      </c>
      <c r="X6">
        <v>25</v>
      </c>
      <c r="Y6" s="330"/>
      <c r="Z6" s="330"/>
      <c r="AA6" s="330"/>
      <c r="AB6" s="330">
        <v>1</v>
      </c>
      <c r="AC6" s="330">
        <v>0</v>
      </c>
      <c r="AD6" s="330">
        <v>0</v>
      </c>
      <c r="AE6" s="330"/>
      <c r="AF6" s="330"/>
      <c r="AG6" s="330"/>
      <c r="AH6" s="330"/>
      <c r="AI6" s="330"/>
      <c r="AJ6" s="330"/>
      <c r="AK6" s="331">
        <v>1</v>
      </c>
    </row>
    <row r="7" spans="1:50">
      <c r="B7" t="s">
        <v>562</v>
      </c>
      <c r="C7" t="s">
        <v>267</v>
      </c>
      <c r="D7" s="326" t="s">
        <v>310</v>
      </c>
      <c r="E7">
        <v>24</v>
      </c>
      <c r="F7" s="325"/>
      <c r="G7" s="310">
        <v>48791.869999999995</v>
      </c>
      <c r="H7" s="325"/>
      <c r="I7" s="325">
        <v>48791.869999999995</v>
      </c>
      <c r="J7"/>
      <c r="U7" t="s">
        <v>527</v>
      </c>
      <c r="V7" t="s">
        <v>267</v>
      </c>
      <c r="W7" s="293" t="s">
        <v>271</v>
      </c>
      <c r="X7">
        <v>7</v>
      </c>
      <c r="Y7" s="330"/>
      <c r="Z7" s="330"/>
      <c r="AA7" s="330"/>
      <c r="AB7" s="330">
        <v>1</v>
      </c>
      <c r="AC7" s="330"/>
      <c r="AD7" s="330"/>
      <c r="AE7" s="330"/>
      <c r="AF7" s="330"/>
      <c r="AG7" s="330"/>
      <c r="AH7" s="330"/>
      <c r="AI7" s="330"/>
      <c r="AJ7" s="330"/>
      <c r="AK7" s="331">
        <v>1</v>
      </c>
    </row>
    <row r="8" spans="1:50">
      <c r="B8" t="s">
        <v>555</v>
      </c>
      <c r="C8" t="s">
        <v>267</v>
      </c>
      <c r="D8" s="326" t="s">
        <v>310</v>
      </c>
      <c r="E8">
        <v>7</v>
      </c>
      <c r="F8" s="325"/>
      <c r="G8" s="325"/>
      <c r="H8" s="312">
        <v>15139</v>
      </c>
      <c r="I8" s="325">
        <v>15139</v>
      </c>
      <c r="J8"/>
      <c r="U8" t="s">
        <v>534</v>
      </c>
      <c r="V8" t="s">
        <v>267</v>
      </c>
      <c r="W8" s="293" t="s">
        <v>271</v>
      </c>
      <c r="X8">
        <v>30</v>
      </c>
      <c r="Y8" s="330">
        <v>1</v>
      </c>
      <c r="Z8" s="330">
        <v>0</v>
      </c>
      <c r="AA8" s="330"/>
      <c r="AB8" s="330"/>
      <c r="AC8" s="330"/>
      <c r="AD8" s="330"/>
      <c r="AE8" s="330"/>
      <c r="AF8" s="330"/>
      <c r="AG8" s="330"/>
      <c r="AH8" s="330"/>
      <c r="AI8" s="330"/>
      <c r="AJ8" s="330"/>
      <c r="AK8" s="331">
        <v>1</v>
      </c>
    </row>
    <row r="9" spans="1:50">
      <c r="B9" t="s">
        <v>556</v>
      </c>
      <c r="C9" t="s">
        <v>267</v>
      </c>
      <c r="D9" s="326" t="s">
        <v>310</v>
      </c>
      <c r="E9">
        <v>2</v>
      </c>
      <c r="F9" s="325"/>
      <c r="G9" s="310">
        <v>10410</v>
      </c>
      <c r="H9" s="325"/>
      <c r="I9" s="325">
        <v>10410</v>
      </c>
      <c r="J9"/>
      <c r="U9" t="s">
        <v>561</v>
      </c>
      <c r="V9" t="s">
        <v>267</v>
      </c>
      <c r="W9" s="293" t="s">
        <v>271</v>
      </c>
      <c r="X9">
        <v>50</v>
      </c>
      <c r="Y9" s="330"/>
      <c r="Z9" s="330"/>
      <c r="AA9" s="330"/>
      <c r="AB9" s="330"/>
      <c r="AC9" s="330"/>
      <c r="AD9" s="330"/>
      <c r="AE9" s="330"/>
      <c r="AF9" s="330"/>
      <c r="AG9" s="330"/>
      <c r="AH9" s="330">
        <v>1</v>
      </c>
      <c r="AI9" s="330"/>
      <c r="AJ9" s="330"/>
      <c r="AK9" s="331">
        <v>1</v>
      </c>
    </row>
    <row r="10" spans="1:50">
      <c r="B10" t="s">
        <v>557</v>
      </c>
      <c r="C10" t="s">
        <v>267</v>
      </c>
      <c r="D10" s="326" t="s">
        <v>310</v>
      </c>
      <c r="E10">
        <v>5</v>
      </c>
      <c r="F10" s="325"/>
      <c r="G10" s="310">
        <v>17615.419999999998</v>
      </c>
      <c r="H10" s="325"/>
      <c r="I10" s="325">
        <v>17615.419999999998</v>
      </c>
      <c r="J10"/>
      <c r="U10" t="s">
        <v>528</v>
      </c>
      <c r="V10" t="s">
        <v>267</v>
      </c>
      <c r="W10" s="293" t="s">
        <v>271</v>
      </c>
      <c r="X10">
        <v>30</v>
      </c>
      <c r="Y10" s="330"/>
      <c r="Z10" s="330"/>
      <c r="AA10" s="330">
        <v>1</v>
      </c>
      <c r="AB10" s="330">
        <v>0</v>
      </c>
      <c r="AC10" s="330"/>
      <c r="AD10" s="330"/>
      <c r="AE10" s="330"/>
      <c r="AF10" s="330"/>
      <c r="AG10" s="330">
        <v>0</v>
      </c>
      <c r="AH10" s="330"/>
      <c r="AI10" s="330"/>
      <c r="AJ10" s="330"/>
      <c r="AK10" s="331">
        <v>1</v>
      </c>
    </row>
    <row r="11" spans="1:50">
      <c r="B11" t="s">
        <v>558</v>
      </c>
      <c r="C11" t="s">
        <v>267</v>
      </c>
      <c r="D11" s="326" t="s">
        <v>310</v>
      </c>
      <c r="E11">
        <v>1</v>
      </c>
      <c r="F11" s="325"/>
      <c r="G11" s="325"/>
      <c r="H11" s="325">
        <v>3202</v>
      </c>
      <c r="I11" s="325">
        <v>3202</v>
      </c>
      <c r="J11"/>
      <c r="U11" t="s">
        <v>554</v>
      </c>
      <c r="V11" t="s">
        <v>267</v>
      </c>
      <c r="W11" s="326" t="s">
        <v>310</v>
      </c>
      <c r="X11">
        <v>50</v>
      </c>
      <c r="Y11" s="332"/>
      <c r="Z11" s="332"/>
      <c r="AA11" s="332"/>
      <c r="AB11" s="332"/>
      <c r="AC11" s="332"/>
      <c r="AD11" s="332"/>
      <c r="AE11" s="332"/>
      <c r="AF11" s="332"/>
      <c r="AG11" s="332"/>
      <c r="AH11" s="332"/>
      <c r="AI11" s="332">
        <v>1</v>
      </c>
      <c r="AJ11" s="332">
        <v>0</v>
      </c>
      <c r="AK11" s="332">
        <v>1</v>
      </c>
    </row>
    <row r="12" spans="1:50">
      <c r="B12" t="s">
        <v>564</v>
      </c>
      <c r="C12" t="s">
        <v>267</v>
      </c>
      <c r="D12" s="326" t="s">
        <v>310</v>
      </c>
      <c r="E12">
        <v>3</v>
      </c>
      <c r="F12" s="325"/>
      <c r="G12" s="325"/>
      <c r="H12" s="325">
        <v>2680</v>
      </c>
      <c r="I12" s="325">
        <v>2680</v>
      </c>
      <c r="J12"/>
      <c r="U12" t="s">
        <v>529</v>
      </c>
      <c r="V12" t="s">
        <v>267</v>
      </c>
      <c r="W12" s="293" t="s">
        <v>271</v>
      </c>
      <c r="X12">
        <v>28</v>
      </c>
      <c r="Y12" s="330"/>
      <c r="Z12" s="330"/>
      <c r="AA12" s="330"/>
      <c r="AB12" s="330"/>
      <c r="AC12" s="330">
        <v>1</v>
      </c>
      <c r="AD12" s="330">
        <v>0</v>
      </c>
      <c r="AE12" s="330"/>
      <c r="AF12" s="330"/>
      <c r="AG12" s="330"/>
      <c r="AH12" s="330"/>
      <c r="AI12" s="330"/>
      <c r="AJ12" s="330"/>
      <c r="AK12" s="331">
        <v>1</v>
      </c>
    </row>
    <row r="13" spans="1:50">
      <c r="A13" t="s">
        <v>542</v>
      </c>
      <c r="D13"/>
      <c r="E13"/>
      <c r="F13" s="70"/>
      <c r="G13" s="70">
        <v>312796.55</v>
      </c>
      <c r="H13" s="70">
        <v>80929.570000000007</v>
      </c>
      <c r="I13" s="327">
        <v>393726.11999999994</v>
      </c>
      <c r="J13"/>
      <c r="U13" t="s">
        <v>536</v>
      </c>
      <c r="V13" t="s">
        <v>267</v>
      </c>
      <c r="W13" s="293" t="s">
        <v>271</v>
      </c>
      <c r="X13">
        <v>13</v>
      </c>
      <c r="Y13" s="330"/>
      <c r="Z13" s="330"/>
      <c r="AA13" s="330"/>
      <c r="AB13" s="330"/>
      <c r="AC13" s="330"/>
      <c r="AD13" s="330"/>
      <c r="AE13" s="330"/>
      <c r="AF13" s="330"/>
      <c r="AG13" s="330"/>
      <c r="AH13" s="330">
        <v>1</v>
      </c>
      <c r="AI13" s="330"/>
      <c r="AJ13" s="330"/>
      <c r="AK13" s="331">
        <v>1</v>
      </c>
    </row>
    <row r="14" spans="1:50">
      <c r="A14" t="s">
        <v>59</v>
      </c>
      <c r="B14" t="s">
        <v>520</v>
      </c>
      <c r="C14" t="s">
        <v>267</v>
      </c>
      <c r="D14" s="326" t="s">
        <v>310</v>
      </c>
      <c r="E14">
        <v>11</v>
      </c>
      <c r="F14" s="325">
        <v>127455</v>
      </c>
      <c r="G14" s="325"/>
      <c r="H14" s="325"/>
      <c r="I14" s="325">
        <v>127455</v>
      </c>
      <c r="J14"/>
      <c r="U14" t="s">
        <v>530</v>
      </c>
      <c r="V14" t="s">
        <v>267</v>
      </c>
      <c r="W14" s="293" t="s">
        <v>271</v>
      </c>
      <c r="X14">
        <v>48</v>
      </c>
      <c r="Y14" s="330"/>
      <c r="Z14" s="330"/>
      <c r="AA14" s="330">
        <v>1</v>
      </c>
      <c r="AB14" s="330"/>
      <c r="AC14" s="330">
        <v>0</v>
      </c>
      <c r="AD14" s="330"/>
      <c r="AE14" s="330"/>
      <c r="AF14" s="330"/>
      <c r="AG14" s="330"/>
      <c r="AH14" s="330"/>
      <c r="AI14" s="330"/>
      <c r="AJ14" s="330"/>
      <c r="AK14" s="331">
        <v>1</v>
      </c>
    </row>
    <row r="15" spans="1:50">
      <c r="B15" t="s">
        <v>550</v>
      </c>
      <c r="C15" t="s">
        <v>267</v>
      </c>
      <c r="D15" s="326" t="s">
        <v>310</v>
      </c>
      <c r="E15">
        <v>38</v>
      </c>
      <c r="F15" s="325"/>
      <c r="G15" s="325">
        <v>239023</v>
      </c>
      <c r="H15" s="325">
        <v>72450.760000000068</v>
      </c>
      <c r="I15" s="325">
        <v>311473.76000000007</v>
      </c>
      <c r="J15"/>
      <c r="U15" t="s">
        <v>537</v>
      </c>
      <c r="V15" t="s">
        <v>267</v>
      </c>
      <c r="W15" s="293" t="s">
        <v>271</v>
      </c>
      <c r="X15">
        <v>48</v>
      </c>
      <c r="Y15" s="330">
        <v>1</v>
      </c>
      <c r="Z15" s="330">
        <v>0</v>
      </c>
      <c r="AA15" s="330"/>
      <c r="AB15" s="330"/>
      <c r="AC15" s="330"/>
      <c r="AD15" s="330"/>
      <c r="AE15" s="330"/>
      <c r="AF15" s="330"/>
      <c r="AG15" s="330"/>
      <c r="AH15" s="330"/>
      <c r="AI15" s="330"/>
      <c r="AJ15" s="330"/>
      <c r="AK15" s="331">
        <v>1</v>
      </c>
    </row>
    <row r="16" spans="1:50">
      <c r="B16" t="s">
        <v>551</v>
      </c>
      <c r="C16" t="s">
        <v>267</v>
      </c>
      <c r="D16" s="326" t="s">
        <v>310</v>
      </c>
      <c r="E16">
        <v>1</v>
      </c>
      <c r="F16" s="325"/>
      <c r="G16" s="325"/>
      <c r="H16" s="325">
        <v>6068.79</v>
      </c>
      <c r="I16" s="325">
        <v>6068.79</v>
      </c>
      <c r="J16"/>
      <c r="U16" t="s">
        <v>538</v>
      </c>
      <c r="V16" t="s">
        <v>267</v>
      </c>
      <c r="W16" s="293" t="s">
        <v>271</v>
      </c>
      <c r="X16">
        <v>20</v>
      </c>
      <c r="Y16" s="330"/>
      <c r="Z16" s="330"/>
      <c r="AA16" s="330"/>
      <c r="AB16" s="330"/>
      <c r="AC16" s="330"/>
      <c r="AD16" s="330"/>
      <c r="AE16" s="330">
        <v>1</v>
      </c>
      <c r="AF16" s="330"/>
      <c r="AG16" s="330"/>
      <c r="AH16" s="330"/>
      <c r="AI16" s="330"/>
      <c r="AJ16" s="330"/>
      <c r="AK16" s="331">
        <v>1</v>
      </c>
    </row>
    <row r="17" spans="1:50">
      <c r="B17" t="s">
        <v>553</v>
      </c>
      <c r="C17" t="s">
        <v>267</v>
      </c>
      <c r="D17" s="326" t="s">
        <v>310</v>
      </c>
      <c r="E17">
        <v>1</v>
      </c>
      <c r="F17" s="325"/>
      <c r="G17" s="325">
        <v>5839.5599999999995</v>
      </c>
      <c r="H17" s="325"/>
      <c r="I17" s="325">
        <v>5839.5599999999995</v>
      </c>
      <c r="J17"/>
      <c r="U17" t="s">
        <v>540</v>
      </c>
      <c r="V17" t="s">
        <v>267</v>
      </c>
      <c r="W17" s="293" t="s">
        <v>271</v>
      </c>
      <c r="X17">
        <v>4</v>
      </c>
      <c r="Y17" s="330"/>
      <c r="Z17" s="330"/>
      <c r="AA17" s="330"/>
      <c r="AB17" s="330"/>
      <c r="AC17" s="330"/>
      <c r="AD17" s="330"/>
      <c r="AE17" s="330">
        <v>1</v>
      </c>
      <c r="AF17" s="330">
        <v>0</v>
      </c>
      <c r="AG17" s="330">
        <v>0</v>
      </c>
      <c r="AH17" s="330"/>
      <c r="AI17" s="330"/>
      <c r="AJ17" s="330"/>
      <c r="AK17" s="331">
        <v>1</v>
      </c>
    </row>
    <row r="18" spans="1:50">
      <c r="B18" t="s">
        <v>552</v>
      </c>
      <c r="C18" t="s">
        <v>267</v>
      </c>
      <c r="D18" s="326" t="s">
        <v>310</v>
      </c>
      <c r="E18">
        <v>1</v>
      </c>
      <c r="F18" s="325"/>
      <c r="G18" s="325">
        <v>3454</v>
      </c>
      <c r="H18" s="325"/>
      <c r="I18" s="325">
        <v>3454</v>
      </c>
      <c r="J18"/>
      <c r="U18" t="s">
        <v>559</v>
      </c>
      <c r="V18" t="s">
        <v>267</v>
      </c>
      <c r="W18" s="326" t="s">
        <v>310</v>
      </c>
      <c r="X18">
        <v>15</v>
      </c>
      <c r="Y18" s="332"/>
      <c r="Z18" s="332"/>
      <c r="AA18" s="332"/>
      <c r="AB18" s="332"/>
      <c r="AC18" s="332"/>
      <c r="AD18" s="332"/>
      <c r="AE18" s="332"/>
      <c r="AF18" s="332"/>
      <c r="AG18" s="332"/>
      <c r="AH18" s="332"/>
      <c r="AI18" s="332">
        <v>1</v>
      </c>
      <c r="AJ18" s="332"/>
      <c r="AK18" s="332">
        <v>1</v>
      </c>
    </row>
    <row r="19" spans="1:50">
      <c r="A19" t="s">
        <v>525</v>
      </c>
      <c r="D19"/>
      <c r="E19"/>
      <c r="F19" s="70">
        <v>127455</v>
      </c>
      <c r="G19" s="70">
        <v>248316.56</v>
      </c>
      <c r="H19" s="70">
        <v>78519.550000000061</v>
      </c>
      <c r="I19" s="327">
        <v>454291.11000000004</v>
      </c>
      <c r="J19"/>
      <c r="U19" t="s">
        <v>532</v>
      </c>
      <c r="V19" t="s">
        <v>267</v>
      </c>
      <c r="W19" s="293" t="s">
        <v>271</v>
      </c>
      <c r="X19">
        <v>7</v>
      </c>
      <c r="Y19" s="330">
        <v>1</v>
      </c>
      <c r="Z19" s="330"/>
      <c r="AA19" s="330"/>
      <c r="AB19" s="330"/>
      <c r="AC19" s="330"/>
      <c r="AD19" s="330"/>
      <c r="AE19" s="330"/>
      <c r="AF19" s="330"/>
      <c r="AG19" s="330"/>
      <c r="AH19" s="330"/>
      <c r="AI19" s="330"/>
      <c r="AJ19" s="330"/>
      <c r="AK19" s="331">
        <v>1</v>
      </c>
    </row>
    <row r="20" spans="1:50">
      <c r="A20" t="s">
        <v>506</v>
      </c>
      <c r="D20"/>
      <c r="E20"/>
      <c r="F20" s="70">
        <v>127455</v>
      </c>
      <c r="G20" s="70">
        <v>561113.1100000001</v>
      </c>
      <c r="H20" s="70">
        <v>159449.12000000008</v>
      </c>
      <c r="I20" s="324">
        <v>848017.2300000001</v>
      </c>
      <c r="J20"/>
      <c r="U20" t="s">
        <v>533</v>
      </c>
      <c r="V20" t="s">
        <v>267</v>
      </c>
      <c r="W20" s="293" t="s">
        <v>271</v>
      </c>
      <c r="X20">
        <v>2</v>
      </c>
      <c r="Y20" s="330"/>
      <c r="Z20" s="330"/>
      <c r="AA20" s="330"/>
      <c r="AB20" s="330"/>
      <c r="AC20" s="330"/>
      <c r="AD20" s="330"/>
      <c r="AE20" s="330"/>
      <c r="AF20" s="330"/>
      <c r="AG20" s="330"/>
      <c r="AH20" s="330">
        <v>1</v>
      </c>
      <c r="AI20" s="330"/>
      <c r="AJ20" s="330"/>
      <c r="AK20" s="331">
        <v>1</v>
      </c>
    </row>
    <row r="21" spans="1:50">
      <c r="D21"/>
      <c r="E21"/>
      <c r="G21"/>
      <c r="H21"/>
      <c r="I21"/>
      <c r="J21"/>
      <c r="U21" t="s">
        <v>539</v>
      </c>
      <c r="V21" t="s">
        <v>267</v>
      </c>
      <c r="W21" s="293" t="s">
        <v>271</v>
      </c>
      <c r="X21">
        <v>32</v>
      </c>
      <c r="Y21" s="330"/>
      <c r="Z21" s="330"/>
      <c r="AA21" s="330"/>
      <c r="AB21" s="330"/>
      <c r="AC21" s="330"/>
      <c r="AD21" s="330"/>
      <c r="AE21" s="330"/>
      <c r="AF21" s="330">
        <v>1</v>
      </c>
      <c r="AG21" s="330">
        <v>0</v>
      </c>
      <c r="AH21" s="330"/>
      <c r="AI21" s="330"/>
      <c r="AJ21" s="330"/>
      <c r="AK21" s="331">
        <v>1</v>
      </c>
    </row>
    <row r="22" spans="1:50">
      <c r="D22"/>
      <c r="E22"/>
      <c r="G22"/>
      <c r="H22"/>
      <c r="I22"/>
      <c r="J22"/>
      <c r="U22" t="s">
        <v>560</v>
      </c>
      <c r="V22" t="s">
        <v>267</v>
      </c>
      <c r="W22" s="326" t="s">
        <v>310</v>
      </c>
      <c r="X22">
        <v>5</v>
      </c>
      <c r="Y22" s="332"/>
      <c r="Z22" s="332"/>
      <c r="AA22" s="332"/>
      <c r="AB22" s="332"/>
      <c r="AC22" s="332"/>
      <c r="AD22" s="332"/>
      <c r="AE22" s="332"/>
      <c r="AF22" s="332"/>
      <c r="AG22" s="332"/>
      <c r="AH22" s="332"/>
      <c r="AI22" s="332">
        <v>1</v>
      </c>
      <c r="AJ22" s="332"/>
      <c r="AK22" s="332">
        <v>1</v>
      </c>
    </row>
    <row r="23" spans="1:50">
      <c r="D23"/>
      <c r="E23"/>
      <c r="G23"/>
      <c r="H23"/>
      <c r="I23"/>
      <c r="J23"/>
      <c r="U23" t="s">
        <v>541</v>
      </c>
      <c r="V23" t="s">
        <v>267</v>
      </c>
      <c r="W23" s="293" t="s">
        <v>271</v>
      </c>
      <c r="X23">
        <v>12</v>
      </c>
      <c r="Y23" s="330"/>
      <c r="Z23" s="330"/>
      <c r="AA23" s="330"/>
      <c r="AB23" s="330"/>
      <c r="AC23" s="330"/>
      <c r="AD23" s="330"/>
      <c r="AE23" s="330"/>
      <c r="AF23" s="330">
        <v>1</v>
      </c>
      <c r="AG23" s="330"/>
      <c r="AH23" s="330"/>
      <c r="AI23" s="330"/>
      <c r="AJ23" s="330"/>
      <c r="AK23" s="331">
        <v>1</v>
      </c>
    </row>
    <row r="24" spans="1:50" s="122" customFormat="1">
      <c r="A24"/>
      <c r="B24"/>
      <c r="C24"/>
      <c r="D24"/>
      <c r="E24"/>
      <c r="F24"/>
      <c r="G24"/>
      <c r="H24"/>
      <c r="I24"/>
      <c r="J24"/>
      <c r="K24"/>
      <c r="L24"/>
      <c r="M24"/>
      <c r="N24"/>
      <c r="O24"/>
      <c r="P24"/>
      <c r="Q24"/>
      <c r="R24"/>
      <c r="S24"/>
      <c r="T24"/>
      <c r="U24" t="s">
        <v>562</v>
      </c>
      <c r="V24" t="s">
        <v>267</v>
      </c>
      <c r="W24" s="326" t="s">
        <v>310</v>
      </c>
      <c r="X24">
        <v>24</v>
      </c>
      <c r="Y24" s="332"/>
      <c r="Z24" s="332"/>
      <c r="AA24" s="332"/>
      <c r="AB24" s="332"/>
      <c r="AC24" s="332"/>
      <c r="AD24" s="332"/>
      <c r="AE24" s="332"/>
      <c r="AF24" s="332"/>
      <c r="AG24" s="332"/>
      <c r="AH24" s="332"/>
      <c r="AI24" s="332">
        <v>1</v>
      </c>
      <c r="AJ24" s="332"/>
      <c r="AK24" s="332">
        <v>1</v>
      </c>
      <c r="AL24"/>
      <c r="AM24"/>
      <c r="AN24"/>
      <c r="AO24"/>
      <c r="AP24"/>
      <c r="AQ24"/>
      <c r="AR24"/>
      <c r="AS24"/>
      <c r="AT24"/>
      <c r="AU24"/>
      <c r="AV24"/>
      <c r="AW24"/>
      <c r="AX24"/>
    </row>
    <row r="25" spans="1:50">
      <c r="D25"/>
      <c r="E25"/>
      <c r="G25"/>
      <c r="H25"/>
      <c r="I25"/>
      <c r="J25"/>
      <c r="U25" t="s">
        <v>555</v>
      </c>
      <c r="V25" t="s">
        <v>267</v>
      </c>
      <c r="W25" s="326" t="s">
        <v>310</v>
      </c>
      <c r="X25">
        <v>7</v>
      </c>
      <c r="Y25" s="332"/>
      <c r="Z25" s="332"/>
      <c r="AA25" s="332"/>
      <c r="AB25" s="332"/>
      <c r="AC25" s="332"/>
      <c r="AD25" s="332"/>
      <c r="AE25" s="332"/>
      <c r="AF25" s="332"/>
      <c r="AG25" s="332"/>
      <c r="AH25" s="332"/>
      <c r="AI25" s="332"/>
      <c r="AJ25" s="332">
        <v>1</v>
      </c>
      <c r="AK25" s="332">
        <v>1</v>
      </c>
    </row>
    <row r="26" spans="1:50">
      <c r="D26"/>
      <c r="E26"/>
      <c r="G26"/>
      <c r="H26"/>
      <c r="I26"/>
      <c r="J26"/>
      <c r="U26" t="s">
        <v>556</v>
      </c>
      <c r="V26" t="s">
        <v>267</v>
      </c>
      <c r="W26" s="326" t="s">
        <v>310</v>
      </c>
      <c r="X26">
        <v>2</v>
      </c>
      <c r="Y26" s="332"/>
      <c r="Z26" s="332"/>
      <c r="AA26" s="332"/>
      <c r="AB26" s="332"/>
      <c r="AC26" s="332"/>
      <c r="AD26" s="332"/>
      <c r="AE26" s="332"/>
      <c r="AF26" s="332"/>
      <c r="AG26" s="332"/>
      <c r="AH26" s="332"/>
      <c r="AI26" s="332">
        <v>1</v>
      </c>
      <c r="AJ26" s="332"/>
      <c r="AK26" s="332">
        <v>1</v>
      </c>
    </row>
    <row r="27" spans="1:50">
      <c r="D27"/>
      <c r="E27"/>
      <c r="G27"/>
      <c r="H27"/>
      <c r="I27"/>
      <c r="J27"/>
      <c r="U27" t="s">
        <v>557</v>
      </c>
      <c r="V27" t="s">
        <v>267</v>
      </c>
      <c r="W27" s="326" t="s">
        <v>310</v>
      </c>
      <c r="X27">
        <v>5</v>
      </c>
      <c r="Y27" s="332"/>
      <c r="Z27" s="332"/>
      <c r="AA27" s="332"/>
      <c r="AB27" s="332"/>
      <c r="AC27" s="332"/>
      <c r="AD27" s="332"/>
      <c r="AE27" s="332"/>
      <c r="AF27" s="332"/>
      <c r="AG27" s="332"/>
      <c r="AH27" s="332"/>
      <c r="AI27" s="332">
        <v>1</v>
      </c>
      <c r="AJ27" s="332"/>
      <c r="AK27" s="332">
        <v>1</v>
      </c>
    </row>
    <row r="28" spans="1:50">
      <c r="D28"/>
      <c r="E28"/>
      <c r="G28"/>
      <c r="H28"/>
      <c r="I28"/>
      <c r="J28"/>
      <c r="U28" t="s">
        <v>558</v>
      </c>
      <c r="V28" t="s">
        <v>267</v>
      </c>
      <c r="W28" s="326" t="s">
        <v>310</v>
      </c>
      <c r="X28">
        <v>1</v>
      </c>
      <c r="Y28" s="332"/>
      <c r="Z28" s="332"/>
      <c r="AA28" s="332"/>
      <c r="AB28" s="332"/>
      <c r="AC28" s="332"/>
      <c r="AD28" s="332"/>
      <c r="AE28" s="332"/>
      <c r="AF28" s="332"/>
      <c r="AG28" s="332"/>
      <c r="AH28" s="332"/>
      <c r="AI28" s="332"/>
      <c r="AJ28" s="332">
        <v>1</v>
      </c>
      <c r="AK28" s="332">
        <v>1</v>
      </c>
    </row>
    <row r="29" spans="1:50">
      <c r="D29"/>
      <c r="E29"/>
      <c r="G29"/>
      <c r="H29"/>
      <c r="I29"/>
      <c r="J29"/>
      <c r="U29" t="s">
        <v>564</v>
      </c>
      <c r="V29" t="s">
        <v>267</v>
      </c>
      <c r="W29" s="326" t="s">
        <v>310</v>
      </c>
      <c r="X29">
        <v>3</v>
      </c>
      <c r="Y29" s="332"/>
      <c r="Z29" s="332"/>
      <c r="AA29" s="332"/>
      <c r="AB29" s="332"/>
      <c r="AC29" s="332"/>
      <c r="AD29" s="332"/>
      <c r="AE29" s="332"/>
      <c r="AF29" s="332"/>
      <c r="AG29" s="332"/>
      <c r="AH29" s="332"/>
      <c r="AI29" s="332"/>
      <c r="AJ29" s="332">
        <v>1</v>
      </c>
      <c r="AK29" s="332">
        <v>1</v>
      </c>
    </row>
    <row r="30" spans="1:50">
      <c r="D30"/>
      <c r="E30"/>
      <c r="G30"/>
      <c r="H30"/>
      <c r="I30"/>
      <c r="J30"/>
      <c r="T30" t="s">
        <v>542</v>
      </c>
      <c r="W30"/>
      <c r="X30"/>
      <c r="Y30" s="328">
        <v>3</v>
      </c>
      <c r="Z30" s="328">
        <v>0</v>
      </c>
      <c r="AA30" s="328">
        <v>2</v>
      </c>
      <c r="AB30" s="328">
        <v>3</v>
      </c>
      <c r="AC30" s="328">
        <v>1</v>
      </c>
      <c r="AD30" s="328">
        <v>0</v>
      </c>
      <c r="AE30" s="328">
        <v>2</v>
      </c>
      <c r="AF30" s="328">
        <v>3</v>
      </c>
      <c r="AG30" s="328">
        <v>0</v>
      </c>
      <c r="AH30" s="328">
        <v>3</v>
      </c>
      <c r="AI30" s="328">
        <v>6</v>
      </c>
      <c r="AJ30" s="328">
        <v>3</v>
      </c>
      <c r="AK30" s="333">
        <v>26</v>
      </c>
    </row>
    <row r="31" spans="1:50">
      <c r="D31"/>
      <c r="E31"/>
      <c r="G31"/>
      <c r="H31"/>
      <c r="I31"/>
      <c r="J31"/>
      <c r="T31" t="s">
        <v>59</v>
      </c>
      <c r="U31" t="s">
        <v>515</v>
      </c>
      <c r="V31" t="s">
        <v>267</v>
      </c>
      <c r="W31" s="293" t="s">
        <v>271</v>
      </c>
      <c r="X31">
        <v>26</v>
      </c>
      <c r="Y31" s="330"/>
      <c r="Z31" s="330"/>
      <c r="AA31" s="330"/>
      <c r="AB31" s="330"/>
      <c r="AC31" s="330"/>
      <c r="AD31" s="330">
        <v>1</v>
      </c>
      <c r="AE31" s="330">
        <v>0</v>
      </c>
      <c r="AF31" s="330">
        <v>0</v>
      </c>
      <c r="AG31" s="330"/>
      <c r="AH31" s="330"/>
      <c r="AI31" s="330"/>
      <c r="AJ31" s="330"/>
      <c r="AK31" s="331">
        <v>1</v>
      </c>
    </row>
    <row r="32" spans="1:50">
      <c r="D32"/>
      <c r="E32"/>
      <c r="G32"/>
      <c r="H32"/>
      <c r="I32"/>
      <c r="J32"/>
      <c r="U32" t="s">
        <v>508</v>
      </c>
      <c r="V32" t="s">
        <v>267</v>
      </c>
      <c r="W32" s="293" t="s">
        <v>271</v>
      </c>
      <c r="X32">
        <v>1</v>
      </c>
      <c r="Y32" s="330"/>
      <c r="Z32" s="330"/>
      <c r="AA32" s="330"/>
      <c r="AB32" s="330"/>
      <c r="AC32" s="330"/>
      <c r="AD32" s="330"/>
      <c r="AE32" s="330">
        <v>1</v>
      </c>
      <c r="AF32" s="330"/>
      <c r="AG32" s="330"/>
      <c r="AH32" s="330"/>
      <c r="AI32" s="330"/>
      <c r="AJ32" s="330"/>
      <c r="AK32" s="331">
        <v>1</v>
      </c>
    </row>
    <row r="33" spans="4:37">
      <c r="D33"/>
      <c r="E33"/>
      <c r="G33"/>
      <c r="H33"/>
      <c r="I33"/>
      <c r="J33"/>
      <c r="U33" t="s">
        <v>509</v>
      </c>
      <c r="V33" t="s">
        <v>267</v>
      </c>
      <c r="W33" s="293" t="s">
        <v>271</v>
      </c>
      <c r="X33">
        <v>26</v>
      </c>
      <c r="Y33" s="330">
        <v>0</v>
      </c>
      <c r="Z33" s="330"/>
      <c r="AA33" s="330"/>
      <c r="AB33" s="330">
        <v>1</v>
      </c>
      <c r="AC33" s="330"/>
      <c r="AD33" s="330"/>
      <c r="AE33" s="330"/>
      <c r="AF33" s="330"/>
      <c r="AG33" s="330"/>
      <c r="AH33" s="330"/>
      <c r="AI33" s="330"/>
      <c r="AJ33" s="330"/>
      <c r="AK33" s="331">
        <v>1</v>
      </c>
    </row>
    <row r="34" spans="4:37">
      <c r="D34"/>
      <c r="E34"/>
      <c r="G34"/>
      <c r="H34"/>
      <c r="I34"/>
      <c r="J34"/>
      <c r="U34" t="s">
        <v>511</v>
      </c>
      <c r="V34" t="s">
        <v>267</v>
      </c>
      <c r="W34" s="293" t="s">
        <v>271</v>
      </c>
      <c r="X34">
        <v>50</v>
      </c>
      <c r="Y34" s="330"/>
      <c r="Z34" s="330"/>
      <c r="AA34" s="330"/>
      <c r="AB34" s="330"/>
      <c r="AC34" s="330"/>
      <c r="AD34" s="330"/>
      <c r="AE34" s="330">
        <v>1</v>
      </c>
      <c r="AF34" s="330">
        <v>0</v>
      </c>
      <c r="AG34" s="330">
        <v>0</v>
      </c>
      <c r="AH34" s="330"/>
      <c r="AI34" s="330"/>
      <c r="AJ34" s="330"/>
      <c r="AK34" s="331">
        <v>1</v>
      </c>
    </row>
    <row r="35" spans="4:37">
      <c r="D35"/>
      <c r="E35"/>
      <c r="G35"/>
      <c r="H35"/>
      <c r="I35"/>
      <c r="J35"/>
      <c r="U35" t="s">
        <v>507</v>
      </c>
      <c r="V35" t="s">
        <v>267</v>
      </c>
      <c r="W35" s="293" t="s">
        <v>271</v>
      </c>
      <c r="X35">
        <v>18</v>
      </c>
      <c r="Y35" s="330"/>
      <c r="Z35" s="330"/>
      <c r="AA35" s="330"/>
      <c r="AB35" s="330"/>
      <c r="AC35" s="330"/>
      <c r="AD35" s="330"/>
      <c r="AE35" s="330">
        <v>1</v>
      </c>
      <c r="AF35" s="330">
        <v>0</v>
      </c>
      <c r="AG35" s="330"/>
      <c r="AH35" s="330"/>
      <c r="AI35" s="330"/>
      <c r="AJ35" s="330"/>
      <c r="AK35" s="331">
        <v>1</v>
      </c>
    </row>
    <row r="36" spans="4:37">
      <c r="D36"/>
      <c r="E36"/>
      <c r="G36"/>
      <c r="H36"/>
      <c r="I36"/>
      <c r="J36"/>
      <c r="U36" t="s">
        <v>523</v>
      </c>
      <c r="V36" t="s">
        <v>267</v>
      </c>
      <c r="W36" s="293" t="s">
        <v>271</v>
      </c>
      <c r="X36">
        <v>12</v>
      </c>
      <c r="Y36" s="330"/>
      <c r="Z36" s="330"/>
      <c r="AA36" s="330"/>
      <c r="AB36" s="330"/>
      <c r="AC36" s="330"/>
      <c r="AD36" s="330"/>
      <c r="AE36" s="330"/>
      <c r="AF36" s="330">
        <v>1</v>
      </c>
      <c r="AG36" s="330"/>
      <c r="AH36" s="330"/>
      <c r="AI36" s="330"/>
      <c r="AJ36" s="330"/>
      <c r="AK36" s="331">
        <v>1</v>
      </c>
    </row>
    <row r="37" spans="4:37">
      <c r="D37"/>
      <c r="E37"/>
      <c r="G37"/>
      <c r="H37"/>
      <c r="I37"/>
      <c r="J37"/>
      <c r="U37" t="s">
        <v>522</v>
      </c>
      <c r="V37" t="s">
        <v>267</v>
      </c>
      <c r="W37" s="293" t="s">
        <v>271</v>
      </c>
      <c r="X37">
        <v>1</v>
      </c>
      <c r="Y37" s="330"/>
      <c r="Z37" s="330"/>
      <c r="AA37" s="330">
        <v>1</v>
      </c>
      <c r="AB37" s="330"/>
      <c r="AC37" s="330"/>
      <c r="AD37" s="330"/>
      <c r="AE37" s="330"/>
      <c r="AF37" s="330"/>
      <c r="AG37" s="330"/>
      <c r="AH37" s="330"/>
      <c r="AI37" s="330"/>
      <c r="AJ37" s="330"/>
      <c r="AK37" s="331">
        <v>1</v>
      </c>
    </row>
    <row r="38" spans="4:37">
      <c r="D38"/>
      <c r="E38"/>
      <c r="G38"/>
      <c r="H38"/>
      <c r="I38"/>
      <c r="J38"/>
      <c r="U38" t="s">
        <v>510</v>
      </c>
      <c r="V38" t="s">
        <v>267</v>
      </c>
      <c r="W38" s="293" t="s">
        <v>271</v>
      </c>
      <c r="X38">
        <v>9</v>
      </c>
      <c r="Y38" s="330"/>
      <c r="Z38" s="330"/>
      <c r="AA38" s="330"/>
      <c r="AB38" s="330">
        <v>1</v>
      </c>
      <c r="AC38" s="330"/>
      <c r="AD38" s="330"/>
      <c r="AE38" s="330"/>
      <c r="AF38" s="330"/>
      <c r="AG38" s="330"/>
      <c r="AH38" s="330"/>
      <c r="AI38" s="330"/>
      <c r="AJ38" s="330"/>
      <c r="AK38" s="331">
        <v>1</v>
      </c>
    </row>
    <row r="39" spans="4:37">
      <c r="D39"/>
      <c r="E39"/>
      <c r="G39"/>
      <c r="H39"/>
      <c r="I39"/>
      <c r="J39"/>
      <c r="U39" t="s">
        <v>520</v>
      </c>
      <c r="V39" t="s">
        <v>267</v>
      </c>
      <c r="W39" s="293" t="s">
        <v>271</v>
      </c>
      <c r="X39">
        <v>11</v>
      </c>
      <c r="Y39" s="330"/>
      <c r="Z39" s="330"/>
      <c r="AA39" s="330"/>
      <c r="AB39" s="330"/>
      <c r="AC39" s="330"/>
      <c r="AD39" s="330"/>
      <c r="AE39" s="330"/>
      <c r="AF39" s="330"/>
      <c r="AG39" s="330">
        <v>1</v>
      </c>
      <c r="AH39" s="330"/>
      <c r="AI39" s="330"/>
      <c r="AJ39" s="330"/>
      <c r="AK39" s="331">
        <v>1</v>
      </c>
    </row>
    <row r="40" spans="4:37">
      <c r="D40"/>
      <c r="E40"/>
      <c r="G40"/>
      <c r="H40"/>
      <c r="I40"/>
      <c r="J40"/>
      <c r="W40" s="326" t="s">
        <v>310</v>
      </c>
      <c r="X40">
        <v>11</v>
      </c>
      <c r="Y40" s="332"/>
      <c r="Z40" s="332"/>
      <c r="AA40" s="332"/>
      <c r="AB40" s="332"/>
      <c r="AC40" s="332"/>
      <c r="AD40" s="332"/>
      <c r="AE40" s="332"/>
      <c r="AF40" s="332"/>
      <c r="AG40" s="332"/>
      <c r="AH40" s="332">
        <v>0</v>
      </c>
      <c r="AI40" s="332"/>
      <c r="AJ40" s="332"/>
      <c r="AK40" s="332">
        <v>0</v>
      </c>
    </row>
    <row r="41" spans="4:37">
      <c r="D41"/>
      <c r="E41"/>
      <c r="G41"/>
      <c r="H41"/>
      <c r="I41"/>
      <c r="J41"/>
      <c r="U41" t="s">
        <v>517</v>
      </c>
      <c r="V41" t="s">
        <v>267</v>
      </c>
      <c r="W41" s="293" t="s">
        <v>271</v>
      </c>
      <c r="X41">
        <v>1</v>
      </c>
      <c r="Y41" s="330"/>
      <c r="Z41" s="330"/>
      <c r="AA41" s="330"/>
      <c r="AB41" s="330"/>
      <c r="AC41" s="330"/>
      <c r="AD41" s="330">
        <v>1</v>
      </c>
      <c r="AE41" s="330"/>
      <c r="AF41" s="330"/>
      <c r="AG41" s="330"/>
      <c r="AH41" s="330"/>
      <c r="AI41" s="330"/>
      <c r="AJ41" s="330"/>
      <c r="AK41" s="331">
        <v>1</v>
      </c>
    </row>
    <row r="42" spans="4:37">
      <c r="D42"/>
      <c r="E42"/>
      <c r="G42"/>
      <c r="H42"/>
      <c r="I42"/>
      <c r="J42"/>
      <c r="U42" t="s">
        <v>550</v>
      </c>
      <c r="V42" t="s">
        <v>267</v>
      </c>
      <c r="W42" s="326" t="s">
        <v>310</v>
      </c>
      <c r="X42">
        <v>38</v>
      </c>
      <c r="Y42" s="332"/>
      <c r="Z42" s="332"/>
      <c r="AA42" s="332"/>
      <c r="AB42" s="332"/>
      <c r="AC42" s="332"/>
      <c r="AD42" s="332"/>
      <c r="AE42" s="332"/>
      <c r="AF42" s="332"/>
      <c r="AG42" s="332"/>
      <c r="AH42" s="332"/>
      <c r="AI42" s="332">
        <v>1</v>
      </c>
      <c r="AJ42" s="332">
        <v>0</v>
      </c>
      <c r="AK42" s="332">
        <v>1</v>
      </c>
    </row>
    <row r="43" spans="4:37">
      <c r="D43"/>
      <c r="E43"/>
      <c r="G43"/>
      <c r="H43"/>
      <c r="I43"/>
      <c r="J43"/>
      <c r="U43" t="s">
        <v>519</v>
      </c>
      <c r="V43" t="s">
        <v>267</v>
      </c>
      <c r="W43" s="293" t="s">
        <v>271</v>
      </c>
      <c r="X43">
        <v>1</v>
      </c>
      <c r="Y43" s="330"/>
      <c r="Z43" s="330"/>
      <c r="AA43" s="330"/>
      <c r="AB43" s="330">
        <v>1</v>
      </c>
      <c r="AC43" s="330"/>
      <c r="AD43" s="330"/>
      <c r="AE43" s="330"/>
      <c r="AF43" s="330"/>
      <c r="AG43" s="330"/>
      <c r="AH43" s="330"/>
      <c r="AI43" s="330"/>
      <c r="AJ43" s="330"/>
      <c r="AK43" s="331">
        <v>1</v>
      </c>
    </row>
    <row r="44" spans="4:37">
      <c r="D44"/>
      <c r="E44"/>
      <c r="G44"/>
      <c r="H44"/>
      <c r="I44"/>
      <c r="J44"/>
      <c r="U44" t="s">
        <v>524</v>
      </c>
      <c r="V44" t="s">
        <v>267</v>
      </c>
      <c r="W44" s="293" t="s">
        <v>271</v>
      </c>
      <c r="X44">
        <v>18</v>
      </c>
      <c r="Y44" s="330"/>
      <c r="Z44" s="330"/>
      <c r="AA44" s="330"/>
      <c r="AB44" s="330"/>
      <c r="AC44" s="330"/>
      <c r="AD44" s="330"/>
      <c r="AE44" s="330"/>
      <c r="AF44" s="330"/>
      <c r="AG44" s="330">
        <v>1</v>
      </c>
      <c r="AH44" s="330"/>
      <c r="AI44" s="330"/>
      <c r="AJ44" s="330"/>
      <c r="AK44" s="331">
        <v>1</v>
      </c>
    </row>
    <row r="45" spans="4:37">
      <c r="D45"/>
      <c r="E45"/>
      <c r="G45"/>
      <c r="H45"/>
      <c r="I45"/>
      <c r="J45"/>
      <c r="U45" t="s">
        <v>518</v>
      </c>
      <c r="V45" t="s">
        <v>267</v>
      </c>
      <c r="W45" s="293" t="s">
        <v>271</v>
      </c>
      <c r="X45">
        <v>1</v>
      </c>
      <c r="Y45" s="330"/>
      <c r="Z45" s="330"/>
      <c r="AA45" s="330"/>
      <c r="AB45" s="330"/>
      <c r="AC45" s="330"/>
      <c r="AD45" s="330"/>
      <c r="AE45" s="330"/>
      <c r="AF45" s="330">
        <v>1</v>
      </c>
      <c r="AG45" s="330"/>
      <c r="AH45" s="330"/>
      <c r="AI45" s="330"/>
      <c r="AJ45" s="330"/>
      <c r="AK45" s="331">
        <v>1</v>
      </c>
    </row>
    <row r="46" spans="4:37">
      <c r="D46"/>
      <c r="E46"/>
      <c r="G46"/>
      <c r="H46"/>
      <c r="I46"/>
      <c r="J46"/>
      <c r="U46" t="s">
        <v>521</v>
      </c>
      <c r="V46" t="s">
        <v>267</v>
      </c>
      <c r="W46" s="293" t="s">
        <v>271</v>
      </c>
      <c r="X46">
        <v>2</v>
      </c>
      <c r="Y46" s="330">
        <v>1</v>
      </c>
      <c r="Z46" s="330"/>
      <c r="AA46" s="330"/>
      <c r="AB46" s="330"/>
      <c r="AC46" s="330"/>
      <c r="AD46" s="330"/>
      <c r="AE46" s="330"/>
      <c r="AF46" s="330"/>
      <c r="AG46" s="330"/>
      <c r="AH46" s="330"/>
      <c r="AI46" s="330"/>
      <c r="AJ46" s="330"/>
      <c r="AK46" s="331">
        <v>1</v>
      </c>
    </row>
    <row r="47" spans="4:37">
      <c r="D47"/>
      <c r="E47"/>
      <c r="G47"/>
      <c r="H47"/>
      <c r="I47"/>
      <c r="J47"/>
      <c r="U47" t="s">
        <v>512</v>
      </c>
      <c r="V47" t="s">
        <v>267</v>
      </c>
      <c r="W47" s="293" t="s">
        <v>271</v>
      </c>
      <c r="X47">
        <v>1</v>
      </c>
      <c r="Y47" s="330"/>
      <c r="Z47" s="330"/>
      <c r="AA47" s="330"/>
      <c r="AB47" s="330"/>
      <c r="AC47" s="330"/>
      <c r="AD47" s="330"/>
      <c r="AE47" s="330"/>
      <c r="AF47" s="330"/>
      <c r="AG47" s="330">
        <v>1</v>
      </c>
      <c r="AH47" s="330"/>
      <c r="AI47" s="330"/>
      <c r="AJ47" s="330"/>
      <c r="AK47" s="331">
        <v>1</v>
      </c>
    </row>
    <row r="48" spans="4:37">
      <c r="D48"/>
      <c r="E48"/>
      <c r="G48"/>
      <c r="H48"/>
      <c r="I48"/>
      <c r="J48"/>
      <c r="U48" t="s">
        <v>513</v>
      </c>
      <c r="V48" t="s">
        <v>267</v>
      </c>
      <c r="W48" s="293" t="s">
        <v>271</v>
      </c>
      <c r="X48">
        <v>1</v>
      </c>
      <c r="Y48" s="330"/>
      <c r="Z48" s="330"/>
      <c r="AA48" s="330"/>
      <c r="AB48" s="330"/>
      <c r="AC48" s="330"/>
      <c r="AD48" s="330"/>
      <c r="AE48" s="330">
        <v>1</v>
      </c>
      <c r="AF48" s="330"/>
      <c r="AG48" s="330"/>
      <c r="AH48" s="330"/>
      <c r="AI48" s="330"/>
      <c r="AJ48" s="330"/>
      <c r="AK48" s="331">
        <v>1</v>
      </c>
    </row>
    <row r="49" spans="1:50">
      <c r="D49"/>
      <c r="E49"/>
      <c r="G49"/>
      <c r="H49"/>
      <c r="I49"/>
      <c r="J49"/>
      <c r="U49" t="s">
        <v>514</v>
      </c>
      <c r="V49" t="s">
        <v>267</v>
      </c>
      <c r="W49" s="293" t="s">
        <v>271</v>
      </c>
      <c r="X49">
        <v>1</v>
      </c>
      <c r="Y49" s="330"/>
      <c r="Z49" s="330"/>
      <c r="AA49" s="330"/>
      <c r="AB49" s="330"/>
      <c r="AC49" s="330"/>
      <c r="AD49" s="330"/>
      <c r="AE49" s="330">
        <v>1</v>
      </c>
      <c r="AF49" s="330"/>
      <c r="AG49" s="330"/>
      <c r="AH49" s="330"/>
      <c r="AI49" s="330"/>
      <c r="AJ49" s="330"/>
      <c r="AK49" s="331">
        <v>1</v>
      </c>
    </row>
    <row r="50" spans="1:50">
      <c r="D50"/>
      <c r="E50"/>
      <c r="G50"/>
      <c r="H50"/>
      <c r="I50"/>
      <c r="J50"/>
      <c r="U50" t="s">
        <v>551</v>
      </c>
      <c r="V50" t="s">
        <v>267</v>
      </c>
      <c r="W50" s="326" t="s">
        <v>310</v>
      </c>
      <c r="X50">
        <v>1</v>
      </c>
      <c r="Y50" s="332"/>
      <c r="Z50" s="332"/>
      <c r="AA50" s="332"/>
      <c r="AB50" s="332"/>
      <c r="AC50" s="332"/>
      <c r="AD50" s="332"/>
      <c r="AE50" s="332"/>
      <c r="AF50" s="332"/>
      <c r="AG50" s="332"/>
      <c r="AH50" s="332"/>
      <c r="AI50" s="332"/>
      <c r="AJ50" s="332">
        <v>1</v>
      </c>
      <c r="AK50" s="332">
        <v>1</v>
      </c>
    </row>
    <row r="51" spans="1:50">
      <c r="D51"/>
      <c r="E51"/>
      <c r="G51"/>
      <c r="H51"/>
      <c r="I51"/>
      <c r="J51"/>
      <c r="U51" t="s">
        <v>516</v>
      </c>
      <c r="V51" t="s">
        <v>267</v>
      </c>
      <c r="W51" s="293" t="s">
        <v>271</v>
      </c>
      <c r="X51">
        <v>26</v>
      </c>
      <c r="Y51" s="330"/>
      <c r="Z51" s="330"/>
      <c r="AA51" s="330"/>
      <c r="AB51" s="330"/>
      <c r="AC51" s="330">
        <v>1</v>
      </c>
      <c r="AD51" s="330"/>
      <c r="AE51" s="330"/>
      <c r="AF51" s="330"/>
      <c r="AG51" s="330"/>
      <c r="AH51" s="330"/>
      <c r="AI51" s="330"/>
      <c r="AJ51" s="330"/>
      <c r="AK51" s="331">
        <v>1</v>
      </c>
    </row>
    <row r="52" spans="1:50" s="113" customFormat="1">
      <c r="A52"/>
      <c r="B52"/>
      <c r="C52"/>
      <c r="D52"/>
      <c r="E52"/>
      <c r="F52"/>
      <c r="G52"/>
      <c r="H52"/>
      <c r="I52"/>
      <c r="J52"/>
      <c r="K52"/>
      <c r="L52"/>
      <c r="M52"/>
      <c r="N52"/>
      <c r="O52"/>
      <c r="P52"/>
      <c r="Q52"/>
      <c r="R52"/>
      <c r="S52"/>
      <c r="T52"/>
      <c r="U52" t="s">
        <v>553</v>
      </c>
      <c r="V52" t="s">
        <v>267</v>
      </c>
      <c r="W52" s="326" t="s">
        <v>310</v>
      </c>
      <c r="X52">
        <v>1</v>
      </c>
      <c r="Y52" s="332"/>
      <c r="Z52" s="332"/>
      <c r="AA52" s="332"/>
      <c r="AB52" s="332"/>
      <c r="AC52" s="332"/>
      <c r="AD52" s="332"/>
      <c r="AE52" s="332"/>
      <c r="AF52" s="332"/>
      <c r="AG52" s="332"/>
      <c r="AH52" s="332"/>
      <c r="AI52" s="332">
        <v>1</v>
      </c>
      <c r="AJ52" s="332"/>
      <c r="AK52" s="332">
        <v>1</v>
      </c>
      <c r="AL52"/>
      <c r="AM52"/>
      <c r="AN52"/>
      <c r="AO52"/>
      <c r="AP52"/>
      <c r="AQ52"/>
      <c r="AR52"/>
      <c r="AS52"/>
      <c r="AT52"/>
      <c r="AU52"/>
      <c r="AV52"/>
      <c r="AW52"/>
      <c r="AX52"/>
    </row>
    <row r="53" spans="1:50">
      <c r="D53"/>
      <c r="E53"/>
      <c r="G53"/>
      <c r="H53"/>
      <c r="I53"/>
      <c r="J53"/>
      <c r="U53" t="s">
        <v>552</v>
      </c>
      <c r="V53" t="s">
        <v>267</v>
      </c>
      <c r="W53" s="326" t="s">
        <v>310</v>
      </c>
      <c r="X53">
        <v>1</v>
      </c>
      <c r="Y53" s="332"/>
      <c r="Z53" s="332"/>
      <c r="AA53" s="332"/>
      <c r="AB53" s="332"/>
      <c r="AC53" s="332"/>
      <c r="AD53" s="332"/>
      <c r="AE53" s="332"/>
      <c r="AF53" s="332"/>
      <c r="AG53" s="332"/>
      <c r="AH53" s="332"/>
      <c r="AI53" s="332">
        <v>1</v>
      </c>
      <c r="AJ53" s="332"/>
      <c r="AK53" s="332">
        <v>1</v>
      </c>
    </row>
    <row r="54" spans="1:50">
      <c r="D54"/>
      <c r="E54"/>
      <c r="G54"/>
      <c r="H54"/>
      <c r="I54"/>
      <c r="J54"/>
      <c r="T54" t="s">
        <v>525</v>
      </c>
      <c r="W54"/>
      <c r="X54"/>
      <c r="Y54" s="328">
        <v>1</v>
      </c>
      <c r="Z54" s="328"/>
      <c r="AA54" s="328">
        <v>1</v>
      </c>
      <c r="AB54" s="328">
        <v>3</v>
      </c>
      <c r="AC54" s="328">
        <v>1</v>
      </c>
      <c r="AD54" s="328">
        <v>2</v>
      </c>
      <c r="AE54" s="328">
        <v>5</v>
      </c>
      <c r="AF54" s="328">
        <v>2</v>
      </c>
      <c r="AG54" s="328">
        <v>3</v>
      </c>
      <c r="AH54" s="328">
        <v>0</v>
      </c>
      <c r="AI54" s="328">
        <v>3</v>
      </c>
      <c r="AJ54" s="328">
        <v>1</v>
      </c>
      <c r="AK54" s="333">
        <v>22</v>
      </c>
    </row>
    <row r="55" spans="1:50">
      <c r="D55"/>
      <c r="E55"/>
      <c r="G55"/>
      <c r="H55"/>
      <c r="I55"/>
      <c r="J55"/>
      <c r="T55" t="s">
        <v>506</v>
      </c>
      <c r="W55"/>
      <c r="X55"/>
      <c r="Y55" s="328">
        <v>4</v>
      </c>
      <c r="Z55" s="328">
        <v>0</v>
      </c>
      <c r="AA55" s="328">
        <v>3</v>
      </c>
      <c r="AB55" s="328">
        <v>6</v>
      </c>
      <c r="AC55" s="328">
        <v>2</v>
      </c>
      <c r="AD55" s="328">
        <v>2</v>
      </c>
      <c r="AE55" s="328">
        <v>7</v>
      </c>
      <c r="AF55" s="328">
        <v>5</v>
      </c>
      <c r="AG55" s="328">
        <v>3</v>
      </c>
      <c r="AH55" s="328">
        <v>3</v>
      </c>
      <c r="AI55" s="328">
        <v>9</v>
      </c>
      <c r="AJ55" s="328">
        <v>4</v>
      </c>
      <c r="AK55" s="329">
        <v>48</v>
      </c>
    </row>
    <row r="56" spans="1:50">
      <c r="D56"/>
      <c r="E56"/>
      <c r="G56"/>
      <c r="H56"/>
      <c r="I56"/>
      <c r="J56"/>
      <c r="W56"/>
      <c r="X56"/>
      <c r="Z56"/>
      <c r="AA56"/>
      <c r="AB56"/>
      <c r="AC56"/>
    </row>
    <row r="57" spans="1:50">
      <c r="D57"/>
      <c r="E57"/>
      <c r="G57"/>
      <c r="H57"/>
      <c r="I57"/>
      <c r="J57"/>
      <c r="W57"/>
      <c r="X57"/>
      <c r="Z57"/>
      <c r="AA57"/>
      <c r="AB57"/>
      <c r="AC57"/>
    </row>
    <row r="58" spans="1:50">
      <c r="D58"/>
      <c r="E58"/>
      <c r="G58"/>
      <c r="H58"/>
      <c r="I58"/>
      <c r="J58"/>
      <c r="W58"/>
      <c r="X58"/>
      <c r="Z58"/>
      <c r="AA58"/>
      <c r="AB58"/>
      <c r="AC58"/>
    </row>
    <row r="59" spans="1:50">
      <c r="D59"/>
      <c r="E59"/>
      <c r="G59"/>
      <c r="H59"/>
      <c r="I59"/>
      <c r="J59"/>
      <c r="W59"/>
      <c r="X59"/>
      <c r="Z59"/>
      <c r="AA59"/>
      <c r="AB59"/>
      <c r="AC59"/>
    </row>
    <row r="60" spans="1:50">
      <c r="D60"/>
      <c r="E60"/>
      <c r="G60"/>
      <c r="H60"/>
      <c r="I60"/>
      <c r="J60"/>
      <c r="W60"/>
      <c r="X60"/>
      <c r="Z60"/>
      <c r="AA60"/>
      <c r="AB60"/>
      <c r="AC60"/>
    </row>
    <row r="61" spans="1:50">
      <c r="D61"/>
      <c r="E61"/>
      <c r="G61"/>
      <c r="H61"/>
      <c r="I61"/>
      <c r="J61"/>
      <c r="W61"/>
      <c r="X61"/>
      <c r="Z61"/>
      <c r="AA61"/>
      <c r="AB61"/>
      <c r="AC61"/>
    </row>
    <row r="62" spans="1:50">
      <c r="D62"/>
      <c r="E62"/>
      <c r="G62"/>
      <c r="H62"/>
      <c r="I62"/>
      <c r="J62"/>
      <c r="W62"/>
      <c r="X62"/>
      <c r="Z62"/>
      <c r="AA62"/>
      <c r="AB62"/>
      <c r="AC62"/>
    </row>
    <row r="63" spans="1:50">
      <c r="D63"/>
      <c r="E63"/>
      <c r="G63"/>
      <c r="H63"/>
      <c r="I63"/>
      <c r="J63"/>
      <c r="W63"/>
      <c r="X63"/>
      <c r="Z63"/>
      <c r="AA63"/>
      <c r="AB63"/>
      <c r="AC63"/>
    </row>
    <row r="64" spans="1:50">
      <c r="D64"/>
      <c r="E64"/>
      <c r="G64"/>
      <c r="H64"/>
      <c r="I64"/>
      <c r="J64"/>
      <c r="W64"/>
      <c r="X64"/>
      <c r="Z64"/>
      <c r="AA64"/>
      <c r="AB64"/>
      <c r="AC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2 E3:E115 E116:H1048576">
    <cfRule type="cellIs" dxfId="89" priority="3" operator="equal">
      <formula>"no"</formula>
    </cfRule>
  </conditionalFormatting>
  <conditionalFormatting sqref="X1:AA2 X3:X115 X116:AA1048576">
    <cfRule type="cellIs" dxfId="88" priority="1" operator="equal">
      <formula>"no"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B115"/>
  <sheetViews>
    <sheetView tabSelected="1" zoomScale="80" zoomScaleNormal="80" workbookViewId="0">
      <pane xSplit="6" ySplit="3" topLeftCell="G19" activePane="bottomRight" state="frozen"/>
      <selection pane="topRight" activeCell="G1" sqref="G1"/>
      <selection pane="bottomLeft" activeCell="A6" sqref="A6"/>
      <selection pane="bottomRight" activeCell="Q31" sqref="Q31"/>
    </sheetView>
  </sheetViews>
  <sheetFormatPr defaultRowHeight="14.4" outlineLevelCol="1"/>
  <cols>
    <col min="1" max="1" width="15.44140625" customWidth="1" outlineLevel="1"/>
    <col min="2" max="2" width="46.5546875" customWidth="1" outlineLevel="1"/>
    <col min="3" max="3" width="10.5546875" customWidth="1" outlineLevel="1"/>
    <col min="4" max="4" width="17.44140625" style="13" customWidth="1" outlineLevel="1"/>
    <col min="5" max="5" width="18.44140625" style="115" bestFit="1" customWidth="1" outlineLevel="1"/>
    <col min="6" max="6" width="10.109375" bestFit="1" customWidth="1" outlineLevel="1"/>
    <col min="7" max="8" width="10.109375" style="142" bestFit="1" customWidth="1" outlineLevel="1"/>
    <col min="9" max="9" width="10.109375" style="143" bestFit="1" customWidth="1" outlineLevel="1"/>
    <col min="10" max="10" width="10.109375" style="126" bestFit="1" customWidth="1" outlineLevel="1"/>
    <col min="11" max="14" width="10.109375" bestFit="1" customWidth="1" outlineLevel="1"/>
    <col min="15" max="15" width="11.109375" bestFit="1" customWidth="1" outlineLevel="1"/>
    <col min="16" max="16" width="10.33203125" customWidth="1" outlineLevel="1"/>
    <col min="17" max="17" width="12" customWidth="1"/>
    <col min="18" max="26" width="13.44140625" bestFit="1" customWidth="1"/>
    <col min="27" max="27" width="11.44140625" bestFit="1" customWidth="1"/>
    <col min="28" max="28" width="18.44140625" bestFit="1" customWidth="1"/>
  </cols>
  <sheetData>
    <row r="1" spans="1:28">
      <c r="A1" t="s">
        <v>768</v>
      </c>
      <c r="D1"/>
      <c r="E1"/>
      <c r="F1" t="s">
        <v>503</v>
      </c>
      <c r="G1" t="s">
        <v>504</v>
      </c>
      <c r="H1"/>
      <c r="I1"/>
      <c r="J1"/>
    </row>
    <row r="2" spans="1:28">
      <c r="D2"/>
      <c r="E2"/>
      <c r="F2" t="s">
        <v>770</v>
      </c>
      <c r="G2"/>
      <c r="H2"/>
      <c r="I2"/>
      <c r="J2"/>
      <c r="O2" s="201" t="s">
        <v>506</v>
      </c>
    </row>
    <row r="3" spans="1:28" s="201" customFormat="1" ht="15" customHeight="1">
      <c r="A3" s="201" t="s">
        <v>210</v>
      </c>
      <c r="B3" s="201" t="s">
        <v>216</v>
      </c>
      <c r="C3" s="201" t="s">
        <v>211</v>
      </c>
      <c r="D3" s="201" t="s">
        <v>218</v>
      </c>
      <c r="E3" s="167" t="s">
        <v>230</v>
      </c>
      <c r="F3" t="s">
        <v>319</v>
      </c>
      <c r="G3" t="s">
        <v>347</v>
      </c>
      <c r="H3" t="s">
        <v>337</v>
      </c>
      <c r="I3" t="s">
        <v>332</v>
      </c>
      <c r="J3" t="s">
        <v>286</v>
      </c>
      <c r="K3" t="s">
        <v>288</v>
      </c>
      <c r="L3" t="s">
        <v>289</v>
      </c>
      <c r="M3" t="s">
        <v>374</v>
      </c>
      <c r="N3" t="s">
        <v>343</v>
      </c>
      <c r="P3"/>
      <c r="Q3"/>
      <c r="R3"/>
      <c r="S3"/>
      <c r="T3"/>
      <c r="U3"/>
      <c r="V3"/>
      <c r="W3"/>
      <c r="X3"/>
      <c r="Y3"/>
      <c r="Z3"/>
      <c r="AA3"/>
      <c r="AB3"/>
    </row>
    <row r="4" spans="1:28">
      <c r="A4" t="s">
        <v>46</v>
      </c>
      <c r="B4" t="s">
        <v>771</v>
      </c>
      <c r="C4" t="s">
        <v>267</v>
      </c>
      <c r="D4" s="295" t="s">
        <v>284</v>
      </c>
      <c r="E4">
        <v>16</v>
      </c>
      <c r="F4" s="334"/>
      <c r="G4" s="334"/>
      <c r="H4" s="334"/>
      <c r="I4" s="334"/>
      <c r="J4" s="334"/>
      <c r="K4" s="334"/>
      <c r="L4" s="334"/>
      <c r="M4" s="334"/>
      <c r="N4" s="334">
        <v>1160820</v>
      </c>
      <c r="O4" s="334">
        <v>1160820</v>
      </c>
    </row>
    <row r="5" spans="1:28">
      <c r="B5" t="s">
        <v>775</v>
      </c>
      <c r="C5" t="s">
        <v>267</v>
      </c>
      <c r="D5" s="295" t="s">
        <v>284</v>
      </c>
      <c r="E5">
        <v>12</v>
      </c>
      <c r="F5" s="321"/>
      <c r="G5" s="321"/>
      <c r="H5" s="321"/>
      <c r="I5" s="334">
        <v>1155469</v>
      </c>
      <c r="J5" s="334">
        <v>1155469</v>
      </c>
      <c r="K5" s="334">
        <v>1155469</v>
      </c>
      <c r="L5" s="334"/>
      <c r="M5" s="334"/>
      <c r="N5" s="334"/>
      <c r="O5" s="334">
        <v>3466407</v>
      </c>
    </row>
    <row r="6" spans="1:28">
      <c r="B6" t="s">
        <v>777</v>
      </c>
      <c r="C6" t="s">
        <v>267</v>
      </c>
      <c r="D6" s="295" t="s">
        <v>284</v>
      </c>
      <c r="E6">
        <v>4</v>
      </c>
      <c r="F6" s="321"/>
      <c r="G6" s="321"/>
      <c r="H6" s="321">
        <v>179782</v>
      </c>
      <c r="I6" s="334"/>
      <c r="J6" s="334"/>
      <c r="K6" s="334"/>
      <c r="L6" s="334"/>
      <c r="M6" s="334"/>
      <c r="N6" s="334"/>
      <c r="O6" s="334">
        <v>179782</v>
      </c>
    </row>
    <row r="7" spans="1:28">
      <c r="B7" t="s">
        <v>779</v>
      </c>
      <c r="C7" t="s">
        <v>267</v>
      </c>
      <c r="D7" s="295" t="s">
        <v>284</v>
      </c>
      <c r="E7">
        <v>9</v>
      </c>
      <c r="F7" s="321"/>
      <c r="G7" s="321"/>
      <c r="H7" s="321">
        <v>897832</v>
      </c>
      <c r="I7" s="334"/>
      <c r="J7" s="334"/>
      <c r="K7" s="334"/>
      <c r="L7" s="334"/>
      <c r="M7" s="334"/>
      <c r="N7" s="334"/>
      <c r="O7" s="334">
        <v>897832</v>
      </c>
    </row>
    <row r="8" spans="1:28">
      <c r="B8" t="s">
        <v>781</v>
      </c>
      <c r="C8" t="s">
        <v>267</v>
      </c>
      <c r="D8" s="295" t="s">
        <v>284</v>
      </c>
      <c r="E8">
        <v>122</v>
      </c>
      <c r="F8" s="321"/>
      <c r="G8" s="321"/>
      <c r="H8" s="321"/>
      <c r="I8" s="334"/>
      <c r="J8" s="334">
        <v>596794</v>
      </c>
      <c r="K8" s="334"/>
      <c r="L8" s="334"/>
      <c r="M8" s="334"/>
      <c r="N8" s="334"/>
      <c r="O8" s="334">
        <v>596794</v>
      </c>
    </row>
    <row r="9" spans="1:28">
      <c r="B9" t="s">
        <v>783</v>
      </c>
      <c r="C9" t="s">
        <v>267</v>
      </c>
      <c r="D9" s="295" t="s">
        <v>284</v>
      </c>
      <c r="E9">
        <v>30</v>
      </c>
      <c r="F9" s="321"/>
      <c r="G9" s="321"/>
      <c r="H9" s="321">
        <v>343070</v>
      </c>
      <c r="I9" s="334"/>
      <c r="J9" s="334"/>
      <c r="K9" s="334"/>
      <c r="L9" s="334"/>
      <c r="M9" s="334"/>
      <c r="N9" s="334"/>
      <c r="O9" s="334">
        <v>343070</v>
      </c>
    </row>
    <row r="10" spans="1:28">
      <c r="B10" t="s">
        <v>785</v>
      </c>
      <c r="C10" t="s">
        <v>267</v>
      </c>
      <c r="D10" s="295" t="s">
        <v>284</v>
      </c>
      <c r="E10">
        <v>4</v>
      </c>
      <c r="F10" s="321"/>
      <c r="G10" s="321"/>
      <c r="H10" s="321">
        <v>210727.22</v>
      </c>
      <c r="I10" s="334"/>
      <c r="J10" s="334"/>
      <c r="K10" s="334"/>
      <c r="L10" s="334"/>
      <c r="M10" s="334"/>
      <c r="N10" s="334"/>
      <c r="O10" s="334">
        <v>210727.22</v>
      </c>
    </row>
    <row r="11" spans="1:28">
      <c r="B11" t="s">
        <v>787</v>
      </c>
      <c r="C11" t="s">
        <v>267</v>
      </c>
      <c r="D11" s="326" t="s">
        <v>310</v>
      </c>
      <c r="E11">
        <v>35</v>
      </c>
      <c r="F11" s="322">
        <v>83963.209999999992</v>
      </c>
      <c r="G11" s="322"/>
      <c r="H11" s="322"/>
      <c r="I11" s="325"/>
      <c r="J11" s="325"/>
      <c r="K11" s="325"/>
      <c r="L11" s="325"/>
      <c r="M11" s="325"/>
      <c r="N11" s="325"/>
      <c r="O11" s="325">
        <v>83963.209999999992</v>
      </c>
    </row>
    <row r="12" spans="1:28">
      <c r="B12" t="s">
        <v>790</v>
      </c>
      <c r="C12" t="s">
        <v>267</v>
      </c>
      <c r="D12" s="336" t="s">
        <v>316</v>
      </c>
      <c r="E12">
        <v>1</v>
      </c>
      <c r="F12" s="323"/>
      <c r="G12" s="323">
        <v>2908</v>
      </c>
      <c r="H12" s="323"/>
      <c r="I12" s="335"/>
      <c r="J12" s="335"/>
      <c r="K12" s="335"/>
      <c r="L12" s="335"/>
      <c r="M12" s="335"/>
      <c r="N12" s="335"/>
      <c r="O12" s="335">
        <v>2908</v>
      </c>
    </row>
    <row r="13" spans="1:28">
      <c r="B13" t="s">
        <v>792</v>
      </c>
      <c r="C13" t="s">
        <v>267</v>
      </c>
      <c r="D13" s="336" t="s">
        <v>316</v>
      </c>
      <c r="E13">
        <v>27</v>
      </c>
      <c r="F13" s="323">
        <v>27000</v>
      </c>
      <c r="G13" s="323">
        <v>43241.840000000011</v>
      </c>
      <c r="H13" s="323"/>
      <c r="I13" s="335"/>
      <c r="J13" s="335"/>
      <c r="K13" s="335"/>
      <c r="L13" s="335"/>
      <c r="M13" s="335"/>
      <c r="N13" s="335"/>
      <c r="O13" s="335">
        <v>70241.840000000011</v>
      </c>
    </row>
    <row r="14" spans="1:28">
      <c r="B14" t="s">
        <v>796</v>
      </c>
      <c r="C14" t="s">
        <v>267</v>
      </c>
      <c r="D14" s="336" t="s">
        <v>316</v>
      </c>
      <c r="E14">
        <v>2</v>
      </c>
      <c r="F14" s="323"/>
      <c r="G14" s="323">
        <v>333776</v>
      </c>
      <c r="H14" s="323"/>
      <c r="I14" s="335"/>
      <c r="J14" s="335"/>
      <c r="K14" s="335"/>
      <c r="L14" s="335"/>
      <c r="M14" s="335"/>
      <c r="N14" s="335"/>
      <c r="O14" s="335">
        <v>333776</v>
      </c>
    </row>
    <row r="15" spans="1:28">
      <c r="B15" t="s">
        <v>1639</v>
      </c>
      <c r="C15" t="s">
        <v>267</v>
      </c>
      <c r="D15" s="336" t="s">
        <v>316</v>
      </c>
      <c r="E15">
        <v>29</v>
      </c>
      <c r="F15" s="323"/>
      <c r="G15" s="323"/>
      <c r="H15" s="323"/>
      <c r="I15" s="335">
        <v>169552.37000000002</v>
      </c>
      <c r="J15" s="335"/>
      <c r="K15" s="335"/>
      <c r="L15" s="335"/>
      <c r="M15" s="335"/>
      <c r="N15" s="335"/>
      <c r="O15" s="335">
        <v>169552.37000000002</v>
      </c>
    </row>
    <row r="16" spans="1:28">
      <c r="B16" t="s">
        <v>1653</v>
      </c>
      <c r="C16" t="s">
        <v>267</v>
      </c>
      <c r="D16" s="336" t="s">
        <v>316</v>
      </c>
      <c r="E16">
        <v>1</v>
      </c>
      <c r="F16" s="323"/>
      <c r="G16" s="323"/>
      <c r="H16" s="323">
        <v>7894</v>
      </c>
      <c r="I16" s="335"/>
      <c r="J16" s="335"/>
      <c r="K16" s="335"/>
      <c r="L16" s="335"/>
      <c r="M16" s="335"/>
      <c r="N16" s="335"/>
      <c r="O16" s="335">
        <v>7894</v>
      </c>
    </row>
    <row r="17" spans="1:28">
      <c r="B17" t="s">
        <v>1654</v>
      </c>
      <c r="C17" t="s">
        <v>267</v>
      </c>
      <c r="D17" s="295" t="s">
        <v>284</v>
      </c>
      <c r="E17">
        <v>2</v>
      </c>
      <c r="F17" s="334"/>
      <c r="G17" s="334"/>
      <c r="H17" s="334"/>
      <c r="I17" s="334"/>
      <c r="J17" s="334"/>
      <c r="K17" s="334">
        <v>1259577</v>
      </c>
      <c r="L17" s="334">
        <v>1259577</v>
      </c>
      <c r="M17" s="334">
        <v>1259577</v>
      </c>
      <c r="N17" s="334"/>
      <c r="O17" s="334">
        <v>3778731</v>
      </c>
    </row>
    <row r="18" spans="1:28">
      <c r="A18" t="s">
        <v>542</v>
      </c>
      <c r="D18"/>
      <c r="E18"/>
      <c r="F18" s="70">
        <v>110963.20999999999</v>
      </c>
      <c r="G18" s="70">
        <v>379925.84</v>
      </c>
      <c r="H18" s="70">
        <v>1639305.22</v>
      </c>
      <c r="I18" s="70">
        <v>1325021.3700000001</v>
      </c>
      <c r="J18" s="70">
        <v>1752263</v>
      </c>
      <c r="K18" s="70">
        <v>2415046</v>
      </c>
      <c r="L18" s="70">
        <v>1259577</v>
      </c>
      <c r="M18" s="70">
        <v>1259577</v>
      </c>
      <c r="N18" s="70">
        <v>1160820</v>
      </c>
      <c r="O18" s="327">
        <v>11302498.640000001</v>
      </c>
    </row>
    <row r="19" spans="1:28">
      <c r="A19" t="s">
        <v>59</v>
      </c>
      <c r="B19" t="s">
        <v>776</v>
      </c>
      <c r="C19" t="s">
        <v>267</v>
      </c>
      <c r="D19" s="295" t="s">
        <v>284</v>
      </c>
      <c r="E19">
        <v>24</v>
      </c>
      <c r="F19" s="334"/>
      <c r="G19" s="334"/>
      <c r="H19" s="334"/>
      <c r="I19" s="334">
        <v>537160</v>
      </c>
      <c r="J19" s="334">
        <v>537158.51</v>
      </c>
      <c r="K19" s="334"/>
      <c r="L19" s="334"/>
      <c r="M19" s="334"/>
      <c r="N19" s="334"/>
      <c r="O19" s="334">
        <v>1074318.51</v>
      </c>
      <c r="Q19" s="311"/>
    </row>
    <row r="20" spans="1:28">
      <c r="B20" t="s">
        <v>780</v>
      </c>
      <c r="C20" t="s">
        <v>267</v>
      </c>
      <c r="D20" s="295" t="s">
        <v>284</v>
      </c>
      <c r="E20">
        <v>14</v>
      </c>
      <c r="F20" s="334"/>
      <c r="G20" s="334"/>
      <c r="H20" s="334">
        <v>228581</v>
      </c>
      <c r="I20" s="334"/>
      <c r="J20" s="334"/>
      <c r="K20" s="334"/>
      <c r="L20" s="334"/>
      <c r="M20" s="334"/>
      <c r="N20" s="334"/>
      <c r="O20" s="334">
        <v>228581</v>
      </c>
    </row>
    <row r="21" spans="1:28">
      <c r="B21" t="s">
        <v>778</v>
      </c>
      <c r="C21" t="s">
        <v>267</v>
      </c>
      <c r="D21" s="326" t="s">
        <v>310</v>
      </c>
      <c r="E21">
        <v>36</v>
      </c>
      <c r="F21" s="310">
        <v>558793</v>
      </c>
      <c r="G21" s="325"/>
      <c r="H21" s="325"/>
      <c r="I21" s="325"/>
      <c r="J21" s="325"/>
      <c r="K21" s="325"/>
      <c r="L21" s="325"/>
      <c r="M21" s="325"/>
      <c r="N21" s="325"/>
      <c r="O21" s="325">
        <v>558793</v>
      </c>
    </row>
    <row r="22" spans="1:28">
      <c r="B22" t="s">
        <v>772</v>
      </c>
      <c r="C22" t="s">
        <v>267</v>
      </c>
      <c r="D22" s="295" t="s">
        <v>284</v>
      </c>
      <c r="E22">
        <v>12</v>
      </c>
      <c r="F22" s="334"/>
      <c r="G22" s="334"/>
      <c r="H22" s="334"/>
      <c r="I22" s="334"/>
      <c r="J22" s="334"/>
      <c r="K22" s="334">
        <v>143556.08999999997</v>
      </c>
      <c r="L22" s="334"/>
      <c r="M22" s="334"/>
      <c r="N22" s="334"/>
      <c r="O22" s="334">
        <v>143556.08999999997</v>
      </c>
    </row>
    <row r="23" spans="1:28">
      <c r="B23" t="s">
        <v>782</v>
      </c>
      <c r="C23" t="s">
        <v>267</v>
      </c>
      <c r="D23" s="295" t="s">
        <v>284</v>
      </c>
      <c r="E23" t="s">
        <v>292</v>
      </c>
      <c r="F23" s="321"/>
      <c r="G23" s="321"/>
      <c r="H23" s="321"/>
      <c r="I23" s="334"/>
      <c r="J23" s="334"/>
      <c r="K23" s="334"/>
      <c r="L23" s="334"/>
      <c r="M23" s="334">
        <v>1000000</v>
      </c>
      <c r="N23" s="334"/>
      <c r="O23" s="334">
        <v>1000000</v>
      </c>
    </row>
    <row r="24" spans="1:28" s="122" customFormat="1">
      <c r="A24"/>
      <c r="B24" t="s">
        <v>786</v>
      </c>
      <c r="C24" t="s">
        <v>267</v>
      </c>
      <c r="D24" s="295" t="s">
        <v>284</v>
      </c>
      <c r="E24">
        <v>2</v>
      </c>
      <c r="F24" s="301">
        <v>4003.5</v>
      </c>
      <c r="G24" s="321"/>
      <c r="H24" s="321"/>
      <c r="I24" s="334"/>
      <c r="J24" s="334"/>
      <c r="K24" s="334"/>
      <c r="L24" s="334"/>
      <c r="M24" s="334"/>
      <c r="N24" s="334"/>
      <c r="O24" s="334">
        <v>4003.5</v>
      </c>
      <c r="P24"/>
      <c r="Q24"/>
      <c r="R24"/>
      <c r="S24"/>
      <c r="T24"/>
      <c r="U24"/>
      <c r="V24"/>
      <c r="W24"/>
      <c r="X24"/>
      <c r="Y24"/>
      <c r="Z24"/>
      <c r="AA24"/>
      <c r="AB24"/>
    </row>
    <row r="25" spans="1:28">
      <c r="B25" t="s">
        <v>789</v>
      </c>
      <c r="C25" t="s">
        <v>267</v>
      </c>
      <c r="D25" s="295" t="s">
        <v>284</v>
      </c>
      <c r="E25">
        <v>2</v>
      </c>
      <c r="F25" s="301">
        <v>8455.52</v>
      </c>
      <c r="G25" s="321"/>
      <c r="H25" s="321"/>
      <c r="I25" s="334"/>
      <c r="J25" s="334"/>
      <c r="K25" s="334"/>
      <c r="L25" s="334"/>
      <c r="M25" s="334"/>
      <c r="N25" s="334"/>
      <c r="O25" s="334">
        <v>8455.52</v>
      </c>
    </row>
    <row r="26" spans="1:28">
      <c r="B26" t="s">
        <v>791</v>
      </c>
      <c r="C26" t="s">
        <v>267</v>
      </c>
      <c r="D26" s="295" t="s">
        <v>284</v>
      </c>
      <c r="E26">
        <v>18</v>
      </c>
      <c r="F26" s="321"/>
      <c r="G26" s="321"/>
      <c r="H26" s="321"/>
      <c r="I26" s="334">
        <v>299970.28999999998</v>
      </c>
      <c r="J26" s="334"/>
      <c r="K26" s="334"/>
      <c r="L26" s="334"/>
      <c r="M26" s="334"/>
      <c r="N26" s="334"/>
      <c r="O26" s="334">
        <v>299970.28999999998</v>
      </c>
    </row>
    <row r="27" spans="1:28">
      <c r="B27" t="s">
        <v>793</v>
      </c>
      <c r="C27" t="s">
        <v>267</v>
      </c>
      <c r="D27" s="295" t="s">
        <v>284</v>
      </c>
      <c r="E27">
        <v>12</v>
      </c>
      <c r="F27" s="321"/>
      <c r="G27" s="321"/>
      <c r="H27" s="321"/>
      <c r="I27" s="334"/>
      <c r="J27" s="334"/>
      <c r="K27" s="334">
        <v>271502.5</v>
      </c>
      <c r="L27" s="334">
        <v>271502.5</v>
      </c>
      <c r="M27" s="334"/>
      <c r="N27" s="334"/>
      <c r="O27" s="334">
        <v>543005</v>
      </c>
    </row>
    <row r="28" spans="1:28">
      <c r="B28" t="s">
        <v>795</v>
      </c>
      <c r="C28" t="s">
        <v>267</v>
      </c>
      <c r="D28" s="295" t="s">
        <v>284</v>
      </c>
      <c r="E28" t="s">
        <v>292</v>
      </c>
      <c r="F28" s="321"/>
      <c r="G28" s="321"/>
      <c r="H28" s="321"/>
      <c r="I28" s="334"/>
      <c r="J28" s="334">
        <v>228194</v>
      </c>
      <c r="K28" s="334"/>
      <c r="L28" s="334"/>
      <c r="M28" s="334"/>
      <c r="N28" s="334"/>
      <c r="O28" s="334">
        <v>228194</v>
      </c>
    </row>
    <row r="29" spans="1:28">
      <c r="B29" t="s">
        <v>774</v>
      </c>
      <c r="C29" t="s">
        <v>267</v>
      </c>
      <c r="D29" s="295" t="s">
        <v>284</v>
      </c>
      <c r="E29">
        <v>31</v>
      </c>
      <c r="F29" s="321"/>
      <c r="G29" s="321"/>
      <c r="H29" s="321">
        <v>1000000</v>
      </c>
      <c r="I29" s="334">
        <v>1000000</v>
      </c>
      <c r="J29" s="334">
        <v>935981.51999999955</v>
      </c>
      <c r="K29" s="334"/>
      <c r="L29" s="334"/>
      <c r="M29" s="334"/>
      <c r="N29" s="334"/>
      <c r="O29" s="334">
        <v>2935981.5199999996</v>
      </c>
    </row>
    <row r="30" spans="1:28">
      <c r="B30" t="s">
        <v>788</v>
      </c>
      <c r="C30" t="s">
        <v>267</v>
      </c>
      <c r="D30" s="326" t="s">
        <v>310</v>
      </c>
      <c r="E30">
        <v>2</v>
      </c>
      <c r="F30" s="310">
        <v>3240</v>
      </c>
      <c r="G30" s="322"/>
      <c r="H30" s="322"/>
      <c r="I30" s="325"/>
      <c r="J30" s="325"/>
      <c r="K30" s="325"/>
      <c r="L30" s="325"/>
      <c r="M30" s="325"/>
      <c r="N30" s="325"/>
      <c r="O30" s="325">
        <v>3240</v>
      </c>
    </row>
    <row r="31" spans="1:28">
      <c r="B31" t="s">
        <v>784</v>
      </c>
      <c r="C31" t="s">
        <v>267</v>
      </c>
      <c r="D31" s="326" t="s">
        <v>310</v>
      </c>
      <c r="E31">
        <v>8</v>
      </c>
      <c r="F31" s="322"/>
      <c r="G31" s="322"/>
      <c r="H31" s="322">
        <v>37552</v>
      </c>
      <c r="I31" s="325"/>
      <c r="J31" s="325"/>
      <c r="K31" s="325"/>
      <c r="L31" s="325"/>
      <c r="M31" s="325"/>
      <c r="N31" s="325"/>
      <c r="O31" s="325">
        <v>37552</v>
      </c>
    </row>
    <row r="32" spans="1:28">
      <c r="B32" t="s">
        <v>797</v>
      </c>
      <c r="C32" t="s">
        <v>267</v>
      </c>
      <c r="D32" s="336" t="s">
        <v>316</v>
      </c>
      <c r="E32">
        <v>1</v>
      </c>
      <c r="F32" s="320">
        <v>2190.15</v>
      </c>
      <c r="G32" s="323"/>
      <c r="H32" s="323"/>
      <c r="I32" s="335"/>
      <c r="J32" s="335"/>
      <c r="K32" s="335"/>
      <c r="L32" s="335"/>
      <c r="M32" s="335"/>
      <c r="N32" s="335"/>
      <c r="O32" s="335">
        <v>2190.15</v>
      </c>
    </row>
    <row r="33" spans="1:16">
      <c r="B33" t="s">
        <v>798</v>
      </c>
      <c r="C33" t="s">
        <v>267</v>
      </c>
      <c r="D33" s="295" t="s">
        <v>284</v>
      </c>
      <c r="E33">
        <v>51</v>
      </c>
      <c r="F33" s="321"/>
      <c r="G33" s="321"/>
      <c r="H33" s="321"/>
      <c r="I33" s="334"/>
      <c r="J33" s="334">
        <v>313857</v>
      </c>
      <c r="K33" s="334"/>
      <c r="L33" s="334"/>
      <c r="M33" s="334"/>
      <c r="N33" s="334"/>
      <c r="O33" s="334">
        <v>313857</v>
      </c>
    </row>
    <row r="34" spans="1:16">
      <c r="B34" t="s">
        <v>799</v>
      </c>
      <c r="C34" t="s">
        <v>267</v>
      </c>
      <c r="D34" s="295" t="s">
        <v>284</v>
      </c>
      <c r="E34">
        <v>7</v>
      </c>
      <c r="F34" s="334">
        <v>38935.43</v>
      </c>
      <c r="G34" s="334"/>
      <c r="H34" s="334"/>
      <c r="I34" s="334"/>
      <c r="J34" s="334"/>
      <c r="K34" s="334"/>
      <c r="L34" s="334"/>
      <c r="M34" s="334"/>
      <c r="N34" s="334"/>
      <c r="O34" s="334">
        <v>38935.43</v>
      </c>
    </row>
    <row r="35" spans="1:16">
      <c r="B35" t="s">
        <v>1638</v>
      </c>
      <c r="C35" t="s">
        <v>267</v>
      </c>
      <c r="D35" s="295" t="s">
        <v>284</v>
      </c>
      <c r="E35">
        <v>16</v>
      </c>
      <c r="F35" s="334">
        <v>19342.43</v>
      </c>
      <c r="G35" s="334"/>
      <c r="H35" s="334"/>
      <c r="I35" s="334"/>
      <c r="J35" s="334"/>
      <c r="K35" s="334"/>
      <c r="L35" s="334"/>
      <c r="M35" s="334"/>
      <c r="N35" s="334"/>
      <c r="O35" s="334">
        <v>19342.43</v>
      </c>
    </row>
    <row r="36" spans="1:16">
      <c r="B36" t="s">
        <v>1656</v>
      </c>
      <c r="C36" t="s">
        <v>267</v>
      </c>
      <c r="D36" s="326" t="s">
        <v>310</v>
      </c>
      <c r="E36">
        <v>1</v>
      </c>
      <c r="F36" s="310">
        <v>3080</v>
      </c>
      <c r="G36" s="325"/>
      <c r="H36" s="325"/>
      <c r="I36" s="325"/>
      <c r="J36" s="325"/>
      <c r="K36" s="325"/>
      <c r="L36" s="325"/>
      <c r="M36" s="325"/>
      <c r="N36" s="325"/>
      <c r="O36" s="325">
        <v>3080</v>
      </c>
    </row>
    <row r="37" spans="1:16">
      <c r="A37" t="s">
        <v>525</v>
      </c>
      <c r="D37"/>
      <c r="E37"/>
      <c r="F37" s="70">
        <v>638040.03000000014</v>
      </c>
      <c r="G37" s="70"/>
      <c r="H37" s="70">
        <v>1266133</v>
      </c>
      <c r="I37" s="70">
        <v>1837130.29</v>
      </c>
      <c r="J37" s="70">
        <v>2015191.0299999996</v>
      </c>
      <c r="K37" s="70">
        <v>415058.58999999997</v>
      </c>
      <c r="L37" s="70">
        <v>271502.5</v>
      </c>
      <c r="M37" s="70">
        <v>1000000</v>
      </c>
      <c r="N37" s="70"/>
      <c r="O37" s="327">
        <v>7443055.4399999995</v>
      </c>
    </row>
    <row r="38" spans="1:16">
      <c r="A38" t="s">
        <v>506</v>
      </c>
      <c r="D38"/>
      <c r="E38"/>
      <c r="F38" s="70">
        <v>749003.24000000011</v>
      </c>
      <c r="G38" s="70">
        <v>379925.84</v>
      </c>
      <c r="H38" s="70">
        <v>2905438.2199999997</v>
      </c>
      <c r="I38" s="70">
        <v>3162151.66</v>
      </c>
      <c r="J38" s="70">
        <v>3767454.0299999993</v>
      </c>
      <c r="K38" s="70">
        <v>2830104.59</v>
      </c>
      <c r="L38" s="70">
        <v>1531079.5</v>
      </c>
      <c r="M38" s="70">
        <v>2259577</v>
      </c>
      <c r="N38" s="70">
        <v>1160820</v>
      </c>
      <c r="O38" s="324">
        <v>18745554.079999998</v>
      </c>
    </row>
    <row r="39" spans="1:16">
      <c r="D39"/>
      <c r="E39"/>
      <c r="G39"/>
      <c r="H39"/>
      <c r="I39"/>
      <c r="J39"/>
    </row>
    <row r="40" spans="1:16">
      <c r="D40"/>
      <c r="E40"/>
      <c r="G40"/>
      <c r="H40"/>
      <c r="I40"/>
      <c r="J40"/>
    </row>
    <row r="41" spans="1:16">
      <c r="D41"/>
      <c r="E41"/>
      <c r="G41"/>
      <c r="H41"/>
      <c r="I41"/>
      <c r="J41"/>
      <c r="K41" s="311">
        <v>1131814</v>
      </c>
      <c r="L41" s="311">
        <v>1131814</v>
      </c>
      <c r="N41" s="311">
        <v>1044667</v>
      </c>
    </row>
    <row r="42" spans="1:16">
      <c r="D42"/>
      <c r="E42"/>
      <c r="G42"/>
      <c r="H42"/>
      <c r="I42"/>
      <c r="J42"/>
      <c r="P42" s="311"/>
    </row>
    <row r="43" spans="1:16">
      <c r="D43"/>
      <c r="E43"/>
      <c r="G43"/>
      <c r="H43"/>
      <c r="I43"/>
      <c r="J43"/>
      <c r="P43" s="311"/>
    </row>
    <row r="44" spans="1:16">
      <c r="D44"/>
      <c r="E44"/>
      <c r="G44"/>
      <c r="H44"/>
      <c r="I44"/>
      <c r="J44"/>
      <c r="P44" s="311"/>
    </row>
    <row r="45" spans="1:16">
      <c r="D45"/>
      <c r="E45"/>
      <c r="G45"/>
      <c r="H45"/>
      <c r="I45"/>
      <c r="J45"/>
    </row>
    <row r="46" spans="1:16">
      <c r="D46"/>
      <c r="E46"/>
      <c r="G46"/>
      <c r="H46"/>
      <c r="I46"/>
      <c r="J46"/>
    </row>
    <row r="47" spans="1:16">
      <c r="D47"/>
      <c r="E47"/>
      <c r="G47"/>
      <c r="H47"/>
      <c r="I47"/>
      <c r="J47"/>
    </row>
    <row r="48" spans="1:16">
      <c r="D48"/>
      <c r="E48"/>
      <c r="G48"/>
      <c r="H48"/>
      <c r="I48"/>
      <c r="J48"/>
    </row>
    <row r="49" spans="1:28">
      <c r="D49"/>
      <c r="E49"/>
      <c r="G49"/>
      <c r="H49"/>
      <c r="I49"/>
      <c r="J49"/>
    </row>
    <row r="50" spans="1:28">
      <c r="D50"/>
      <c r="E50"/>
      <c r="G50"/>
      <c r="H50"/>
      <c r="I50"/>
      <c r="J50"/>
    </row>
    <row r="51" spans="1:28">
      <c r="D51"/>
      <c r="E51"/>
      <c r="G51"/>
      <c r="H51"/>
      <c r="I51"/>
      <c r="J51"/>
    </row>
    <row r="52" spans="1:28" s="113" customFormat="1">
      <c r="A52"/>
      <c r="B52"/>
      <c r="C52"/>
      <c r="D52"/>
      <c r="E52"/>
      <c r="F52"/>
      <c r="G52"/>
      <c r="H52"/>
      <c r="I52"/>
      <c r="J52"/>
      <c r="K52"/>
      <c r="L52"/>
      <c r="M52"/>
      <c r="N52"/>
      <c r="O52"/>
      <c r="P52"/>
      <c r="Q52"/>
      <c r="R52"/>
      <c r="S52"/>
      <c r="T52"/>
      <c r="U52"/>
      <c r="V52"/>
      <c r="W52"/>
      <c r="X52"/>
      <c r="Y52"/>
      <c r="Z52"/>
      <c r="AA52"/>
      <c r="AB52"/>
    </row>
    <row r="53" spans="1:28">
      <c r="D53"/>
      <c r="E53"/>
      <c r="G53"/>
      <c r="H53"/>
      <c r="I53"/>
      <c r="J53"/>
    </row>
    <row r="54" spans="1:28">
      <c r="D54"/>
      <c r="E54"/>
      <c r="G54"/>
      <c r="H54"/>
      <c r="I54"/>
      <c r="J54"/>
    </row>
    <row r="55" spans="1:28">
      <c r="D55"/>
      <c r="E55"/>
      <c r="G55"/>
      <c r="H55"/>
      <c r="I55"/>
      <c r="J55"/>
    </row>
    <row r="56" spans="1:28">
      <c r="D56"/>
      <c r="E56"/>
      <c r="G56"/>
      <c r="H56"/>
      <c r="I56"/>
      <c r="J56"/>
    </row>
    <row r="57" spans="1:28">
      <c r="D57"/>
      <c r="E57"/>
      <c r="G57"/>
      <c r="H57"/>
      <c r="I57"/>
      <c r="J57"/>
    </row>
    <row r="58" spans="1:28">
      <c r="D58"/>
      <c r="E58"/>
      <c r="G58"/>
      <c r="H58"/>
      <c r="I58"/>
      <c r="J58"/>
    </row>
    <row r="59" spans="1:28">
      <c r="D59"/>
      <c r="E59"/>
      <c r="G59"/>
      <c r="H59"/>
      <c r="I59"/>
      <c r="J59"/>
    </row>
    <row r="60" spans="1:28">
      <c r="D60"/>
      <c r="E60"/>
      <c r="G60"/>
      <c r="H60"/>
      <c r="I60"/>
      <c r="J60"/>
    </row>
    <row r="61" spans="1:28">
      <c r="D61"/>
      <c r="E61"/>
      <c r="G61"/>
      <c r="H61"/>
      <c r="I61"/>
      <c r="J61"/>
    </row>
    <row r="62" spans="1:28">
      <c r="D62"/>
      <c r="E62"/>
      <c r="G62"/>
      <c r="H62"/>
      <c r="I62"/>
      <c r="J62"/>
    </row>
    <row r="63" spans="1:28">
      <c r="D63"/>
      <c r="E63"/>
      <c r="G63"/>
      <c r="H63"/>
      <c r="I63"/>
      <c r="J63"/>
    </row>
    <row r="64" spans="1:28">
      <c r="D64"/>
      <c r="E64"/>
      <c r="G64"/>
      <c r="H64"/>
      <c r="I64"/>
      <c r="J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dataConsolidate/>
  <conditionalFormatting sqref="E1:H2 E3:E115 E116:H1048576">
    <cfRule type="cellIs" dxfId="87" priority="2"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80" zoomScaleNormal="80" workbookViewId="0">
      <pane xSplit="6" ySplit="3" topLeftCell="G4" activePane="bottomRight" state="frozen"/>
      <selection pane="topRight" activeCell="G1" sqref="G1"/>
      <selection pane="bottomLeft" activeCell="A6" sqref="A6"/>
      <selection pane="bottomRight" activeCell="C24" sqref="C24"/>
    </sheetView>
  </sheetViews>
  <sheetFormatPr defaultRowHeight="14.4"/>
  <cols>
    <col min="1" max="1" width="15.44140625" customWidth="1"/>
    <col min="2" max="2" width="59.6640625" customWidth="1"/>
    <col min="3" max="3" width="10.5546875" customWidth="1"/>
    <col min="4" max="4" width="17.44140625" style="13" bestFit="1" customWidth="1"/>
    <col min="5" max="5" width="18.6640625" style="115" bestFit="1" customWidth="1"/>
    <col min="6" max="6" width="15.5546875" bestFit="1" customWidth="1"/>
    <col min="7" max="7" width="23" style="142" bestFit="1" customWidth="1"/>
    <col min="8" max="8" width="22.88671875" style="142" bestFit="1" customWidth="1"/>
    <col min="9" max="9" width="9.109375" style="143" bestFit="1" customWidth="1"/>
    <col min="10" max="10" width="9.109375" style="126" bestFit="1" customWidth="1"/>
    <col min="11" max="12" width="9.109375" bestFit="1" customWidth="1"/>
    <col min="13" max="13" width="11" bestFit="1" customWidth="1"/>
    <col min="14" max="14" width="9.5546875" bestFit="1" customWidth="1"/>
    <col min="15" max="16" width="10.6640625" bestFit="1" customWidth="1"/>
    <col min="17" max="18" width="9.5546875" bestFit="1" customWidth="1"/>
    <col min="19" max="19" width="10.5546875" bestFit="1" customWidth="1"/>
  </cols>
  <sheetData>
    <row r="1" spans="1:19">
      <c r="A1" t="s">
        <v>768</v>
      </c>
      <c r="D1"/>
      <c r="E1"/>
      <c r="G1"/>
      <c r="H1"/>
      <c r="I1" t="s">
        <v>503</v>
      </c>
      <c r="J1" t="s">
        <v>504</v>
      </c>
    </row>
    <row r="2" spans="1:19">
      <c r="D2"/>
      <c r="E2"/>
      <c r="G2"/>
      <c r="H2"/>
      <c r="I2" t="s">
        <v>505</v>
      </c>
      <c r="J2"/>
      <c r="L2" t="s">
        <v>770</v>
      </c>
      <c r="M2" s="201" t="s">
        <v>506</v>
      </c>
    </row>
    <row r="3" spans="1:19" s="201" customFormat="1" ht="15" customHeight="1">
      <c r="A3" s="201" t="s">
        <v>210</v>
      </c>
      <c r="B3" s="201" t="s">
        <v>216</v>
      </c>
      <c r="C3" s="201" t="s">
        <v>211</v>
      </c>
      <c r="D3" s="201" t="s">
        <v>218</v>
      </c>
      <c r="E3" s="167" t="s">
        <v>230</v>
      </c>
      <c r="F3" s="12" t="s">
        <v>231</v>
      </c>
      <c r="G3" s="12" t="s">
        <v>240</v>
      </c>
      <c r="H3" s="12" t="s">
        <v>241</v>
      </c>
      <c r="I3" t="s">
        <v>303</v>
      </c>
      <c r="J3" t="s">
        <v>312</v>
      </c>
      <c r="K3" t="s">
        <v>333</v>
      </c>
      <c r="L3" t="s">
        <v>319</v>
      </c>
      <c r="N3"/>
      <c r="O3"/>
      <c r="P3"/>
      <c r="Q3"/>
      <c r="R3"/>
      <c r="S3"/>
    </row>
    <row r="4" spans="1:19">
      <c r="A4" t="s">
        <v>46</v>
      </c>
      <c r="B4" t="s">
        <v>781</v>
      </c>
      <c r="C4" t="s">
        <v>327</v>
      </c>
      <c r="D4" s="326" t="s">
        <v>310</v>
      </c>
      <c r="E4">
        <v>21</v>
      </c>
      <c r="F4">
        <v>23</v>
      </c>
      <c r="G4" t="s">
        <v>802</v>
      </c>
      <c r="H4" t="s">
        <v>1064</v>
      </c>
      <c r="I4" s="325"/>
      <c r="J4" s="325"/>
      <c r="K4" s="325">
        <v>32000</v>
      </c>
      <c r="L4" s="325"/>
      <c r="M4" s="325">
        <v>32000</v>
      </c>
    </row>
    <row r="5" spans="1:19">
      <c r="B5" t="s">
        <v>804</v>
      </c>
      <c r="C5" t="s">
        <v>327</v>
      </c>
      <c r="D5" s="326" t="s">
        <v>310</v>
      </c>
      <c r="E5">
        <v>3</v>
      </c>
      <c r="F5">
        <v>3</v>
      </c>
      <c r="G5" t="s">
        <v>816</v>
      </c>
      <c r="H5" t="s">
        <v>816</v>
      </c>
      <c r="I5" s="325">
        <v>2843.6000000000004</v>
      </c>
      <c r="J5" s="325"/>
      <c r="K5" s="325"/>
      <c r="L5" s="325"/>
      <c r="M5" s="325">
        <v>2843.6000000000004</v>
      </c>
    </row>
    <row r="6" spans="1:19">
      <c r="B6" t="s">
        <v>785</v>
      </c>
      <c r="C6" t="s">
        <v>327</v>
      </c>
      <c r="D6" s="326" t="s">
        <v>310</v>
      </c>
      <c r="E6">
        <v>1</v>
      </c>
      <c r="F6">
        <v>1</v>
      </c>
      <c r="G6" t="s">
        <v>806</v>
      </c>
      <c r="H6" t="s">
        <v>806</v>
      </c>
      <c r="I6" s="325">
        <v>2230.98</v>
      </c>
      <c r="J6" s="325"/>
      <c r="K6" s="325"/>
      <c r="L6" s="325"/>
      <c r="M6" s="325">
        <v>2230.98</v>
      </c>
    </row>
    <row r="7" spans="1:19">
      <c r="B7" t="s">
        <v>808</v>
      </c>
      <c r="C7" t="s">
        <v>327</v>
      </c>
      <c r="D7" s="326" t="s">
        <v>310</v>
      </c>
      <c r="E7">
        <v>5</v>
      </c>
      <c r="F7">
        <v>11</v>
      </c>
      <c r="G7" t="s">
        <v>809</v>
      </c>
      <c r="H7" t="s">
        <v>809</v>
      </c>
      <c r="I7" s="325"/>
      <c r="J7" s="325"/>
      <c r="K7" s="325"/>
      <c r="L7" s="325">
        <v>8153.75</v>
      </c>
      <c r="M7" s="325">
        <v>8153.75</v>
      </c>
    </row>
    <row r="8" spans="1:19">
      <c r="B8" t="s">
        <v>794</v>
      </c>
      <c r="C8" t="s">
        <v>327</v>
      </c>
      <c r="D8" s="295" t="s">
        <v>284</v>
      </c>
      <c r="E8">
        <v>1</v>
      </c>
      <c r="F8">
        <v>1</v>
      </c>
      <c r="G8" t="s">
        <v>810</v>
      </c>
      <c r="H8" t="s">
        <v>810</v>
      </c>
      <c r="I8" s="334"/>
      <c r="J8" s="334">
        <v>730.3</v>
      </c>
      <c r="K8" s="334"/>
      <c r="L8" s="334"/>
      <c r="M8" s="334">
        <v>730.3</v>
      </c>
    </row>
    <row r="9" spans="1:19">
      <c r="B9" t="s">
        <v>811</v>
      </c>
      <c r="C9" t="s">
        <v>327</v>
      </c>
      <c r="D9" s="295" t="s">
        <v>284</v>
      </c>
      <c r="E9">
        <v>3</v>
      </c>
      <c r="F9" t="s">
        <v>292</v>
      </c>
      <c r="G9" t="s">
        <v>149</v>
      </c>
      <c r="H9" t="s">
        <v>149</v>
      </c>
      <c r="I9" s="334"/>
      <c r="J9" s="334"/>
      <c r="K9" s="334"/>
      <c r="L9" s="334"/>
      <c r="M9" s="334"/>
    </row>
    <row r="10" spans="1:19">
      <c r="B10" t="s">
        <v>813</v>
      </c>
      <c r="C10" t="s">
        <v>327</v>
      </c>
      <c r="D10" s="295" t="s">
        <v>284</v>
      </c>
      <c r="E10">
        <v>11</v>
      </c>
      <c r="F10" t="s">
        <v>292</v>
      </c>
      <c r="G10" t="s">
        <v>149</v>
      </c>
      <c r="H10" t="s">
        <v>149</v>
      </c>
      <c r="I10" s="334"/>
      <c r="J10" s="334"/>
      <c r="K10" s="334"/>
      <c r="L10" s="334">
        <v>14973.54</v>
      </c>
      <c r="M10" s="334">
        <v>14973.54</v>
      </c>
    </row>
    <row r="11" spans="1:19">
      <c r="B11" t="s">
        <v>1654</v>
      </c>
      <c r="C11" t="s">
        <v>327</v>
      </c>
      <c r="D11" s="295" t="s">
        <v>284</v>
      </c>
      <c r="E11">
        <v>2</v>
      </c>
      <c r="F11">
        <v>2</v>
      </c>
      <c r="G11" t="s">
        <v>1029</v>
      </c>
      <c r="H11" t="s">
        <v>1029</v>
      </c>
      <c r="I11" s="334"/>
      <c r="J11" s="334"/>
      <c r="K11" s="334"/>
      <c r="L11" s="334">
        <v>2799.06</v>
      </c>
      <c r="M11" s="334">
        <v>2799.06</v>
      </c>
    </row>
    <row r="12" spans="1:19">
      <c r="A12" t="s">
        <v>542</v>
      </c>
      <c r="D12"/>
      <c r="E12"/>
      <c r="G12"/>
      <c r="H12"/>
      <c r="I12" s="70">
        <v>5074.58</v>
      </c>
      <c r="J12" s="70">
        <v>730.3</v>
      </c>
      <c r="K12" s="70">
        <v>32000</v>
      </c>
      <c r="L12" s="70">
        <v>25926.350000000002</v>
      </c>
      <c r="M12" s="327">
        <v>63731.23</v>
      </c>
    </row>
    <row r="13" spans="1:19">
      <c r="A13" t="s">
        <v>59</v>
      </c>
      <c r="B13" t="s">
        <v>814</v>
      </c>
      <c r="C13" t="s">
        <v>327</v>
      </c>
      <c r="D13" s="326" t="s">
        <v>310</v>
      </c>
      <c r="E13">
        <v>2</v>
      </c>
      <c r="F13">
        <v>2</v>
      </c>
      <c r="G13" t="s">
        <v>815</v>
      </c>
      <c r="H13" t="s">
        <v>815</v>
      </c>
      <c r="I13" s="325">
        <v>5542.32</v>
      </c>
      <c r="J13" s="325"/>
      <c r="K13" s="325"/>
      <c r="L13" s="325"/>
      <c r="M13" s="325">
        <v>5542.32</v>
      </c>
    </row>
    <row r="14" spans="1:19">
      <c r="B14" t="s">
        <v>791</v>
      </c>
      <c r="C14" t="s">
        <v>327</v>
      </c>
      <c r="D14" s="326" t="s">
        <v>310</v>
      </c>
      <c r="E14">
        <v>17</v>
      </c>
      <c r="F14">
        <v>25</v>
      </c>
      <c r="G14" t="s">
        <v>816</v>
      </c>
      <c r="H14" t="s">
        <v>816</v>
      </c>
      <c r="I14" s="325"/>
      <c r="J14" s="325">
        <v>33810.54</v>
      </c>
      <c r="K14" s="325"/>
      <c r="L14" s="325"/>
      <c r="M14" s="325">
        <v>33810.54</v>
      </c>
    </row>
    <row r="15" spans="1:19">
      <c r="B15" t="s">
        <v>793</v>
      </c>
      <c r="C15" t="s">
        <v>327</v>
      </c>
      <c r="D15" s="326" t="s">
        <v>310</v>
      </c>
      <c r="E15">
        <v>15</v>
      </c>
      <c r="F15">
        <v>31</v>
      </c>
      <c r="G15" t="s">
        <v>802</v>
      </c>
      <c r="H15" t="s">
        <v>802</v>
      </c>
      <c r="I15" s="325"/>
      <c r="J15" s="325">
        <v>32385.58</v>
      </c>
      <c r="K15" s="325"/>
      <c r="L15" s="325"/>
      <c r="M15" s="325">
        <v>32385.58</v>
      </c>
    </row>
    <row r="16" spans="1:19">
      <c r="A16" t="s">
        <v>525</v>
      </c>
      <c r="D16"/>
      <c r="E16"/>
      <c r="G16"/>
      <c r="H16"/>
      <c r="I16" s="70">
        <v>5542.32</v>
      </c>
      <c r="J16" s="70">
        <v>66196.12</v>
      </c>
      <c r="K16" s="70"/>
      <c r="L16" s="70"/>
      <c r="M16" s="327">
        <v>71738.44</v>
      </c>
    </row>
    <row r="17" spans="1:19">
      <c r="A17" t="s">
        <v>506</v>
      </c>
      <c r="D17"/>
      <c r="E17"/>
      <c r="G17"/>
      <c r="H17"/>
      <c r="I17" s="70">
        <v>10616.9</v>
      </c>
      <c r="J17" s="70">
        <v>66926.420000000013</v>
      </c>
      <c r="K17" s="70">
        <v>32000</v>
      </c>
      <c r="L17" s="70">
        <v>25926.350000000002</v>
      </c>
      <c r="M17" s="324">
        <v>135469.66999999998</v>
      </c>
    </row>
    <row r="18" spans="1:19">
      <c r="D18"/>
      <c r="E18"/>
      <c r="G18"/>
      <c r="H18"/>
      <c r="I18"/>
      <c r="J18"/>
    </row>
    <row r="19" spans="1:19">
      <c r="D19"/>
      <c r="E19"/>
      <c r="G19"/>
      <c r="H19"/>
      <c r="I19"/>
      <c r="J19"/>
    </row>
    <row r="20" spans="1:19">
      <c r="D20"/>
      <c r="E20"/>
      <c r="G20"/>
      <c r="H20"/>
      <c r="I20"/>
      <c r="J20"/>
    </row>
    <row r="21" spans="1:19">
      <c r="D21"/>
      <c r="E21"/>
      <c r="G21"/>
      <c r="H21"/>
      <c r="I21"/>
      <c r="J21"/>
    </row>
    <row r="22" spans="1:19">
      <c r="D22"/>
      <c r="E22"/>
      <c r="G22"/>
      <c r="H22"/>
      <c r="I22"/>
      <c r="J22"/>
    </row>
    <row r="23" spans="1:19">
      <c r="D23"/>
      <c r="E23"/>
      <c r="G23"/>
      <c r="H23"/>
      <c r="I23"/>
      <c r="J23"/>
    </row>
    <row r="24" spans="1:19" s="122" customFormat="1">
      <c r="A24"/>
      <c r="B24"/>
      <c r="C24"/>
      <c r="D24"/>
      <c r="E24"/>
      <c r="F24"/>
      <c r="G24"/>
      <c r="H24"/>
      <c r="I24"/>
      <c r="J24"/>
      <c r="K24"/>
      <c r="L24"/>
      <c r="M24"/>
      <c r="N24"/>
      <c r="O24"/>
      <c r="P24"/>
      <c r="Q24"/>
      <c r="R24"/>
      <c r="S24"/>
    </row>
    <row r="25" spans="1:19">
      <c r="D25"/>
      <c r="E25"/>
      <c r="G25"/>
      <c r="H25"/>
      <c r="I25"/>
      <c r="J25"/>
    </row>
    <row r="26" spans="1:19">
      <c r="D26"/>
      <c r="E26"/>
      <c r="G26"/>
      <c r="H26"/>
      <c r="I26"/>
      <c r="J26"/>
    </row>
    <row r="27" spans="1:19">
      <c r="D27"/>
      <c r="E27"/>
      <c r="G27"/>
      <c r="H27"/>
      <c r="I27"/>
      <c r="J27"/>
    </row>
    <row r="28" spans="1:19">
      <c r="D28"/>
      <c r="E28"/>
      <c r="G28"/>
      <c r="H28"/>
      <c r="I28"/>
      <c r="J28"/>
    </row>
    <row r="29" spans="1:19">
      <c r="D29"/>
      <c r="E29"/>
      <c r="G29"/>
      <c r="H29"/>
      <c r="I29"/>
      <c r="J29"/>
    </row>
    <row r="30" spans="1:19">
      <c r="D30"/>
      <c r="E30"/>
      <c r="G30"/>
      <c r="H30"/>
      <c r="I30"/>
      <c r="J30"/>
    </row>
    <row r="31" spans="1:19">
      <c r="D31"/>
      <c r="E31"/>
      <c r="G31"/>
      <c r="H31"/>
      <c r="I31"/>
      <c r="J31"/>
    </row>
    <row r="32" spans="1:19">
      <c r="D32"/>
      <c r="E32"/>
      <c r="G32"/>
      <c r="H32"/>
      <c r="I32"/>
      <c r="J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spans="1:19">
      <c r="D49"/>
      <c r="E49"/>
      <c r="G49"/>
      <c r="H49"/>
      <c r="I49"/>
      <c r="J49"/>
    </row>
    <row r="50" spans="1:19">
      <c r="D50"/>
      <c r="E50"/>
      <c r="G50"/>
      <c r="H50"/>
      <c r="I50"/>
      <c r="J50"/>
    </row>
    <row r="51" spans="1:19">
      <c r="D51"/>
      <c r="E51"/>
      <c r="G51"/>
      <c r="H51"/>
      <c r="I51"/>
      <c r="J51"/>
    </row>
    <row r="52" spans="1:19" s="113" customFormat="1">
      <c r="A52"/>
      <c r="B52"/>
      <c r="C52"/>
      <c r="D52"/>
      <c r="E52"/>
      <c r="F52"/>
      <c r="G52"/>
      <c r="H52"/>
      <c r="I52"/>
      <c r="J52"/>
      <c r="K52"/>
      <c r="L52"/>
      <c r="M52"/>
      <c r="N52"/>
      <c r="O52"/>
      <c r="P52"/>
      <c r="Q52"/>
      <c r="R52"/>
      <c r="S52"/>
    </row>
    <row r="53" spans="1:19">
      <c r="D53"/>
      <c r="E53"/>
      <c r="G53"/>
      <c r="H53"/>
      <c r="I53"/>
      <c r="J53"/>
    </row>
    <row r="54" spans="1:19">
      <c r="D54"/>
      <c r="E54"/>
      <c r="G54"/>
      <c r="H54"/>
      <c r="I54"/>
      <c r="J54"/>
    </row>
    <row r="55" spans="1:19">
      <c r="D55"/>
      <c r="E55"/>
      <c r="G55"/>
      <c r="H55"/>
      <c r="I55"/>
      <c r="J55"/>
    </row>
    <row r="56" spans="1:19">
      <c r="D56"/>
      <c r="E56"/>
      <c r="G56"/>
      <c r="H56"/>
      <c r="I56"/>
      <c r="J56"/>
    </row>
    <row r="57" spans="1:19">
      <c r="D57"/>
      <c r="E57"/>
      <c r="G57"/>
      <c r="H57"/>
      <c r="I57"/>
      <c r="J57"/>
    </row>
    <row r="58" spans="1:19">
      <c r="D58"/>
      <c r="E58"/>
      <c r="G58"/>
      <c r="H58"/>
      <c r="I58"/>
      <c r="J58"/>
    </row>
    <row r="59" spans="1:19">
      <c r="D59"/>
      <c r="E59"/>
      <c r="G59"/>
      <c r="H59"/>
      <c r="I59"/>
      <c r="J59"/>
    </row>
    <row r="60" spans="1:19">
      <c r="D60"/>
      <c r="E60"/>
      <c r="G60"/>
      <c r="H60"/>
      <c r="I60"/>
      <c r="J60"/>
    </row>
    <row r="61" spans="1:19">
      <c r="D61"/>
      <c r="E61"/>
      <c r="G61"/>
      <c r="H61"/>
      <c r="I61"/>
      <c r="J61"/>
    </row>
    <row r="62" spans="1:19">
      <c r="D62"/>
      <c r="E62"/>
      <c r="G62"/>
      <c r="H62"/>
      <c r="I62"/>
      <c r="J62"/>
    </row>
    <row r="63" spans="1:19">
      <c r="D63"/>
      <c r="E63"/>
      <c r="G63"/>
      <c r="H63"/>
      <c r="I63"/>
      <c r="J63"/>
    </row>
    <row r="64" spans="1:19">
      <c r="D64"/>
      <c r="E64"/>
      <c r="G64"/>
      <c r="H64"/>
      <c r="I64"/>
      <c r="J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2 E3:E115 E116:H1048576">
    <cfRule type="cellIs" dxfId="86" priority="3"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70" zoomScaleNormal="70" workbookViewId="0">
      <pane xSplit="6" ySplit="3" topLeftCell="G4" activePane="bottomRight" state="frozen"/>
      <selection pane="topRight" activeCell="G1" sqref="G1"/>
      <selection pane="bottomLeft" activeCell="A6" sqref="A6"/>
      <selection pane="bottomRight" activeCell="D31" sqref="D31"/>
    </sheetView>
  </sheetViews>
  <sheetFormatPr defaultRowHeight="14.4" outlineLevelCol="2"/>
  <cols>
    <col min="1" max="1" width="15.44140625" customWidth="1"/>
    <col min="2" max="2" width="50" bestFit="1" customWidth="1"/>
    <col min="3" max="3" width="12.33203125" bestFit="1" customWidth="1"/>
    <col min="4" max="4" width="13" style="13" bestFit="1" customWidth="1"/>
    <col min="5" max="5" width="18.6640625" style="115" bestFit="1" customWidth="1"/>
    <col min="6" max="6" width="11.6640625" customWidth="1"/>
    <col min="7" max="7" width="12.6640625" style="142" bestFit="1" customWidth="1"/>
    <col min="8" max="8" width="22.6640625" style="142" bestFit="1" customWidth="1"/>
    <col min="9" max="9" width="10.88671875" style="143" bestFit="1" customWidth="1"/>
    <col min="10" max="10" width="10.88671875" style="126" bestFit="1" customWidth="1"/>
    <col min="11" max="16" width="10.88671875" bestFit="1" customWidth="1"/>
    <col min="17" max="17" width="35.33203125" customWidth="1"/>
    <col min="18" max="18" width="10.6640625" bestFit="1" customWidth="1"/>
    <col min="19" max="19" width="10.44140625" bestFit="1" customWidth="1"/>
    <col min="20" max="20" width="10.6640625" bestFit="1" customWidth="1"/>
    <col min="21" max="22" width="14.5546875" style="12" bestFit="1" customWidth="1"/>
    <col min="23" max="25" width="14.5546875" bestFit="1" customWidth="1"/>
    <col min="26" max="26" width="14.5546875" bestFit="1" customWidth="1" outlineLevel="1"/>
    <col min="27" max="27" width="14.5546875" bestFit="1" customWidth="1" outlineLevel="2"/>
    <col min="28" max="28" width="14.5546875" style="12" bestFit="1" customWidth="1" outlineLevel="2"/>
    <col min="29" max="29" width="16.44140625" bestFit="1" customWidth="1" outlineLevel="2"/>
    <col min="30" max="30" width="16" customWidth="1" outlineLevel="2"/>
    <col min="31" max="32" width="15.44140625" customWidth="1" outlineLevel="2"/>
    <col min="33" max="33" width="51.5546875" customWidth="1" outlineLevel="2"/>
    <col min="34" max="34" width="10.5546875" customWidth="1" outlineLevel="2"/>
    <col min="35" max="35" width="17.44140625" style="13" customWidth="1" outlineLevel="2"/>
    <col min="36" max="36" width="18.554687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4140625" bestFit="1" customWidth="1" outlineLevel="2"/>
    <col min="56" max="56" width="11" bestFit="1" customWidth="1" outlineLevel="1"/>
    <col min="57" max="57" width="15.44140625" customWidth="1"/>
    <col min="58" max="58" width="10.6640625" customWidth="1"/>
    <col min="59" max="59" width="10.6640625" style="12" customWidth="1"/>
    <col min="60" max="60" width="10.6640625" customWidth="1"/>
    <col min="61" max="61" width="15.44140625" bestFit="1" customWidth="1"/>
  </cols>
  <sheetData>
    <row r="1" spans="1:61">
      <c r="A1" t="s">
        <v>768</v>
      </c>
      <c r="D1"/>
      <c r="E1"/>
      <c r="G1"/>
      <c r="H1"/>
      <c r="I1" t="s">
        <v>503</v>
      </c>
      <c r="J1" t="s">
        <v>504</v>
      </c>
      <c r="U1"/>
      <c r="V1"/>
      <c r="AB1"/>
      <c r="AF1" t="s">
        <v>769</v>
      </c>
      <c r="AI1"/>
      <c r="AJ1"/>
      <c r="AK1" t="s">
        <v>503</v>
      </c>
      <c r="AL1" t="s">
        <v>504</v>
      </c>
      <c r="AM1"/>
      <c r="AN1"/>
      <c r="AO1"/>
      <c r="AZ1"/>
      <c r="BA1"/>
      <c r="BG1"/>
    </row>
    <row r="2" spans="1:61" ht="28.8">
      <c r="D2"/>
      <c r="E2"/>
      <c r="G2"/>
      <c r="H2"/>
      <c r="I2" t="s">
        <v>505</v>
      </c>
      <c r="J2"/>
      <c r="K2" t="s">
        <v>770</v>
      </c>
      <c r="P2" s="167" t="s">
        <v>506</v>
      </c>
      <c r="U2"/>
      <c r="V2"/>
      <c r="AB2"/>
      <c r="AI2"/>
      <c r="AJ2"/>
      <c r="AK2" t="s">
        <v>505</v>
      </c>
      <c r="AL2"/>
      <c r="AM2"/>
      <c r="AN2"/>
      <c r="AO2"/>
      <c r="AU2" t="s">
        <v>149</v>
      </c>
      <c r="AV2" t="s">
        <v>770</v>
      </c>
      <c r="AZ2"/>
      <c r="BA2"/>
      <c r="BC2" s="167" t="s">
        <v>506</v>
      </c>
      <c r="BG2"/>
    </row>
    <row r="3" spans="1:61" s="167" customFormat="1" ht="30.6" customHeight="1">
      <c r="A3" s="167" t="s">
        <v>218</v>
      </c>
      <c r="B3" s="167" t="s">
        <v>216</v>
      </c>
      <c r="C3" s="167" t="s">
        <v>211</v>
      </c>
      <c r="D3" s="167" t="s">
        <v>230</v>
      </c>
      <c r="E3" s="270" t="s">
        <v>226</v>
      </c>
      <c r="F3" s="270" t="s">
        <v>227</v>
      </c>
      <c r="G3" s="270" t="s">
        <v>240</v>
      </c>
      <c r="H3" s="270" t="s">
        <v>241</v>
      </c>
      <c r="I3" s="270" t="s">
        <v>312</v>
      </c>
      <c r="J3" s="270" t="s">
        <v>333</v>
      </c>
      <c r="K3" s="270" t="s">
        <v>319</v>
      </c>
      <c r="L3" s="313" t="s">
        <v>347</v>
      </c>
      <c r="M3" s="313" t="s">
        <v>337</v>
      </c>
      <c r="N3" s="270" t="s">
        <v>332</v>
      </c>
      <c r="O3" s="270" t="s">
        <v>286</v>
      </c>
      <c r="Q3"/>
      <c r="R3" s="313"/>
      <c r="S3" s="313"/>
      <c r="T3" s="313"/>
      <c r="U3" s="270"/>
      <c r="V3" s="270"/>
      <c r="W3" s="270"/>
      <c r="X3" s="270"/>
      <c r="Y3" s="270"/>
      <c r="Z3" s="270"/>
      <c r="AA3" s="270"/>
      <c r="AB3" s="270"/>
      <c r="AC3" s="270"/>
      <c r="AD3" s="270"/>
      <c r="AE3" s="270"/>
      <c r="AF3" s="167" t="s">
        <v>210</v>
      </c>
      <c r="AG3" s="167" t="s">
        <v>216</v>
      </c>
      <c r="AH3" s="167" t="s">
        <v>211</v>
      </c>
      <c r="AI3" s="167" t="s">
        <v>218</v>
      </c>
      <c r="AJ3" s="167" t="s">
        <v>230</v>
      </c>
      <c r="AK3" s="270" t="s">
        <v>381</v>
      </c>
      <c r="AL3" s="270" t="s">
        <v>325</v>
      </c>
      <c r="AM3" s="270" t="s">
        <v>294</v>
      </c>
      <c r="AN3" s="270" t="s">
        <v>279</v>
      </c>
      <c r="AO3" s="270" t="s">
        <v>280</v>
      </c>
      <c r="AP3" s="270" t="s">
        <v>281</v>
      </c>
      <c r="AQ3" s="270" t="s">
        <v>297</v>
      </c>
      <c r="AR3" s="313" t="s">
        <v>303</v>
      </c>
      <c r="AS3" s="270" t="s">
        <v>312</v>
      </c>
      <c r="AT3" s="270" t="s">
        <v>333</v>
      </c>
      <c r="AU3" s="270" t="s">
        <v>149</v>
      </c>
      <c r="AV3" s="270" t="s">
        <v>319</v>
      </c>
      <c r="AW3" s="270" t="s">
        <v>337</v>
      </c>
      <c r="AX3" s="270" t="s">
        <v>332</v>
      </c>
      <c r="AY3" s="270" t="s">
        <v>286</v>
      </c>
      <c r="AZ3" s="270" t="s">
        <v>288</v>
      </c>
      <c r="BA3" s="270" t="s">
        <v>289</v>
      </c>
      <c r="BB3" s="270" t="s">
        <v>374</v>
      </c>
      <c r="BD3" s="270"/>
      <c r="BE3" s="270"/>
      <c r="BF3" s="270"/>
      <c r="BG3" s="270"/>
      <c r="BH3" s="270"/>
      <c r="BI3" s="270"/>
    </row>
    <row r="4" spans="1:61">
      <c r="A4" s="326" t="s">
        <v>310</v>
      </c>
      <c r="B4" t="s">
        <v>554</v>
      </c>
      <c r="C4" t="s">
        <v>267</v>
      </c>
      <c r="D4">
        <v>50</v>
      </c>
      <c r="E4">
        <v>29</v>
      </c>
      <c r="F4">
        <v>48</v>
      </c>
      <c r="G4" t="s">
        <v>805</v>
      </c>
      <c r="H4" t="s">
        <v>817</v>
      </c>
      <c r="I4" s="325">
        <v>148976.37</v>
      </c>
      <c r="J4" s="325">
        <v>59908.57</v>
      </c>
      <c r="K4" s="325"/>
      <c r="L4" s="325"/>
      <c r="M4" s="325"/>
      <c r="N4" s="325"/>
      <c r="O4" s="325"/>
      <c r="P4" s="325">
        <v>208884.94</v>
      </c>
      <c r="U4"/>
      <c r="V4"/>
      <c r="AB4"/>
      <c r="AF4" t="s">
        <v>59</v>
      </c>
      <c r="AG4" t="s">
        <v>515</v>
      </c>
      <c r="AH4" t="s">
        <v>267</v>
      </c>
      <c r="AI4" s="293" t="s">
        <v>271</v>
      </c>
      <c r="AJ4">
        <v>26</v>
      </c>
      <c r="AK4" s="293"/>
      <c r="AL4" s="293"/>
      <c r="AM4" s="293"/>
      <c r="AN4" s="293">
        <v>1</v>
      </c>
      <c r="AO4" s="293">
        <v>0</v>
      </c>
      <c r="AP4" s="293">
        <v>0</v>
      </c>
      <c r="AQ4" s="293"/>
      <c r="AR4" s="293"/>
      <c r="AS4" s="293"/>
      <c r="AT4" s="293"/>
      <c r="AU4" s="293"/>
      <c r="AV4" s="293"/>
      <c r="AW4" s="293"/>
      <c r="AX4" s="293"/>
      <c r="AY4" s="293"/>
      <c r="AZ4" s="293"/>
      <c r="BA4" s="293"/>
      <c r="BB4" s="293"/>
      <c r="BC4" s="296">
        <v>1</v>
      </c>
      <c r="BG4"/>
    </row>
    <row r="5" spans="1:61">
      <c r="A5" s="326"/>
      <c r="B5" t="s">
        <v>559</v>
      </c>
      <c r="C5" t="s">
        <v>267</v>
      </c>
      <c r="D5">
        <v>15</v>
      </c>
      <c r="E5">
        <v>7</v>
      </c>
      <c r="F5">
        <v>17</v>
      </c>
      <c r="G5" t="s">
        <v>818</v>
      </c>
      <c r="H5" t="s">
        <v>810</v>
      </c>
      <c r="I5" s="325">
        <v>64112.41</v>
      </c>
      <c r="J5" s="325"/>
      <c r="K5" s="325"/>
      <c r="L5" s="325"/>
      <c r="M5" s="325"/>
      <c r="N5" s="325"/>
      <c r="O5" s="325"/>
      <c r="P5" s="325">
        <v>64112.41</v>
      </c>
      <c r="U5"/>
      <c r="V5"/>
      <c r="AB5"/>
      <c r="AG5" t="s">
        <v>508</v>
      </c>
      <c r="AH5" t="s">
        <v>267</v>
      </c>
      <c r="AI5" s="293" t="s">
        <v>271</v>
      </c>
      <c r="AJ5">
        <v>1</v>
      </c>
      <c r="AK5" s="293"/>
      <c r="AL5" s="293"/>
      <c r="AM5" s="293"/>
      <c r="AN5" s="293"/>
      <c r="AO5" s="293">
        <v>1</v>
      </c>
      <c r="AP5" s="293"/>
      <c r="AQ5" s="293"/>
      <c r="AR5" s="293"/>
      <c r="AS5" s="293"/>
      <c r="AT5" s="293"/>
      <c r="AU5" s="293"/>
      <c r="AV5" s="293"/>
      <c r="AW5" s="293"/>
      <c r="AX5" s="293"/>
      <c r="AY5" s="293"/>
      <c r="AZ5" s="293"/>
      <c r="BA5" s="293"/>
      <c r="BB5" s="293"/>
      <c r="BC5" s="296">
        <v>1</v>
      </c>
      <c r="BG5"/>
    </row>
    <row r="6" spans="1:61">
      <c r="A6" s="326"/>
      <c r="B6" t="s">
        <v>562</v>
      </c>
      <c r="C6" t="s">
        <v>267</v>
      </c>
      <c r="D6">
        <v>24</v>
      </c>
      <c r="E6">
        <v>7</v>
      </c>
      <c r="F6">
        <v>13</v>
      </c>
      <c r="G6" t="s">
        <v>802</v>
      </c>
      <c r="H6" t="s">
        <v>803</v>
      </c>
      <c r="I6" s="325">
        <v>48791.869999999995</v>
      </c>
      <c r="J6" s="325"/>
      <c r="K6" s="325"/>
      <c r="L6" s="325"/>
      <c r="M6" s="325"/>
      <c r="N6" s="325"/>
      <c r="O6" s="325"/>
      <c r="P6" s="325">
        <v>48791.869999999995</v>
      </c>
      <c r="U6"/>
      <c r="V6"/>
      <c r="AB6"/>
      <c r="AG6" t="s">
        <v>509</v>
      </c>
      <c r="AH6" t="s">
        <v>267</v>
      </c>
      <c r="AI6" s="293" t="s">
        <v>271</v>
      </c>
      <c r="AJ6">
        <v>26</v>
      </c>
      <c r="AK6" s="293">
        <v>0</v>
      </c>
      <c r="AL6" s="293"/>
      <c r="AM6" s="293">
        <v>1</v>
      </c>
      <c r="AN6" s="293"/>
      <c r="AO6" s="293"/>
      <c r="AP6" s="293"/>
      <c r="AQ6" s="293"/>
      <c r="AR6" s="293"/>
      <c r="AS6" s="293"/>
      <c r="AT6" s="293"/>
      <c r="AU6" s="293"/>
      <c r="AV6" s="293"/>
      <c r="AW6" s="293"/>
      <c r="AX6" s="293"/>
      <c r="AY6" s="293"/>
      <c r="AZ6" s="293"/>
      <c r="BA6" s="293"/>
      <c r="BB6" s="293"/>
      <c r="BC6" s="296">
        <v>1</v>
      </c>
      <c r="BG6"/>
    </row>
    <row r="7" spans="1:61">
      <c r="A7" s="326"/>
      <c r="B7" t="s">
        <v>555</v>
      </c>
      <c r="C7" t="s">
        <v>267</v>
      </c>
      <c r="D7">
        <v>7</v>
      </c>
      <c r="E7">
        <v>7</v>
      </c>
      <c r="F7">
        <v>9</v>
      </c>
      <c r="G7" t="s">
        <v>803</v>
      </c>
      <c r="H7" t="s">
        <v>803</v>
      </c>
      <c r="I7" s="325"/>
      <c r="J7" s="325">
        <v>15139</v>
      </c>
      <c r="K7" s="325"/>
      <c r="L7" s="325"/>
      <c r="M7" s="325"/>
      <c r="N7" s="325"/>
      <c r="O7" s="325"/>
      <c r="P7" s="325">
        <v>15139</v>
      </c>
      <c r="U7"/>
      <c r="V7"/>
      <c r="AB7"/>
      <c r="AG7" t="s">
        <v>511</v>
      </c>
      <c r="AH7" t="s">
        <v>267</v>
      </c>
      <c r="AI7" s="293" t="s">
        <v>271</v>
      </c>
      <c r="AJ7">
        <v>50</v>
      </c>
      <c r="AK7" s="293"/>
      <c r="AL7" s="293"/>
      <c r="AM7" s="293"/>
      <c r="AN7" s="293"/>
      <c r="AO7" s="293">
        <v>1</v>
      </c>
      <c r="AP7" s="293">
        <v>0</v>
      </c>
      <c r="AQ7" s="293">
        <v>0</v>
      </c>
      <c r="AR7" s="293"/>
      <c r="AS7" s="293"/>
      <c r="AT7" s="293"/>
      <c r="AU7" s="293"/>
      <c r="AV7" s="293"/>
      <c r="AW7" s="293"/>
      <c r="AX7" s="293"/>
      <c r="AY7" s="293"/>
      <c r="AZ7" s="293"/>
      <c r="BA7" s="293"/>
      <c r="BB7" s="293"/>
      <c r="BC7" s="296">
        <v>1</v>
      </c>
      <c r="BG7"/>
    </row>
    <row r="8" spans="1:61">
      <c r="A8" s="326"/>
      <c r="B8" t="s">
        <v>556</v>
      </c>
      <c r="C8" t="s">
        <v>267</v>
      </c>
      <c r="D8">
        <v>2</v>
      </c>
      <c r="E8"/>
      <c r="G8"/>
      <c r="H8"/>
      <c r="I8" s="325">
        <v>10410</v>
      </c>
      <c r="J8" s="325"/>
      <c r="K8" s="325"/>
      <c r="L8" s="325"/>
      <c r="M8" s="325"/>
      <c r="N8" s="325"/>
      <c r="O8" s="325"/>
      <c r="P8" s="325">
        <v>10410</v>
      </c>
      <c r="U8"/>
      <c r="V8"/>
      <c r="AB8"/>
      <c r="AG8" t="s">
        <v>507</v>
      </c>
      <c r="AH8" t="s">
        <v>267</v>
      </c>
      <c r="AI8" s="293" t="s">
        <v>271</v>
      </c>
      <c r="AJ8">
        <v>18</v>
      </c>
      <c r="AK8" s="293"/>
      <c r="AL8" s="293"/>
      <c r="AM8" s="293"/>
      <c r="AN8" s="293"/>
      <c r="AO8" s="293">
        <v>1</v>
      </c>
      <c r="AP8" s="293">
        <v>0</v>
      </c>
      <c r="AQ8" s="293"/>
      <c r="AR8" s="293"/>
      <c r="AS8" s="293"/>
      <c r="AT8" s="293"/>
      <c r="AU8" s="293"/>
      <c r="AV8" s="293"/>
      <c r="AW8" s="293"/>
      <c r="AX8" s="293"/>
      <c r="AY8" s="293"/>
      <c r="AZ8" s="293"/>
      <c r="BA8" s="293"/>
      <c r="BB8" s="293"/>
      <c r="BC8" s="296">
        <v>1</v>
      </c>
      <c r="BG8"/>
    </row>
    <row r="9" spans="1:61">
      <c r="A9" s="326"/>
      <c r="B9" t="s">
        <v>557</v>
      </c>
      <c r="C9" t="s">
        <v>267</v>
      </c>
      <c r="D9">
        <v>5</v>
      </c>
      <c r="E9">
        <v>5</v>
      </c>
      <c r="F9">
        <v>9</v>
      </c>
      <c r="G9" t="s">
        <v>806</v>
      </c>
      <c r="H9" t="s">
        <v>806</v>
      </c>
      <c r="I9" s="325">
        <v>17615.419999999998</v>
      </c>
      <c r="J9" s="325"/>
      <c r="K9" s="325"/>
      <c r="L9" s="325"/>
      <c r="M9" s="325"/>
      <c r="N9" s="325"/>
      <c r="O9" s="325"/>
      <c r="P9" s="325">
        <v>17615.419999999998</v>
      </c>
      <c r="U9"/>
      <c r="V9"/>
      <c r="AB9"/>
      <c r="AG9" t="s">
        <v>776</v>
      </c>
      <c r="AH9" t="s">
        <v>267</v>
      </c>
      <c r="AI9" s="294" t="s">
        <v>284</v>
      </c>
      <c r="AJ9">
        <v>24</v>
      </c>
      <c r="AK9" s="294"/>
      <c r="AL9" s="294"/>
      <c r="AM9" s="294"/>
      <c r="AN9" s="294"/>
      <c r="AO9" s="294"/>
      <c r="AP9" s="294"/>
      <c r="AQ9" s="294"/>
      <c r="AR9" s="294"/>
      <c r="AS9" s="294"/>
      <c r="AT9" s="294"/>
      <c r="AU9" s="294"/>
      <c r="AV9" s="294"/>
      <c r="AW9" s="294"/>
      <c r="AX9" s="294">
        <v>1</v>
      </c>
      <c r="AY9" s="294">
        <v>0</v>
      </c>
      <c r="AZ9" s="294"/>
      <c r="BA9" s="294"/>
      <c r="BB9" s="294"/>
      <c r="BC9" s="295">
        <v>1</v>
      </c>
      <c r="BG9"/>
    </row>
    <row r="10" spans="1:61">
      <c r="A10" s="326"/>
      <c r="B10" t="s">
        <v>787</v>
      </c>
      <c r="C10" t="s">
        <v>267</v>
      </c>
      <c r="D10">
        <v>35</v>
      </c>
      <c r="E10">
        <v>25</v>
      </c>
      <c r="F10">
        <v>57</v>
      </c>
      <c r="G10" t="s">
        <v>819</v>
      </c>
      <c r="H10" t="s">
        <v>809</v>
      </c>
      <c r="I10" s="325"/>
      <c r="J10" s="325"/>
      <c r="K10" s="325">
        <v>83963.209999999992</v>
      </c>
      <c r="L10" s="325"/>
      <c r="M10" s="325"/>
      <c r="N10" s="325"/>
      <c r="O10" s="325"/>
      <c r="P10" s="325">
        <v>83963.209999999992</v>
      </c>
      <c r="U10"/>
      <c r="V10"/>
      <c r="AB10"/>
      <c r="AG10" t="s">
        <v>523</v>
      </c>
      <c r="AH10" t="s">
        <v>267</v>
      </c>
      <c r="AI10" s="293" t="s">
        <v>271</v>
      </c>
      <c r="AJ10">
        <v>12</v>
      </c>
      <c r="AK10" s="293"/>
      <c r="AL10" s="293"/>
      <c r="AM10" s="293"/>
      <c r="AN10" s="293"/>
      <c r="AO10" s="293"/>
      <c r="AP10" s="293">
        <v>1</v>
      </c>
      <c r="AQ10" s="293"/>
      <c r="AR10" s="293"/>
      <c r="AS10" s="293"/>
      <c r="AT10" s="293"/>
      <c r="AU10" s="293"/>
      <c r="AV10" s="293"/>
      <c r="AW10" s="293"/>
      <c r="AX10" s="293"/>
      <c r="AY10" s="293"/>
      <c r="AZ10" s="293"/>
      <c r="BA10" s="293"/>
      <c r="BB10" s="293"/>
      <c r="BC10" s="296">
        <v>1</v>
      </c>
      <c r="BG10"/>
    </row>
    <row r="11" spans="1:61">
      <c r="A11" s="326"/>
      <c r="B11" t="s">
        <v>558</v>
      </c>
      <c r="C11" t="s">
        <v>267</v>
      </c>
      <c r="D11">
        <v>1</v>
      </c>
      <c r="E11">
        <v>1</v>
      </c>
      <c r="F11">
        <v>1</v>
      </c>
      <c r="G11" t="s">
        <v>803</v>
      </c>
      <c r="H11" t="s">
        <v>803</v>
      </c>
      <c r="I11" s="325"/>
      <c r="J11" s="325">
        <v>3202</v>
      </c>
      <c r="K11" s="325"/>
      <c r="L11" s="325"/>
      <c r="M11" s="325"/>
      <c r="N11" s="325"/>
      <c r="O11" s="325"/>
      <c r="P11" s="325">
        <v>3202</v>
      </c>
      <c r="U11"/>
      <c r="V11"/>
      <c r="AB11"/>
      <c r="AG11" t="s">
        <v>522</v>
      </c>
      <c r="AH11" t="s">
        <v>267</v>
      </c>
      <c r="AI11" s="293" t="s">
        <v>271</v>
      </c>
      <c r="AJ11">
        <v>1</v>
      </c>
      <c r="AK11" s="293"/>
      <c r="AL11" s="293">
        <v>1</v>
      </c>
      <c r="AM11" s="293"/>
      <c r="AN11" s="293"/>
      <c r="AO11" s="293"/>
      <c r="AP11" s="293"/>
      <c r="AQ11" s="293"/>
      <c r="AR11" s="293"/>
      <c r="AS11" s="293"/>
      <c r="AT11" s="293"/>
      <c r="AU11" s="293"/>
      <c r="AV11" s="293"/>
      <c r="AW11" s="293"/>
      <c r="AX11" s="293"/>
      <c r="AY11" s="293"/>
      <c r="AZ11" s="293"/>
      <c r="BA11" s="293"/>
      <c r="BB11" s="293"/>
      <c r="BC11" s="296">
        <v>1</v>
      </c>
      <c r="BG11"/>
    </row>
    <row r="12" spans="1:61">
      <c r="A12" s="326"/>
      <c r="B12" t="s">
        <v>784</v>
      </c>
      <c r="C12" t="s">
        <v>267</v>
      </c>
      <c r="D12">
        <v>8</v>
      </c>
      <c r="E12">
        <v>7</v>
      </c>
      <c r="F12">
        <v>19</v>
      </c>
      <c r="G12" t="s">
        <v>820</v>
      </c>
      <c r="H12" t="s">
        <v>821</v>
      </c>
      <c r="I12" s="325"/>
      <c r="J12" s="325"/>
      <c r="K12" s="325"/>
      <c r="L12" s="325"/>
      <c r="M12" s="325">
        <v>37552</v>
      </c>
      <c r="N12" s="325"/>
      <c r="O12" s="325"/>
      <c r="P12" s="325">
        <v>37552</v>
      </c>
      <c r="U12"/>
      <c r="V12"/>
      <c r="AB12"/>
      <c r="AG12" t="s">
        <v>510</v>
      </c>
      <c r="AH12" t="s">
        <v>267</v>
      </c>
      <c r="AI12" s="293" t="s">
        <v>271</v>
      </c>
      <c r="AJ12">
        <v>9</v>
      </c>
      <c r="AK12" s="293"/>
      <c r="AL12" s="293"/>
      <c r="AM12" s="293">
        <v>1</v>
      </c>
      <c r="AN12" s="293"/>
      <c r="AO12" s="293"/>
      <c r="AP12" s="293"/>
      <c r="AQ12" s="293"/>
      <c r="AR12" s="293"/>
      <c r="AS12" s="293"/>
      <c r="AT12" s="293"/>
      <c r="AU12" s="293"/>
      <c r="AV12" s="293"/>
      <c r="AW12" s="293"/>
      <c r="AX12" s="293"/>
      <c r="AY12" s="293"/>
      <c r="AZ12" s="293"/>
      <c r="BA12" s="293"/>
      <c r="BB12" s="293"/>
      <c r="BC12" s="296">
        <v>1</v>
      </c>
      <c r="BG12"/>
    </row>
    <row r="13" spans="1:61">
      <c r="A13" s="314" t="s">
        <v>563</v>
      </c>
      <c r="B13" s="314"/>
      <c r="C13" s="314"/>
      <c r="D13" s="314"/>
      <c r="E13" s="314"/>
      <c r="F13" s="314"/>
      <c r="G13" s="314"/>
      <c r="H13" s="314"/>
      <c r="I13" s="315">
        <v>289906.07</v>
      </c>
      <c r="J13" s="315">
        <v>78249.570000000007</v>
      </c>
      <c r="K13" s="315">
        <v>83963.209999999992</v>
      </c>
      <c r="L13" s="315"/>
      <c r="M13" s="315">
        <v>37552</v>
      </c>
      <c r="N13" s="315"/>
      <c r="O13" s="315"/>
      <c r="P13" s="315">
        <v>489670.85</v>
      </c>
      <c r="U13"/>
      <c r="V13"/>
      <c r="AB13"/>
      <c r="AG13" t="s">
        <v>520</v>
      </c>
      <c r="AH13" t="s">
        <v>267</v>
      </c>
      <c r="AI13" s="293" t="s">
        <v>271</v>
      </c>
      <c r="AJ13">
        <v>11</v>
      </c>
      <c r="AK13" s="293"/>
      <c r="AL13" s="293"/>
      <c r="AM13" s="293"/>
      <c r="AN13" s="293"/>
      <c r="AO13" s="293"/>
      <c r="AP13" s="293"/>
      <c r="AQ13" s="293">
        <v>1</v>
      </c>
      <c r="AR13" s="293"/>
      <c r="AS13" s="293"/>
      <c r="AT13" s="293"/>
      <c r="AU13" s="293"/>
      <c r="AV13" s="293"/>
      <c r="AW13" s="293"/>
      <c r="AX13" s="293"/>
      <c r="AY13" s="293"/>
      <c r="AZ13" s="293"/>
      <c r="BA13" s="293"/>
      <c r="BB13" s="293"/>
      <c r="BC13" s="296">
        <v>1</v>
      </c>
      <c r="BG13"/>
    </row>
    <row r="14" spans="1:61">
      <c r="A14" s="336" t="s">
        <v>316</v>
      </c>
      <c r="B14" s="297" t="s">
        <v>792</v>
      </c>
      <c r="C14" t="s">
        <v>267</v>
      </c>
      <c r="D14">
        <v>27</v>
      </c>
      <c r="E14">
        <v>23</v>
      </c>
      <c r="F14" s="297">
        <v>27</v>
      </c>
      <c r="G14" t="s">
        <v>824</v>
      </c>
      <c r="H14" t="s">
        <v>824</v>
      </c>
      <c r="I14" s="335"/>
      <c r="J14" s="335"/>
      <c r="K14" s="335">
        <v>27000</v>
      </c>
      <c r="L14" s="335"/>
      <c r="M14" s="335"/>
      <c r="N14" s="335"/>
      <c r="O14" s="335"/>
      <c r="P14" s="335">
        <v>27000</v>
      </c>
      <c r="U14"/>
      <c r="V14"/>
      <c r="AB14"/>
      <c r="AI14" s="222" t="s">
        <v>310</v>
      </c>
      <c r="AJ14">
        <v>11</v>
      </c>
      <c r="AK14" s="222"/>
      <c r="AL14" s="222"/>
      <c r="AM14" s="222"/>
      <c r="AN14" s="222"/>
      <c r="AO14" s="222"/>
      <c r="AP14" s="222"/>
      <c r="AQ14" s="222"/>
      <c r="AR14" s="222">
        <v>0</v>
      </c>
      <c r="AS14" s="222"/>
      <c r="AT14" s="222"/>
      <c r="AU14" s="222"/>
      <c r="AV14" s="222"/>
      <c r="AW14" s="222"/>
      <c r="AX14" s="222"/>
      <c r="AY14" s="222"/>
      <c r="AZ14" s="222"/>
      <c r="BA14" s="222"/>
      <c r="BB14" s="222"/>
      <c r="BC14" s="297">
        <v>0</v>
      </c>
      <c r="BG14"/>
    </row>
    <row r="15" spans="1:61">
      <c r="A15" s="336"/>
      <c r="B15" s="297"/>
      <c r="D15"/>
      <c r="E15"/>
      <c r="F15" s="297"/>
      <c r="G15" t="s">
        <v>822</v>
      </c>
      <c r="H15" t="s">
        <v>823</v>
      </c>
      <c r="I15" s="335"/>
      <c r="J15" s="335"/>
      <c r="K15" s="335"/>
      <c r="L15" s="335">
        <v>43241.840000000011</v>
      </c>
      <c r="M15" s="335"/>
      <c r="N15" s="335"/>
      <c r="O15" s="335"/>
      <c r="P15" s="335">
        <v>43241.840000000011</v>
      </c>
      <c r="U15"/>
      <c r="V15"/>
      <c r="AB15"/>
      <c r="AG15" t="s">
        <v>517</v>
      </c>
      <c r="AH15" t="s">
        <v>267</v>
      </c>
      <c r="AI15" s="293" t="s">
        <v>271</v>
      </c>
      <c r="AJ15">
        <v>1</v>
      </c>
      <c r="AK15" s="293"/>
      <c r="AL15" s="293"/>
      <c r="AM15" s="293"/>
      <c r="AN15" s="293">
        <v>1</v>
      </c>
      <c r="AO15" s="293"/>
      <c r="AP15" s="293"/>
      <c r="AQ15" s="293"/>
      <c r="AR15" s="293"/>
      <c r="AS15" s="293"/>
      <c r="AT15" s="293"/>
      <c r="AU15" s="293"/>
      <c r="AV15" s="293"/>
      <c r="AW15" s="293"/>
      <c r="AX15" s="293"/>
      <c r="AY15" s="293"/>
      <c r="AZ15" s="293"/>
      <c r="BA15" s="293"/>
      <c r="BB15" s="293"/>
      <c r="BC15" s="296">
        <v>1</v>
      </c>
      <c r="BG15"/>
    </row>
    <row r="16" spans="1:61">
      <c r="A16" s="336"/>
      <c r="B16" t="s">
        <v>797</v>
      </c>
      <c r="C16" t="s">
        <v>267</v>
      </c>
      <c r="D16">
        <v>1</v>
      </c>
      <c r="E16">
        <v>1</v>
      </c>
      <c r="F16">
        <v>1</v>
      </c>
      <c r="G16" t="s">
        <v>809</v>
      </c>
      <c r="H16" t="s">
        <v>809</v>
      </c>
      <c r="I16" s="335"/>
      <c r="J16" s="335"/>
      <c r="K16" s="335">
        <v>2190.15</v>
      </c>
      <c r="L16" s="335"/>
      <c r="M16" s="335"/>
      <c r="N16" s="335"/>
      <c r="O16" s="335"/>
      <c r="P16" s="335">
        <v>2190.15</v>
      </c>
      <c r="U16"/>
      <c r="V16"/>
      <c r="AB16"/>
      <c r="AI16" s="222" t="s">
        <v>310</v>
      </c>
      <c r="AJ16">
        <v>1</v>
      </c>
      <c r="AK16" s="222"/>
      <c r="AL16" s="222"/>
      <c r="AM16" s="222"/>
      <c r="AN16" s="222"/>
      <c r="AO16" s="222"/>
      <c r="AP16" s="222"/>
      <c r="AQ16" s="222"/>
      <c r="AR16" s="222"/>
      <c r="AS16" s="222">
        <v>0</v>
      </c>
      <c r="AT16" s="222"/>
      <c r="AU16" s="222"/>
      <c r="AV16" s="222"/>
      <c r="AW16" s="222"/>
      <c r="AX16" s="222"/>
      <c r="AY16" s="222"/>
      <c r="AZ16" s="222"/>
      <c r="BA16" s="222"/>
      <c r="BB16" s="222"/>
      <c r="BC16" s="297">
        <v>0</v>
      </c>
      <c r="BG16"/>
    </row>
    <row r="17" spans="1:61">
      <c r="A17" s="336"/>
      <c r="B17" t="s">
        <v>1639</v>
      </c>
      <c r="C17" t="s">
        <v>267</v>
      </c>
      <c r="D17">
        <v>29</v>
      </c>
      <c r="E17">
        <v>26</v>
      </c>
      <c r="F17">
        <v>39</v>
      </c>
      <c r="G17" t="s">
        <v>826</v>
      </c>
      <c r="H17" t="s">
        <v>1076</v>
      </c>
      <c r="I17" s="335"/>
      <c r="J17" s="335"/>
      <c r="K17" s="335"/>
      <c r="L17" s="335"/>
      <c r="M17" s="335"/>
      <c r="N17" s="335">
        <v>169552.37000000002</v>
      </c>
      <c r="O17" s="335"/>
      <c r="P17" s="335">
        <v>169552.37000000002</v>
      </c>
      <c r="U17"/>
      <c r="V17"/>
      <c r="AB17"/>
      <c r="AG17" t="s">
        <v>825</v>
      </c>
      <c r="AH17" t="s">
        <v>267</v>
      </c>
      <c r="AI17" t="s">
        <v>321</v>
      </c>
      <c r="AJ17">
        <v>1</v>
      </c>
      <c r="AL17"/>
      <c r="AM17"/>
      <c r="AN17"/>
      <c r="AO17"/>
      <c r="AU17">
        <v>1</v>
      </c>
      <c r="AZ17"/>
      <c r="BA17"/>
      <c r="BC17" s="12">
        <v>1</v>
      </c>
      <c r="BG17"/>
    </row>
    <row r="18" spans="1:61">
      <c r="A18" s="314" t="s">
        <v>565</v>
      </c>
      <c r="B18" s="314"/>
      <c r="C18" s="314"/>
      <c r="D18" s="314"/>
      <c r="E18" s="314"/>
      <c r="F18" s="314"/>
      <c r="G18" s="314"/>
      <c r="H18" s="314"/>
      <c r="I18" s="315"/>
      <c r="J18" s="315"/>
      <c r="K18" s="315">
        <v>29190.15</v>
      </c>
      <c r="L18" s="315">
        <v>43241.840000000011</v>
      </c>
      <c r="M18" s="315"/>
      <c r="N18" s="315">
        <v>169552.37000000002</v>
      </c>
      <c r="O18" s="315"/>
      <c r="P18" s="315">
        <v>241984.36000000004</v>
      </c>
      <c r="U18"/>
      <c r="V18"/>
      <c r="AB18"/>
      <c r="AG18" t="s">
        <v>550</v>
      </c>
      <c r="AH18" t="s">
        <v>267</v>
      </c>
      <c r="AI18" s="222" t="s">
        <v>310</v>
      </c>
      <c r="AJ18">
        <v>38</v>
      </c>
      <c r="AK18" s="222"/>
      <c r="AL18" s="222"/>
      <c r="AM18" s="222"/>
      <c r="AN18" s="222"/>
      <c r="AO18" s="222"/>
      <c r="AP18" s="222"/>
      <c r="AQ18" s="222"/>
      <c r="AR18" s="222"/>
      <c r="AS18" s="222">
        <v>1</v>
      </c>
      <c r="AT18" s="222">
        <v>0</v>
      </c>
      <c r="AU18" s="222"/>
      <c r="AV18" s="222"/>
      <c r="AW18" s="222"/>
      <c r="AX18" s="222"/>
      <c r="AY18" s="222"/>
      <c r="AZ18" s="222"/>
      <c r="BA18" s="222"/>
      <c r="BB18" s="222"/>
      <c r="BC18" s="297">
        <v>1</v>
      </c>
      <c r="BG18"/>
    </row>
    <row r="19" spans="1:61">
      <c r="A19" s="295" t="s">
        <v>284</v>
      </c>
      <c r="B19" t="s">
        <v>776</v>
      </c>
      <c r="C19" t="s">
        <v>267</v>
      </c>
      <c r="D19">
        <v>24</v>
      </c>
      <c r="E19">
        <v>2</v>
      </c>
      <c r="F19">
        <v>4</v>
      </c>
      <c r="G19" t="s">
        <v>828</v>
      </c>
      <c r="H19" t="s">
        <v>829</v>
      </c>
      <c r="I19" s="334"/>
      <c r="J19" s="334"/>
      <c r="K19" s="334"/>
      <c r="L19" s="334"/>
      <c r="M19" s="334"/>
      <c r="N19" s="334">
        <v>537160</v>
      </c>
      <c r="O19" s="334">
        <v>537158.51</v>
      </c>
      <c r="P19" s="334">
        <v>1074318.51</v>
      </c>
      <c r="U19"/>
      <c r="V19"/>
      <c r="AB19"/>
      <c r="AG19" t="s">
        <v>780</v>
      </c>
      <c r="AH19" t="s">
        <v>267</v>
      </c>
      <c r="AI19" s="294" t="s">
        <v>284</v>
      </c>
      <c r="AJ19">
        <v>14</v>
      </c>
      <c r="AK19" s="294"/>
      <c r="AL19" s="294"/>
      <c r="AM19" s="294"/>
      <c r="AN19" s="294"/>
      <c r="AO19" s="294"/>
      <c r="AP19" s="294"/>
      <c r="AQ19" s="294"/>
      <c r="AR19" s="294"/>
      <c r="AS19" s="294"/>
      <c r="AT19" s="294"/>
      <c r="AU19" s="294"/>
      <c r="AV19" s="294"/>
      <c r="AW19" s="294">
        <v>1</v>
      </c>
      <c r="AX19" s="294"/>
      <c r="AY19" s="294"/>
      <c r="AZ19" s="294"/>
      <c r="BA19" s="294"/>
      <c r="BB19" s="294"/>
      <c r="BC19" s="295">
        <v>1</v>
      </c>
      <c r="BG19"/>
    </row>
    <row r="20" spans="1:61">
      <c r="A20" s="295"/>
      <c r="B20" t="s">
        <v>781</v>
      </c>
      <c r="C20" t="s">
        <v>267</v>
      </c>
      <c r="D20">
        <v>122</v>
      </c>
      <c r="E20">
        <v>64</v>
      </c>
      <c r="F20">
        <v>137</v>
      </c>
      <c r="G20" t="s">
        <v>149</v>
      </c>
      <c r="H20" t="s">
        <v>149</v>
      </c>
      <c r="I20" s="334"/>
      <c r="J20" s="334"/>
      <c r="K20" s="334"/>
      <c r="L20" s="334"/>
      <c r="M20" s="334"/>
      <c r="N20" s="334"/>
      <c r="O20" s="334">
        <v>596794</v>
      </c>
      <c r="P20" s="334">
        <v>596794</v>
      </c>
      <c r="U20"/>
      <c r="V20"/>
      <c r="AB20"/>
      <c r="AG20" t="s">
        <v>519</v>
      </c>
      <c r="AH20" t="s">
        <v>267</v>
      </c>
      <c r="AI20" s="293" t="s">
        <v>271</v>
      </c>
      <c r="AJ20">
        <v>1</v>
      </c>
      <c r="AK20" s="293"/>
      <c r="AL20" s="293"/>
      <c r="AM20" s="293">
        <v>1</v>
      </c>
      <c r="AN20" s="293"/>
      <c r="AO20" s="293"/>
      <c r="AP20" s="293"/>
      <c r="AQ20" s="293"/>
      <c r="AR20" s="293"/>
      <c r="AS20" s="293"/>
      <c r="AT20" s="293"/>
      <c r="AU20" s="293"/>
      <c r="AV20" s="293"/>
      <c r="AW20" s="293"/>
      <c r="AX20" s="293"/>
      <c r="AY20" s="293"/>
      <c r="AZ20" s="293"/>
      <c r="BA20" s="293"/>
      <c r="BB20" s="293"/>
      <c r="BC20" s="296">
        <v>1</v>
      </c>
      <c r="BG20"/>
    </row>
    <row r="21" spans="1:61">
      <c r="A21" s="295"/>
      <c r="B21" t="s">
        <v>786</v>
      </c>
      <c r="C21" t="s">
        <v>267</v>
      </c>
      <c r="D21">
        <v>2</v>
      </c>
      <c r="E21"/>
      <c r="G21"/>
      <c r="H21"/>
      <c r="I21" s="334"/>
      <c r="J21" s="334"/>
      <c r="K21" s="334">
        <v>4003.5</v>
      </c>
      <c r="L21" s="334"/>
      <c r="M21" s="334"/>
      <c r="N21" s="334"/>
      <c r="O21" s="334"/>
      <c r="P21" s="334">
        <v>4003.5</v>
      </c>
      <c r="U21"/>
      <c r="V21"/>
      <c r="AB21"/>
      <c r="AG21" t="s">
        <v>778</v>
      </c>
      <c r="AH21" t="s">
        <v>267</v>
      </c>
      <c r="AI21" s="222" t="s">
        <v>310</v>
      </c>
      <c r="AJ21">
        <v>36</v>
      </c>
      <c r="AK21" s="222"/>
      <c r="AL21" s="222"/>
      <c r="AM21" s="222"/>
      <c r="AN21" s="222"/>
      <c r="AO21" s="222"/>
      <c r="AP21" s="222"/>
      <c r="AQ21" s="222"/>
      <c r="AR21" s="222"/>
      <c r="AS21" s="222"/>
      <c r="AT21" s="222"/>
      <c r="AU21" s="222"/>
      <c r="AV21" s="222">
        <v>1</v>
      </c>
      <c r="AW21" s="222"/>
      <c r="AX21" s="222"/>
      <c r="AY21" s="222"/>
      <c r="AZ21" s="222"/>
      <c r="BA21" s="222"/>
      <c r="BB21" s="222"/>
      <c r="BC21" s="297">
        <v>1</v>
      </c>
      <c r="BG21"/>
    </row>
    <row r="22" spans="1:61">
      <c r="A22" s="295"/>
      <c r="B22" t="s">
        <v>789</v>
      </c>
      <c r="C22" t="s">
        <v>267</v>
      </c>
      <c r="D22">
        <v>2</v>
      </c>
      <c r="E22"/>
      <c r="G22"/>
      <c r="H22"/>
      <c r="I22" s="334"/>
      <c r="J22" s="334"/>
      <c r="K22" s="334">
        <v>8455.52</v>
      </c>
      <c r="L22" s="334"/>
      <c r="M22" s="334"/>
      <c r="N22" s="334"/>
      <c r="O22" s="334"/>
      <c r="P22" s="334">
        <v>8455.52</v>
      </c>
      <c r="U22"/>
      <c r="V22"/>
      <c r="AB22"/>
      <c r="AG22" t="s">
        <v>772</v>
      </c>
      <c r="AH22" t="s">
        <v>267</v>
      </c>
      <c r="AI22" s="294" t="s">
        <v>284</v>
      </c>
      <c r="AJ22">
        <v>12</v>
      </c>
      <c r="AK22" s="294"/>
      <c r="AL22" s="294"/>
      <c r="AM22" s="294"/>
      <c r="AN22" s="294"/>
      <c r="AO22" s="294"/>
      <c r="AP22" s="294"/>
      <c r="AQ22" s="294"/>
      <c r="AR22" s="294"/>
      <c r="AS22" s="294"/>
      <c r="AT22" s="294"/>
      <c r="AU22" s="294"/>
      <c r="AV22" s="294"/>
      <c r="AW22" s="294"/>
      <c r="AX22" s="294"/>
      <c r="AY22" s="294"/>
      <c r="AZ22" s="294">
        <v>1</v>
      </c>
      <c r="BA22" s="294"/>
      <c r="BB22" s="294"/>
      <c r="BC22" s="295">
        <v>1</v>
      </c>
      <c r="BG22"/>
    </row>
    <row r="23" spans="1:61">
      <c r="A23" s="295"/>
      <c r="B23" t="s">
        <v>785</v>
      </c>
      <c r="C23" t="s">
        <v>267</v>
      </c>
      <c r="D23">
        <v>4</v>
      </c>
      <c r="E23">
        <v>1</v>
      </c>
      <c r="F23">
        <v>1</v>
      </c>
      <c r="G23" t="s">
        <v>826</v>
      </c>
      <c r="H23" t="s">
        <v>827</v>
      </c>
      <c r="I23" s="334"/>
      <c r="J23" s="334"/>
      <c r="K23" s="334"/>
      <c r="L23" s="334"/>
      <c r="M23" s="334">
        <v>210727.22</v>
      </c>
      <c r="N23" s="334"/>
      <c r="O23" s="334"/>
      <c r="P23" s="334">
        <v>210727.22</v>
      </c>
      <c r="Q23" t="s">
        <v>1642</v>
      </c>
      <c r="U23"/>
      <c r="V23"/>
      <c r="AB23"/>
      <c r="AG23" t="s">
        <v>782</v>
      </c>
      <c r="AH23" t="s">
        <v>267</v>
      </c>
      <c r="AI23" s="294" t="s">
        <v>284</v>
      </c>
      <c r="AJ23" t="s">
        <v>292</v>
      </c>
      <c r="AK23" s="294"/>
      <c r="AL23" s="294"/>
      <c r="AM23" s="294"/>
      <c r="AN23" s="294"/>
      <c r="AO23" s="294"/>
      <c r="AP23" s="294"/>
      <c r="AQ23" s="294"/>
      <c r="AR23" s="294"/>
      <c r="AS23" s="294"/>
      <c r="AT23" s="294"/>
      <c r="AU23" s="294"/>
      <c r="AV23" s="294"/>
      <c r="AW23" s="294"/>
      <c r="AX23" s="294"/>
      <c r="AY23" s="294"/>
      <c r="AZ23" s="294"/>
      <c r="BA23" s="294"/>
      <c r="BB23" s="294">
        <v>1</v>
      </c>
      <c r="BC23" s="295">
        <v>1</v>
      </c>
      <c r="BG23"/>
    </row>
    <row r="24" spans="1:61" s="122" customFormat="1">
      <c r="A24" s="295"/>
      <c r="B24" s="265" t="s">
        <v>799</v>
      </c>
      <c r="C24" t="s">
        <v>267</v>
      </c>
      <c r="D24">
        <v>7</v>
      </c>
      <c r="E24">
        <v>5</v>
      </c>
      <c r="F24">
        <v>23</v>
      </c>
      <c r="G24" t="s">
        <v>853</v>
      </c>
      <c r="H24" t="s">
        <v>853</v>
      </c>
      <c r="I24" s="334"/>
      <c r="J24" s="334"/>
      <c r="K24" s="334">
        <v>38935.43</v>
      </c>
      <c r="L24" s="334"/>
      <c r="M24" s="334"/>
      <c r="N24" s="334"/>
      <c r="O24" s="334"/>
      <c r="P24" s="334">
        <v>38935.43</v>
      </c>
      <c r="Q24"/>
      <c r="R24"/>
      <c r="S24"/>
      <c r="T24"/>
      <c r="U24"/>
      <c r="V24"/>
      <c r="W24"/>
      <c r="X24"/>
      <c r="Y24"/>
      <c r="Z24"/>
      <c r="AA24"/>
      <c r="AB24"/>
      <c r="AC24"/>
      <c r="AD24"/>
      <c r="AE24"/>
      <c r="AF24"/>
      <c r="AG24" t="s">
        <v>524</v>
      </c>
      <c r="AH24" t="s">
        <v>267</v>
      </c>
      <c r="AI24" s="222" t="s">
        <v>310</v>
      </c>
      <c r="AJ24">
        <v>18</v>
      </c>
      <c r="AK24" s="222"/>
      <c r="AL24" s="222"/>
      <c r="AM24" s="222"/>
      <c r="AN24" s="222"/>
      <c r="AO24" s="222"/>
      <c r="AP24" s="222"/>
      <c r="AQ24" s="222">
        <v>1</v>
      </c>
      <c r="AR24" s="222"/>
      <c r="AS24" s="222"/>
      <c r="AT24" s="222"/>
      <c r="AU24" s="222"/>
      <c r="AV24" s="222"/>
      <c r="AW24" s="222"/>
      <c r="AX24" s="222"/>
      <c r="AY24" s="222"/>
      <c r="AZ24" s="222"/>
      <c r="BA24" s="222"/>
      <c r="BB24" s="222"/>
      <c r="BC24" s="297">
        <v>1</v>
      </c>
      <c r="BD24"/>
      <c r="BE24"/>
      <c r="BF24"/>
      <c r="BG24"/>
      <c r="BH24"/>
      <c r="BI24"/>
    </row>
    <row r="25" spans="1:61">
      <c r="A25" s="295"/>
      <c r="B25" s="265" t="s">
        <v>1638</v>
      </c>
      <c r="C25" t="s">
        <v>267</v>
      </c>
      <c r="D25">
        <v>16</v>
      </c>
      <c r="E25">
        <v>16</v>
      </c>
      <c r="F25">
        <v>16</v>
      </c>
      <c r="G25" t="s">
        <v>1031</v>
      </c>
      <c r="H25" t="s">
        <v>1031</v>
      </c>
      <c r="I25" s="334"/>
      <c r="J25" s="334"/>
      <c r="K25" s="334">
        <v>19342.43</v>
      </c>
      <c r="L25" s="334"/>
      <c r="M25" s="334"/>
      <c r="N25" s="334"/>
      <c r="O25" s="334"/>
      <c r="P25" s="334">
        <v>19342.43</v>
      </c>
      <c r="Q25" t="s">
        <v>1641</v>
      </c>
      <c r="U25"/>
      <c r="V25"/>
      <c r="AB25"/>
      <c r="AG25" t="s">
        <v>830</v>
      </c>
      <c r="AH25" t="s">
        <v>267</v>
      </c>
      <c r="AI25" s="294" t="s">
        <v>284</v>
      </c>
      <c r="AJ25">
        <v>3</v>
      </c>
      <c r="AK25" s="294"/>
      <c r="AL25" s="294"/>
      <c r="AM25" s="294"/>
      <c r="AN25" s="294"/>
      <c r="AO25" s="294"/>
      <c r="AP25" s="294"/>
      <c r="AQ25" s="294"/>
      <c r="AR25" s="294"/>
      <c r="AS25" s="294"/>
      <c r="AT25" s="294"/>
      <c r="AU25" s="294">
        <v>1</v>
      </c>
      <c r="AV25" s="294"/>
      <c r="AW25" s="294"/>
      <c r="AX25" s="294"/>
      <c r="AY25" s="294"/>
      <c r="AZ25" s="294"/>
      <c r="BA25" s="294"/>
      <c r="BB25" s="294"/>
      <c r="BC25" s="295">
        <v>1</v>
      </c>
      <c r="BG25"/>
    </row>
    <row r="26" spans="1:61">
      <c r="A26" s="314" t="s">
        <v>1640</v>
      </c>
      <c r="B26" s="314"/>
      <c r="C26" s="314"/>
      <c r="D26" s="314"/>
      <c r="E26" s="314"/>
      <c r="F26" s="314"/>
      <c r="G26" s="314"/>
      <c r="H26" s="314"/>
      <c r="I26" s="315"/>
      <c r="J26" s="315"/>
      <c r="K26" s="315">
        <v>70736.88</v>
      </c>
      <c r="L26" s="315"/>
      <c r="M26" s="315">
        <v>210727.22</v>
      </c>
      <c r="N26" s="315">
        <v>537160</v>
      </c>
      <c r="O26" s="315">
        <v>1133952.51</v>
      </c>
      <c r="P26" s="315">
        <v>1952576.6099999999</v>
      </c>
      <c r="U26"/>
      <c r="V26"/>
      <c r="AB26"/>
      <c r="AG26" t="s">
        <v>518</v>
      </c>
      <c r="AH26" t="s">
        <v>267</v>
      </c>
      <c r="AI26" s="293" t="s">
        <v>271</v>
      </c>
      <c r="AJ26">
        <v>1</v>
      </c>
      <c r="AK26" s="293"/>
      <c r="AL26" s="293"/>
      <c r="AM26" s="293"/>
      <c r="AN26" s="293"/>
      <c r="AO26" s="293"/>
      <c r="AP26" s="293">
        <v>1</v>
      </c>
      <c r="AQ26" s="293"/>
      <c r="AR26" s="293"/>
      <c r="AS26" s="293"/>
      <c r="AT26" s="293"/>
      <c r="AU26" s="293"/>
      <c r="AV26" s="293"/>
      <c r="AW26" s="293"/>
      <c r="AX26" s="293"/>
      <c r="AY26" s="293"/>
      <c r="AZ26" s="293"/>
      <c r="BA26" s="293"/>
      <c r="BB26" s="293"/>
      <c r="BC26" s="296">
        <v>1</v>
      </c>
      <c r="BG26"/>
    </row>
    <row r="27" spans="1:61">
      <c r="A27" t="s">
        <v>506</v>
      </c>
      <c r="D27"/>
      <c r="E27"/>
      <c r="G27"/>
      <c r="H27"/>
      <c r="I27" s="70">
        <v>289906.07</v>
      </c>
      <c r="J27" s="70">
        <v>78249.570000000007</v>
      </c>
      <c r="K27" s="70">
        <v>183890.24</v>
      </c>
      <c r="L27" s="70">
        <v>43241.840000000011</v>
      </c>
      <c r="M27" s="70">
        <v>248279.22</v>
      </c>
      <c r="N27" s="70">
        <v>706712.37</v>
      </c>
      <c r="O27" s="70">
        <v>1133952.51</v>
      </c>
      <c r="P27" s="324">
        <v>2684231.8200000003</v>
      </c>
      <c r="U27"/>
      <c r="V27"/>
      <c r="AB27"/>
      <c r="AG27" t="s">
        <v>521</v>
      </c>
      <c r="AH27" t="s">
        <v>267</v>
      </c>
      <c r="AI27" s="293" t="s">
        <v>271</v>
      </c>
      <c r="AJ27">
        <v>2</v>
      </c>
      <c r="AK27" s="293">
        <v>1</v>
      </c>
      <c r="AL27" s="293"/>
      <c r="AM27" s="293"/>
      <c r="AN27" s="293"/>
      <c r="AO27" s="293"/>
      <c r="AP27" s="293"/>
      <c r="AQ27" s="293"/>
      <c r="AR27" s="293"/>
      <c r="AS27" s="293"/>
      <c r="AT27" s="293"/>
      <c r="AU27" s="293"/>
      <c r="AV27" s="293"/>
      <c r="AW27" s="293"/>
      <c r="AX27" s="293"/>
      <c r="AY27" s="293"/>
      <c r="AZ27" s="293"/>
      <c r="BA27" s="293"/>
      <c r="BB27" s="293"/>
      <c r="BC27" s="296">
        <v>1</v>
      </c>
      <c r="BG27"/>
    </row>
    <row r="28" spans="1:61">
      <c r="D28"/>
      <c r="E28"/>
      <c r="G28"/>
      <c r="H28"/>
      <c r="I28"/>
      <c r="J28"/>
      <c r="U28"/>
      <c r="V28"/>
      <c r="AB28"/>
      <c r="AG28" t="s">
        <v>512</v>
      </c>
      <c r="AH28" t="s">
        <v>267</v>
      </c>
      <c r="AI28" s="222" t="s">
        <v>310</v>
      </c>
      <c r="AJ28">
        <v>1</v>
      </c>
      <c r="AK28" s="222"/>
      <c r="AL28" s="222"/>
      <c r="AM28" s="222"/>
      <c r="AN28" s="222"/>
      <c r="AO28" s="222"/>
      <c r="AP28" s="222"/>
      <c r="AQ28" s="222">
        <v>1</v>
      </c>
      <c r="AR28" s="222"/>
      <c r="AS28" s="222"/>
      <c r="AT28" s="222"/>
      <c r="AU28" s="222"/>
      <c r="AV28" s="222"/>
      <c r="AW28" s="222"/>
      <c r="AX28" s="222"/>
      <c r="AY28" s="222"/>
      <c r="AZ28" s="222"/>
      <c r="BA28" s="222"/>
      <c r="BB28" s="222"/>
      <c r="BC28" s="297">
        <v>1</v>
      </c>
      <c r="BG28"/>
    </row>
    <row r="29" spans="1:61">
      <c r="D29"/>
      <c r="E29"/>
      <c r="G29"/>
      <c r="H29"/>
      <c r="I29"/>
      <c r="J29"/>
      <c r="U29"/>
      <c r="V29"/>
      <c r="AB29"/>
      <c r="AG29" t="s">
        <v>513</v>
      </c>
      <c r="AH29" t="s">
        <v>267</v>
      </c>
      <c r="AI29" s="293" t="s">
        <v>271</v>
      </c>
      <c r="AJ29">
        <v>1</v>
      </c>
      <c r="AK29" s="293"/>
      <c r="AL29" s="293"/>
      <c r="AM29" s="293"/>
      <c r="AN29" s="293"/>
      <c r="AO29" s="293">
        <v>1</v>
      </c>
      <c r="AP29" s="293"/>
      <c r="AQ29" s="293"/>
      <c r="AR29" s="293"/>
      <c r="AS29" s="293"/>
      <c r="AT29" s="293"/>
      <c r="AU29" s="293"/>
      <c r="AV29" s="293"/>
      <c r="AW29" s="293"/>
      <c r="AX29" s="293"/>
      <c r="AY29" s="293"/>
      <c r="AZ29" s="293"/>
      <c r="BA29" s="293"/>
      <c r="BB29" s="293"/>
      <c r="BC29" s="296">
        <v>1</v>
      </c>
      <c r="BG29"/>
    </row>
    <row r="30" spans="1:61">
      <c r="D30"/>
      <c r="E30"/>
      <c r="G30"/>
      <c r="H30"/>
      <c r="I30"/>
      <c r="J30"/>
      <c r="U30"/>
      <c r="V30"/>
      <c r="AB30"/>
      <c r="AG30" t="s">
        <v>786</v>
      </c>
      <c r="AH30" t="s">
        <v>267</v>
      </c>
      <c r="AI30" s="294" t="s">
        <v>284</v>
      </c>
      <c r="AJ30">
        <v>2</v>
      </c>
      <c r="AK30" s="294"/>
      <c r="AL30" s="294"/>
      <c r="AM30" s="294"/>
      <c r="AN30" s="294"/>
      <c r="AO30" s="294"/>
      <c r="AP30" s="294"/>
      <c r="AQ30" s="294"/>
      <c r="AR30" s="294"/>
      <c r="AS30" s="294"/>
      <c r="AT30" s="294"/>
      <c r="AU30" s="294"/>
      <c r="AV30" s="294">
        <v>1</v>
      </c>
      <c r="AW30" s="294"/>
      <c r="AX30" s="294"/>
      <c r="AY30" s="294"/>
      <c r="AZ30" s="294"/>
      <c r="BA30" s="294"/>
      <c r="BB30" s="294"/>
      <c r="BC30" s="295">
        <v>1</v>
      </c>
      <c r="BG30"/>
    </row>
    <row r="31" spans="1:61">
      <c r="D31"/>
      <c r="E31"/>
      <c r="G31"/>
      <c r="H31"/>
      <c r="I31"/>
      <c r="J31"/>
      <c r="U31"/>
      <c r="V31"/>
      <c r="AB31"/>
      <c r="AG31" t="s">
        <v>514</v>
      </c>
      <c r="AH31" t="s">
        <v>267</v>
      </c>
      <c r="AI31" s="293" t="s">
        <v>271</v>
      </c>
      <c r="AJ31">
        <v>1</v>
      </c>
      <c r="AK31" s="293"/>
      <c r="AL31" s="293"/>
      <c r="AM31" s="293"/>
      <c r="AN31" s="293"/>
      <c r="AO31" s="293">
        <v>1</v>
      </c>
      <c r="AP31" s="293"/>
      <c r="AQ31" s="293"/>
      <c r="AR31" s="293"/>
      <c r="AS31" s="293"/>
      <c r="AT31" s="293"/>
      <c r="AU31" s="293"/>
      <c r="AV31" s="293"/>
      <c r="AW31" s="293"/>
      <c r="AX31" s="293"/>
      <c r="AY31" s="293"/>
      <c r="AZ31" s="293"/>
      <c r="BA31" s="293"/>
      <c r="BB31" s="293"/>
      <c r="BC31" s="296">
        <v>1</v>
      </c>
      <c r="BG31"/>
    </row>
    <row r="32" spans="1:61">
      <c r="D32"/>
      <c r="E32"/>
      <c r="G32"/>
      <c r="H32"/>
      <c r="I32"/>
      <c r="J32"/>
      <c r="U32"/>
      <c r="V32"/>
      <c r="AB32"/>
      <c r="AG32" t="s">
        <v>789</v>
      </c>
      <c r="AH32" t="s">
        <v>267</v>
      </c>
      <c r="AI32" s="294" t="s">
        <v>284</v>
      </c>
      <c r="AJ32">
        <v>2</v>
      </c>
      <c r="AK32" s="294"/>
      <c r="AL32" s="294"/>
      <c r="AM32" s="294"/>
      <c r="AN32" s="294"/>
      <c r="AO32" s="294"/>
      <c r="AP32" s="294"/>
      <c r="AQ32" s="294"/>
      <c r="AR32" s="294"/>
      <c r="AS32" s="294"/>
      <c r="AT32" s="294"/>
      <c r="AU32" s="294"/>
      <c r="AV32" s="294">
        <v>1</v>
      </c>
      <c r="AW32" s="294"/>
      <c r="AX32" s="294"/>
      <c r="AY32" s="294"/>
      <c r="AZ32" s="294"/>
      <c r="BA32" s="294"/>
      <c r="BB32" s="294"/>
      <c r="BC32" s="295">
        <v>1</v>
      </c>
      <c r="BG32"/>
    </row>
    <row r="33" spans="4:59">
      <c r="D33"/>
      <c r="E33"/>
      <c r="G33"/>
      <c r="H33"/>
      <c r="I33"/>
      <c r="J33"/>
      <c r="U33"/>
      <c r="V33"/>
      <c r="AB33"/>
      <c r="AG33" t="s">
        <v>791</v>
      </c>
      <c r="AH33" t="s">
        <v>267</v>
      </c>
      <c r="AI33" s="294" t="s">
        <v>284</v>
      </c>
      <c r="AJ33">
        <v>18</v>
      </c>
      <c r="AK33" s="294"/>
      <c r="AL33" s="294"/>
      <c r="AM33" s="294"/>
      <c r="AN33" s="294"/>
      <c r="AO33" s="294"/>
      <c r="AP33" s="294"/>
      <c r="AQ33" s="294"/>
      <c r="AR33" s="294"/>
      <c r="AS33" s="294"/>
      <c r="AT33" s="294"/>
      <c r="AU33" s="294"/>
      <c r="AV33" s="294"/>
      <c r="AW33" s="294"/>
      <c r="AX33" s="294">
        <v>1</v>
      </c>
      <c r="AY33" s="294"/>
      <c r="AZ33" s="294"/>
      <c r="BA33" s="294"/>
      <c r="BB33" s="294"/>
      <c r="BC33" s="295">
        <v>1</v>
      </c>
      <c r="BG33"/>
    </row>
    <row r="34" spans="4:59">
      <c r="D34"/>
      <c r="E34"/>
      <c r="G34"/>
      <c r="H34"/>
      <c r="I34"/>
      <c r="J34"/>
      <c r="U34"/>
      <c r="V34"/>
      <c r="AB34"/>
      <c r="AG34" t="s">
        <v>793</v>
      </c>
      <c r="AH34" t="s">
        <v>267</v>
      </c>
      <c r="AI34" s="294" t="s">
        <v>284</v>
      </c>
      <c r="AJ34">
        <v>12</v>
      </c>
      <c r="AK34" s="294"/>
      <c r="AL34" s="294"/>
      <c r="AM34" s="294"/>
      <c r="AN34" s="294"/>
      <c r="AO34" s="294"/>
      <c r="AP34" s="294"/>
      <c r="AQ34" s="294"/>
      <c r="AR34" s="294"/>
      <c r="AS34" s="294"/>
      <c r="AT34" s="294"/>
      <c r="AU34" s="294"/>
      <c r="AV34" s="294"/>
      <c r="AW34" s="294"/>
      <c r="AX34" s="294"/>
      <c r="AY34" s="294"/>
      <c r="AZ34" s="294">
        <v>1</v>
      </c>
      <c r="BA34" s="294">
        <v>0</v>
      </c>
      <c r="BB34" s="294"/>
      <c r="BC34" s="295">
        <v>1</v>
      </c>
      <c r="BG34"/>
    </row>
    <row r="35" spans="4:59">
      <c r="D35"/>
      <c r="E35"/>
      <c r="G35"/>
      <c r="H35"/>
      <c r="I35"/>
      <c r="J35"/>
      <c r="U35"/>
      <c r="V35"/>
      <c r="AB35"/>
      <c r="AG35" t="s">
        <v>832</v>
      </c>
      <c r="AH35" t="s">
        <v>267</v>
      </c>
      <c r="AI35" s="294" t="s">
        <v>284</v>
      </c>
      <c r="AJ35">
        <v>4</v>
      </c>
      <c r="AK35" s="294"/>
      <c r="AL35" s="294"/>
      <c r="AM35" s="294"/>
      <c r="AN35" s="294"/>
      <c r="AO35" s="294"/>
      <c r="AP35" s="294"/>
      <c r="AQ35" s="294"/>
      <c r="AR35" s="294"/>
      <c r="AS35" s="294"/>
      <c r="AT35" s="294"/>
      <c r="AU35" s="294">
        <v>1</v>
      </c>
      <c r="AV35" s="294"/>
      <c r="AW35" s="294"/>
      <c r="AX35" s="294"/>
      <c r="AY35" s="294"/>
      <c r="AZ35" s="294"/>
      <c r="BA35" s="294"/>
      <c r="BB35" s="294"/>
      <c r="BC35" s="295">
        <v>1</v>
      </c>
      <c r="BG35"/>
    </row>
    <row r="36" spans="4:59" customFormat="1">
      <c r="AF36" t="s">
        <v>525</v>
      </c>
      <c r="AK36">
        <v>1</v>
      </c>
      <c r="AL36">
        <v>1</v>
      </c>
      <c r="AM36">
        <v>3</v>
      </c>
      <c r="AN36">
        <v>2</v>
      </c>
      <c r="AO36">
        <v>5</v>
      </c>
      <c r="AP36">
        <v>2</v>
      </c>
      <c r="AQ36">
        <v>3</v>
      </c>
      <c r="AR36">
        <v>0</v>
      </c>
      <c r="AS36">
        <v>1</v>
      </c>
      <c r="AT36">
        <v>0</v>
      </c>
      <c r="AU36">
        <v>3</v>
      </c>
      <c r="AV36">
        <v>3</v>
      </c>
      <c r="AW36">
        <v>1</v>
      </c>
      <c r="AX36">
        <v>2</v>
      </c>
      <c r="AY36">
        <v>0</v>
      </c>
      <c r="AZ36">
        <v>2</v>
      </c>
      <c r="BA36">
        <v>0</v>
      </c>
      <c r="BB36">
        <v>1</v>
      </c>
      <c r="BC36" s="298">
        <v>30</v>
      </c>
    </row>
    <row r="37" spans="4:59" customFormat="1">
      <c r="AF37" t="s">
        <v>506</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row r="39" spans="4:59" customFormat="1"/>
    <row r="40" spans="4:59" customFormat="1"/>
    <row r="41" spans="4:59" customFormat="1"/>
    <row r="42" spans="4:59" customFormat="1"/>
    <row r="43" spans="4:59" customFormat="1"/>
    <row r="44" spans="4:59" customFormat="1"/>
    <row r="45" spans="4:59" customFormat="1"/>
    <row r="46" spans="4:59" customFormat="1"/>
    <row r="47" spans="4:59" customFormat="1"/>
    <row r="48" spans="4:59" customFormat="1"/>
    <row r="49" spans="1:61">
      <c r="D49"/>
      <c r="E49"/>
      <c r="G49"/>
      <c r="H49"/>
      <c r="I49"/>
      <c r="J49"/>
      <c r="U49"/>
      <c r="V49"/>
      <c r="AB49"/>
      <c r="AI49"/>
      <c r="AJ49"/>
      <c r="AL49"/>
      <c r="AM49"/>
      <c r="AN49"/>
      <c r="AO49"/>
      <c r="AZ49"/>
      <c r="BA49"/>
      <c r="BG49"/>
    </row>
    <row r="50" spans="1:61">
      <c r="D50"/>
      <c r="E50"/>
      <c r="G50"/>
      <c r="H50"/>
      <c r="I50"/>
      <c r="J50"/>
      <c r="U50"/>
      <c r="V50"/>
      <c r="AB50"/>
      <c r="AI50"/>
      <c r="AJ50"/>
      <c r="AL50"/>
      <c r="AM50"/>
      <c r="AN50"/>
      <c r="AO50"/>
      <c r="AZ50"/>
      <c r="BA50"/>
      <c r="BG50"/>
    </row>
    <row r="51" spans="1:61">
      <c r="D51"/>
      <c r="E51"/>
      <c r="G51"/>
      <c r="H51"/>
      <c r="I51"/>
      <c r="J51"/>
      <c r="U51"/>
      <c r="V51"/>
      <c r="AB51"/>
      <c r="AI51"/>
      <c r="AJ51"/>
      <c r="AL51"/>
      <c r="AM51"/>
      <c r="AN51"/>
      <c r="AO51"/>
      <c r="AZ51"/>
      <c r="BA51"/>
      <c r="BG51"/>
    </row>
    <row r="52" spans="1:61" s="113" customFormat="1">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c r="D53"/>
      <c r="E53"/>
      <c r="G53"/>
      <c r="H53"/>
      <c r="I53"/>
      <c r="J53"/>
      <c r="U53"/>
      <c r="V53"/>
      <c r="AB53"/>
      <c r="AI53"/>
      <c r="AJ53"/>
      <c r="AL53"/>
      <c r="AM53"/>
      <c r="AN53"/>
      <c r="AO53"/>
      <c r="AZ53"/>
      <c r="BA53"/>
      <c r="BG53"/>
    </row>
    <row r="54" spans="1:61">
      <c r="D54"/>
      <c r="E54"/>
      <c r="G54"/>
      <c r="H54"/>
      <c r="I54"/>
      <c r="J54"/>
      <c r="U54"/>
      <c r="V54"/>
      <c r="AB54"/>
      <c r="AI54"/>
      <c r="AJ54"/>
      <c r="AL54"/>
      <c r="AM54"/>
      <c r="AN54"/>
      <c r="AO54"/>
      <c r="AZ54"/>
      <c r="BA54"/>
      <c r="BG54"/>
    </row>
    <row r="55" spans="1:61">
      <c r="D55"/>
      <c r="E55"/>
      <c r="G55"/>
      <c r="H55"/>
      <c r="I55"/>
      <c r="J55"/>
      <c r="U55"/>
      <c r="V55"/>
      <c r="AB55"/>
      <c r="AI55"/>
      <c r="AJ55"/>
      <c r="AL55"/>
      <c r="AM55"/>
      <c r="AN55"/>
      <c r="AO55"/>
      <c r="AZ55"/>
      <c r="BA55"/>
      <c r="BG55"/>
    </row>
    <row r="56" spans="1:61">
      <c r="D56"/>
      <c r="E56"/>
      <c r="G56"/>
      <c r="H56"/>
      <c r="I56"/>
      <c r="J56"/>
      <c r="U56"/>
      <c r="V56"/>
      <c r="AB56"/>
      <c r="AI56"/>
      <c r="AJ56"/>
      <c r="AL56"/>
      <c r="AM56"/>
      <c r="AN56"/>
      <c r="AO56"/>
      <c r="AZ56"/>
      <c r="BA56"/>
      <c r="BG56"/>
    </row>
    <row r="57" spans="1:61">
      <c r="D57"/>
      <c r="E57"/>
      <c r="G57"/>
      <c r="H57"/>
      <c r="I57"/>
      <c r="J57"/>
      <c r="U57"/>
      <c r="V57"/>
      <c r="AB57"/>
      <c r="AI57"/>
      <c r="AJ57"/>
      <c r="AL57"/>
      <c r="AM57"/>
      <c r="AN57"/>
      <c r="AO57"/>
      <c r="AZ57"/>
      <c r="BA57"/>
      <c r="BG57"/>
    </row>
    <row r="58" spans="1:61">
      <c r="D58"/>
      <c r="E58"/>
      <c r="G58"/>
      <c r="H58"/>
      <c r="I58"/>
      <c r="J58"/>
      <c r="U58"/>
      <c r="V58"/>
      <c r="AB58"/>
      <c r="AI58"/>
      <c r="AJ58"/>
      <c r="AL58"/>
      <c r="AM58"/>
      <c r="AN58"/>
      <c r="AO58"/>
      <c r="AZ58"/>
      <c r="BA58"/>
      <c r="BG58"/>
    </row>
    <row r="59" spans="1:61">
      <c r="D59"/>
      <c r="E59"/>
      <c r="G59"/>
      <c r="H59"/>
      <c r="I59"/>
      <c r="J59"/>
      <c r="U59"/>
      <c r="V59"/>
      <c r="AB59"/>
      <c r="AI59"/>
      <c r="AJ59"/>
      <c r="AL59"/>
      <c r="AM59"/>
      <c r="AN59"/>
      <c r="AO59"/>
      <c r="AZ59"/>
      <c r="BA59"/>
      <c r="BG59"/>
    </row>
    <row r="60" spans="1:61">
      <c r="D60"/>
      <c r="E60"/>
      <c r="G60"/>
      <c r="H60"/>
      <c r="I60"/>
      <c r="J60"/>
      <c r="U60"/>
      <c r="V60"/>
      <c r="AB60"/>
      <c r="AI60"/>
      <c r="AJ60"/>
      <c r="AL60"/>
      <c r="AM60"/>
      <c r="AN60"/>
      <c r="AO60"/>
      <c r="AZ60"/>
      <c r="BA60"/>
      <c r="BG60"/>
    </row>
    <row r="61" spans="1:61">
      <c r="D61"/>
      <c r="E61"/>
      <c r="G61"/>
      <c r="H61"/>
      <c r="I61"/>
      <c r="J61"/>
      <c r="U61"/>
      <c r="V61"/>
      <c r="AB61"/>
      <c r="AI61"/>
      <c r="AJ61"/>
      <c r="AL61"/>
      <c r="AM61"/>
      <c r="AN61"/>
      <c r="AO61"/>
      <c r="AZ61"/>
      <c r="BA61"/>
      <c r="BG61"/>
    </row>
    <row r="62" spans="1:61">
      <c r="D62"/>
      <c r="E62"/>
      <c r="G62"/>
      <c r="H62"/>
      <c r="I62"/>
      <c r="J62"/>
      <c r="U62"/>
      <c r="V62"/>
      <c r="AB62"/>
      <c r="AI62"/>
      <c r="AJ62"/>
      <c r="AL62"/>
      <c r="AM62"/>
      <c r="AN62"/>
      <c r="AO62"/>
      <c r="AZ62"/>
      <c r="BA62"/>
      <c r="BG62"/>
    </row>
    <row r="63" spans="1:61">
      <c r="D63"/>
      <c r="E63"/>
      <c r="G63"/>
      <c r="H63"/>
      <c r="I63"/>
      <c r="J63"/>
      <c r="U63"/>
      <c r="V63"/>
      <c r="AB63"/>
      <c r="AI63"/>
      <c r="AJ63"/>
      <c r="AL63"/>
      <c r="AM63"/>
      <c r="AN63"/>
      <c r="AO63"/>
      <c r="AZ63"/>
      <c r="BA63"/>
      <c r="BG63"/>
    </row>
    <row r="64" spans="1:61">
      <c r="D64"/>
      <c r="E64"/>
      <c r="G64"/>
      <c r="H64"/>
      <c r="I64"/>
      <c r="J64"/>
      <c r="U64"/>
      <c r="V64"/>
      <c r="AB64"/>
      <c r="AI64"/>
      <c r="AJ64"/>
      <c r="AL64"/>
      <c r="AM64"/>
      <c r="AN64"/>
      <c r="AO64"/>
      <c r="AZ64"/>
      <c r="BA64"/>
      <c r="BG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1 E2:G2 E3:E115 E116:H1048576">
    <cfRule type="cellIs" dxfId="85" priority="2" operator="equal">
      <formula>"no"</formula>
    </cfRule>
  </conditionalFormatting>
  <conditionalFormatting sqref="AJ1:AM2 AJ3:AJ115 AJ116:AM1048576">
    <cfRule type="cellIs" dxfId="84" priority="1"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AP115"/>
  <sheetViews>
    <sheetView zoomScale="80" zoomScaleNormal="80" workbookViewId="0">
      <pane xSplit="1" ySplit="3" topLeftCell="B4" activePane="bottomRight" state="frozen"/>
      <selection pane="topRight" activeCell="G1" sqref="G1"/>
      <selection pane="bottomLeft" activeCell="A6" sqref="A6"/>
      <selection pane="bottomRight" activeCell="D39" sqref="D39"/>
    </sheetView>
  </sheetViews>
  <sheetFormatPr defaultRowHeight="14.4" outlineLevelCol="1"/>
  <cols>
    <col min="1" max="1" width="19" bestFit="1" customWidth="1" outlineLevel="1"/>
    <col min="2" max="2" width="12.33203125" bestFit="1" customWidth="1" outlineLevel="1"/>
    <col min="3" max="3" width="13" bestFit="1" customWidth="1" outlineLevel="1"/>
    <col min="4" max="4" width="10.109375" style="13" bestFit="1" customWidth="1" outlineLevel="1"/>
    <col min="5" max="5" width="10.109375" style="115" bestFit="1" customWidth="1" outlineLevel="1"/>
    <col min="6" max="6" width="10.109375" bestFit="1" customWidth="1" outlineLevel="1"/>
    <col min="7" max="8" width="10.109375" style="142" bestFit="1" customWidth="1" outlineLevel="1"/>
    <col min="9" max="9" width="10.109375" style="143" bestFit="1" customWidth="1" outlineLevel="1"/>
    <col min="10" max="10" width="10.109375" style="126" bestFit="1" customWidth="1" outlineLevel="1"/>
    <col min="11" max="12" width="10.109375" bestFit="1" customWidth="1" outlineLevel="1"/>
    <col min="13" max="13" width="11.109375" bestFit="1" customWidth="1" outlineLevel="1"/>
    <col min="14" max="15" width="10.109375" bestFit="1" customWidth="1" outlineLevel="1"/>
    <col min="16" max="16" width="11" bestFit="1" customWidth="1" outlineLevel="1"/>
    <col min="17" max="17" width="14.6640625" customWidth="1" outlineLevel="1"/>
    <col min="18" max="18" width="19" bestFit="1" customWidth="1" outlineLevel="1"/>
    <col min="19" max="19" width="12.33203125" bestFit="1" customWidth="1" outlineLevel="1"/>
    <col min="20" max="20" width="13" bestFit="1" customWidth="1" outlineLevel="1"/>
    <col min="21" max="21" width="15.33203125" style="13" customWidth="1" outlineLevel="1"/>
    <col min="22" max="22" width="7.88671875" style="115" bestFit="1" customWidth="1" outlineLevel="1"/>
    <col min="23" max="23" width="14" bestFit="1" customWidth="1" outlineLevel="1"/>
    <col min="24" max="25" width="9.109375" style="142" bestFit="1" customWidth="1" outlineLevel="1"/>
    <col min="26" max="26" width="9.109375" style="143" bestFit="1" customWidth="1" outlineLevel="1"/>
    <col min="27" max="27" width="9.109375" style="126" bestFit="1" customWidth="1" outlineLevel="1"/>
    <col min="28" max="33" width="9.109375" bestFit="1" customWidth="1" outlineLevel="1"/>
    <col min="34" max="39" width="9.109375" bestFit="1" customWidth="1"/>
    <col min="40" max="40" width="11" bestFit="1" customWidth="1"/>
    <col min="41" max="41" width="9.109375" bestFit="1" customWidth="1"/>
    <col min="42" max="42" width="11" bestFit="1" customWidth="1"/>
  </cols>
  <sheetData>
    <row r="1" spans="1:42">
      <c r="A1" t="s">
        <v>768</v>
      </c>
      <c r="D1" t="s">
        <v>503</v>
      </c>
      <c r="E1" t="s">
        <v>504</v>
      </c>
      <c r="G1"/>
      <c r="H1"/>
      <c r="I1"/>
      <c r="J1"/>
      <c r="R1" s="201" t="s">
        <v>210</v>
      </c>
      <c r="S1" s="201" t="s">
        <v>211</v>
      </c>
      <c r="T1" s="201" t="s">
        <v>218</v>
      </c>
      <c r="U1" t="s">
        <v>504</v>
      </c>
      <c r="V1" t="s">
        <v>503</v>
      </c>
      <c r="W1" s="201" t="s">
        <v>769</v>
      </c>
      <c r="X1"/>
      <c r="Y1"/>
      <c r="Z1"/>
      <c r="AA1"/>
    </row>
    <row r="2" spans="1:42">
      <c r="D2" t="s">
        <v>770</v>
      </c>
      <c r="E2"/>
      <c r="G2"/>
      <c r="H2"/>
      <c r="I2"/>
      <c r="J2"/>
      <c r="M2" s="201" t="s">
        <v>506</v>
      </c>
      <c r="R2" t="s">
        <v>59</v>
      </c>
      <c r="S2" t="s">
        <v>327</v>
      </c>
      <c r="T2" s="326" t="s">
        <v>310</v>
      </c>
      <c r="U2" t="s">
        <v>303</v>
      </c>
      <c r="V2" t="s">
        <v>505</v>
      </c>
      <c r="W2" s="326">
        <v>1</v>
      </c>
      <c r="X2"/>
      <c r="Y2"/>
      <c r="Z2"/>
      <c r="AA2"/>
    </row>
    <row r="3" spans="1:42" s="201" customFormat="1" ht="15" customHeight="1">
      <c r="A3" s="201" t="s">
        <v>210</v>
      </c>
      <c r="B3" s="201" t="s">
        <v>211</v>
      </c>
      <c r="C3" s="201" t="s">
        <v>218</v>
      </c>
      <c r="D3" t="s">
        <v>319</v>
      </c>
      <c r="E3" t="s">
        <v>347</v>
      </c>
      <c r="F3" t="s">
        <v>337</v>
      </c>
      <c r="G3" t="s">
        <v>332</v>
      </c>
      <c r="H3" t="s">
        <v>286</v>
      </c>
      <c r="I3" t="s">
        <v>288</v>
      </c>
      <c r="J3" t="s">
        <v>289</v>
      </c>
      <c r="K3" t="s">
        <v>374</v>
      </c>
      <c r="L3" t="s">
        <v>343</v>
      </c>
      <c r="N3"/>
      <c r="O3"/>
      <c r="P3"/>
      <c r="Q3"/>
      <c r="R3"/>
      <c r="S3"/>
      <c r="T3" s="326"/>
      <c r="U3" t="s">
        <v>312</v>
      </c>
      <c r="V3" t="s">
        <v>505</v>
      </c>
      <c r="W3" s="326">
        <v>2</v>
      </c>
      <c r="X3"/>
      <c r="Y3"/>
      <c r="Z3"/>
      <c r="AA3"/>
      <c r="AB3"/>
      <c r="AC3"/>
      <c r="AD3"/>
      <c r="AE3"/>
      <c r="AF3"/>
      <c r="AG3"/>
      <c r="AH3"/>
      <c r="AI3"/>
      <c r="AJ3"/>
      <c r="AK3"/>
      <c r="AL3"/>
      <c r="AM3"/>
      <c r="AN3"/>
      <c r="AO3"/>
      <c r="AP3"/>
    </row>
    <row r="4" spans="1:42">
      <c r="A4" t="s">
        <v>46</v>
      </c>
      <c r="B4" t="s">
        <v>267</v>
      </c>
      <c r="C4" s="326" t="s">
        <v>310</v>
      </c>
      <c r="D4" s="325">
        <v>83963.209999999992</v>
      </c>
      <c r="E4" s="325"/>
      <c r="F4" s="325"/>
      <c r="G4" s="325"/>
      <c r="H4" s="325"/>
      <c r="I4" s="325"/>
      <c r="J4" s="325"/>
      <c r="K4" s="325"/>
      <c r="L4" s="325"/>
      <c r="M4" s="325">
        <v>83963.209999999992</v>
      </c>
      <c r="S4" t="s">
        <v>833</v>
      </c>
      <c r="U4"/>
      <c r="V4"/>
      <c r="W4" s="12">
        <v>3</v>
      </c>
      <c r="X4"/>
      <c r="Y4"/>
      <c r="Z4"/>
      <c r="AA4"/>
    </row>
    <row r="5" spans="1:42">
      <c r="C5" s="336" t="s">
        <v>316</v>
      </c>
      <c r="D5" s="335">
        <v>27000</v>
      </c>
      <c r="E5" s="335">
        <v>379925.84</v>
      </c>
      <c r="F5" s="335">
        <v>7894</v>
      </c>
      <c r="G5" s="335">
        <v>169552.37000000002</v>
      </c>
      <c r="H5" s="335"/>
      <c r="I5" s="335"/>
      <c r="J5" s="335"/>
      <c r="K5" s="335"/>
      <c r="L5" s="335"/>
      <c r="M5" s="335">
        <v>584372.21000000008</v>
      </c>
      <c r="S5" t="s">
        <v>267</v>
      </c>
      <c r="T5" s="326" t="s">
        <v>310</v>
      </c>
      <c r="U5" t="s">
        <v>303</v>
      </c>
      <c r="V5" t="s">
        <v>505</v>
      </c>
      <c r="W5" s="326">
        <v>0</v>
      </c>
      <c r="X5"/>
      <c r="Y5"/>
      <c r="Z5"/>
      <c r="AA5"/>
    </row>
    <row r="6" spans="1:42">
      <c r="C6" s="295" t="s">
        <v>284</v>
      </c>
      <c r="D6" s="334"/>
      <c r="E6" s="334"/>
      <c r="F6" s="334">
        <v>1631411.22</v>
      </c>
      <c r="G6" s="334">
        <v>1155469</v>
      </c>
      <c r="H6" s="334">
        <v>1752263</v>
      </c>
      <c r="I6" s="334">
        <v>2415046</v>
      </c>
      <c r="J6" s="334">
        <v>1259577</v>
      </c>
      <c r="K6" s="334">
        <v>1259577</v>
      </c>
      <c r="L6" s="334">
        <v>1160820</v>
      </c>
      <c r="M6" s="334">
        <v>10634163.219999999</v>
      </c>
      <c r="T6" s="326"/>
      <c r="U6" t="s">
        <v>312</v>
      </c>
      <c r="V6" t="s">
        <v>505</v>
      </c>
      <c r="W6" s="326">
        <v>3</v>
      </c>
      <c r="X6"/>
      <c r="Y6"/>
      <c r="Z6"/>
      <c r="AA6"/>
    </row>
    <row r="7" spans="1:42">
      <c r="A7" t="s">
        <v>542</v>
      </c>
      <c r="D7" s="70">
        <v>110963.20999999999</v>
      </c>
      <c r="E7" s="70">
        <v>379925.84</v>
      </c>
      <c r="F7" s="70">
        <v>1639305.22</v>
      </c>
      <c r="G7" s="70">
        <v>1325021.3700000001</v>
      </c>
      <c r="H7" s="70">
        <v>1752263</v>
      </c>
      <c r="I7" s="70">
        <v>2415046</v>
      </c>
      <c r="J7" s="70">
        <v>1259577</v>
      </c>
      <c r="K7" s="70">
        <v>1259577</v>
      </c>
      <c r="L7" s="70">
        <v>1160820</v>
      </c>
      <c r="M7" s="327">
        <v>11302498.639999999</v>
      </c>
      <c r="T7" s="326"/>
      <c r="U7" t="s">
        <v>333</v>
      </c>
      <c r="V7" t="s">
        <v>505</v>
      </c>
      <c r="W7" s="326">
        <v>1</v>
      </c>
      <c r="X7"/>
      <c r="Y7"/>
      <c r="Z7"/>
      <c r="AA7"/>
    </row>
    <row r="8" spans="1:42">
      <c r="A8" t="s">
        <v>59</v>
      </c>
      <c r="B8" t="s">
        <v>267</v>
      </c>
      <c r="C8" s="326" t="s">
        <v>310</v>
      </c>
      <c r="D8" s="325">
        <v>565113</v>
      </c>
      <c r="E8" s="325"/>
      <c r="F8" s="325">
        <v>37552</v>
      </c>
      <c r="G8" s="325"/>
      <c r="H8" s="325"/>
      <c r="I8" s="325"/>
      <c r="J8" s="325"/>
      <c r="K8" s="325"/>
      <c r="L8" s="325"/>
      <c r="M8" s="325">
        <v>602665</v>
      </c>
      <c r="T8" s="326"/>
      <c r="U8" t="s">
        <v>319</v>
      </c>
      <c r="V8" t="s">
        <v>770</v>
      </c>
      <c r="W8" s="326">
        <v>3</v>
      </c>
      <c r="X8"/>
      <c r="Y8"/>
      <c r="Z8"/>
      <c r="AA8"/>
    </row>
    <row r="9" spans="1:42">
      <c r="C9" s="336" t="s">
        <v>316</v>
      </c>
      <c r="D9" s="335">
        <v>2190.15</v>
      </c>
      <c r="E9" s="335"/>
      <c r="F9" s="335"/>
      <c r="G9" s="335"/>
      <c r="H9" s="335"/>
      <c r="I9" s="335"/>
      <c r="J9" s="335"/>
      <c r="K9" s="335"/>
      <c r="L9" s="335"/>
      <c r="M9" s="335">
        <v>2190.15</v>
      </c>
      <c r="T9" s="326"/>
      <c r="U9" t="s">
        <v>337</v>
      </c>
      <c r="V9" t="s">
        <v>770</v>
      </c>
      <c r="W9" s="326">
        <v>1</v>
      </c>
      <c r="X9"/>
      <c r="Y9"/>
      <c r="Z9"/>
      <c r="AA9"/>
    </row>
    <row r="10" spans="1:42">
      <c r="C10" s="295" t="s">
        <v>284</v>
      </c>
      <c r="D10" s="334">
        <v>70736.88</v>
      </c>
      <c r="E10" s="334"/>
      <c r="F10" s="334">
        <v>1228581</v>
      </c>
      <c r="G10" s="334">
        <v>1837130.29</v>
      </c>
      <c r="H10" s="334">
        <v>2015191.0299999996</v>
      </c>
      <c r="I10" s="334">
        <v>415058.58999999997</v>
      </c>
      <c r="J10" s="334">
        <v>271502.5</v>
      </c>
      <c r="K10" s="334">
        <v>1000000</v>
      </c>
      <c r="L10" s="334"/>
      <c r="M10" s="334">
        <v>6838200.2899999991</v>
      </c>
      <c r="T10" s="336" t="s">
        <v>316</v>
      </c>
      <c r="U10" t="s">
        <v>319</v>
      </c>
      <c r="V10" t="s">
        <v>770</v>
      </c>
      <c r="W10" s="336">
        <v>1</v>
      </c>
      <c r="X10"/>
      <c r="Y10"/>
      <c r="Z10"/>
      <c r="AA10"/>
    </row>
    <row r="11" spans="1:42">
      <c r="A11" t="s">
        <v>525</v>
      </c>
      <c r="D11" s="70">
        <v>638040.03</v>
      </c>
      <c r="E11" s="70"/>
      <c r="F11" s="70">
        <v>1266133</v>
      </c>
      <c r="G11" s="70">
        <v>1837130.29</v>
      </c>
      <c r="H11" s="70">
        <v>2015191.0299999996</v>
      </c>
      <c r="I11" s="70">
        <v>415058.58999999997</v>
      </c>
      <c r="J11" s="70">
        <v>271502.5</v>
      </c>
      <c r="K11" s="70">
        <v>1000000</v>
      </c>
      <c r="L11" s="70"/>
      <c r="M11" s="327">
        <v>7443055.4399999995</v>
      </c>
      <c r="T11" s="295" t="s">
        <v>284</v>
      </c>
      <c r="U11" t="s">
        <v>319</v>
      </c>
      <c r="V11" t="s">
        <v>770</v>
      </c>
      <c r="W11" s="295">
        <v>4</v>
      </c>
      <c r="X11"/>
      <c r="Y11"/>
      <c r="Z11"/>
      <c r="AA11"/>
    </row>
    <row r="12" spans="1:42">
      <c r="A12" t="s">
        <v>506</v>
      </c>
      <c r="D12" s="70">
        <v>749003.24</v>
      </c>
      <c r="E12" s="70">
        <v>379925.84</v>
      </c>
      <c r="F12" s="70">
        <v>2905438.2199999997</v>
      </c>
      <c r="G12" s="70">
        <v>3162151.66</v>
      </c>
      <c r="H12" s="70">
        <v>3767454.0299999993</v>
      </c>
      <c r="I12" s="70">
        <v>2830104.59</v>
      </c>
      <c r="J12" s="70">
        <v>1531079.5</v>
      </c>
      <c r="K12" s="70">
        <v>2259577</v>
      </c>
      <c r="L12" s="70">
        <v>1160820</v>
      </c>
      <c r="M12" s="324">
        <v>18745554.079999998</v>
      </c>
      <c r="T12" s="295"/>
      <c r="U12" t="s">
        <v>337</v>
      </c>
      <c r="V12" t="s">
        <v>770</v>
      </c>
      <c r="W12" s="295">
        <v>2</v>
      </c>
      <c r="X12"/>
      <c r="Y12"/>
      <c r="Z12"/>
      <c r="AA12"/>
    </row>
    <row r="13" spans="1:42">
      <c r="D13"/>
      <c r="E13"/>
      <c r="G13"/>
      <c r="H13"/>
      <c r="I13"/>
      <c r="J13"/>
      <c r="T13" s="295"/>
      <c r="U13" t="s">
        <v>332</v>
      </c>
      <c r="V13" t="s">
        <v>770</v>
      </c>
      <c r="W13" s="295">
        <v>2</v>
      </c>
      <c r="X13"/>
      <c r="Y13"/>
      <c r="Z13"/>
      <c r="AA13"/>
    </row>
    <row r="14" spans="1:42">
      <c r="D14"/>
      <c r="E14"/>
      <c r="G14"/>
      <c r="H14"/>
      <c r="I14"/>
      <c r="J14"/>
      <c r="T14" s="295"/>
      <c r="U14" t="s">
        <v>286</v>
      </c>
      <c r="V14" t="s">
        <v>770</v>
      </c>
      <c r="W14" s="295">
        <v>2</v>
      </c>
      <c r="X14"/>
      <c r="Y14"/>
      <c r="Z14"/>
      <c r="AA14"/>
    </row>
    <row r="15" spans="1:42">
      <c r="D15"/>
      <c r="E15"/>
      <c r="G15"/>
      <c r="H15"/>
      <c r="I15"/>
      <c r="J15"/>
      <c r="T15" s="295"/>
      <c r="U15" t="s">
        <v>288</v>
      </c>
      <c r="V15" t="s">
        <v>770</v>
      </c>
      <c r="W15" s="295">
        <v>2</v>
      </c>
      <c r="X15"/>
      <c r="Y15"/>
      <c r="Z15"/>
      <c r="AA15"/>
    </row>
    <row r="16" spans="1:42">
      <c r="A16" t="s">
        <v>768</v>
      </c>
      <c r="D16" t="s">
        <v>503</v>
      </c>
      <c r="E16" t="s">
        <v>504</v>
      </c>
      <c r="G16"/>
      <c r="H16"/>
      <c r="I16"/>
      <c r="J16"/>
      <c r="T16" s="295"/>
      <c r="U16" t="s">
        <v>289</v>
      </c>
      <c r="V16" t="s">
        <v>770</v>
      </c>
      <c r="W16" s="295">
        <v>0</v>
      </c>
      <c r="X16"/>
      <c r="Y16"/>
      <c r="Z16"/>
      <c r="AA16"/>
    </row>
    <row r="17" spans="1:33">
      <c r="D17" t="s">
        <v>505</v>
      </c>
      <c r="E17"/>
      <c r="G17"/>
      <c r="H17"/>
      <c r="I17"/>
      <c r="J17"/>
      <c r="P17" s="201" t="s">
        <v>506</v>
      </c>
      <c r="T17" s="295"/>
      <c r="U17" t="s">
        <v>374</v>
      </c>
      <c r="V17" t="s">
        <v>770</v>
      </c>
      <c r="W17" s="295">
        <v>1</v>
      </c>
      <c r="X17"/>
      <c r="Y17"/>
      <c r="Z17"/>
      <c r="AA17"/>
    </row>
    <row r="18" spans="1:33">
      <c r="A18" s="201" t="s">
        <v>210</v>
      </c>
      <c r="B18" s="201" t="s">
        <v>211</v>
      </c>
      <c r="C18" s="201" t="s">
        <v>218</v>
      </c>
      <c r="D18" t="s">
        <v>381</v>
      </c>
      <c r="E18" t="s">
        <v>402</v>
      </c>
      <c r="F18" t="s">
        <v>325</v>
      </c>
      <c r="G18" t="s">
        <v>294</v>
      </c>
      <c r="H18" t="s">
        <v>276</v>
      </c>
      <c r="I18" t="s">
        <v>279</v>
      </c>
      <c r="J18" t="s">
        <v>280</v>
      </c>
      <c r="K18" t="s">
        <v>281</v>
      </c>
      <c r="L18" t="s">
        <v>297</v>
      </c>
      <c r="M18" t="s">
        <v>303</v>
      </c>
      <c r="N18" t="s">
        <v>312</v>
      </c>
      <c r="O18" t="s">
        <v>333</v>
      </c>
      <c r="P18" s="201"/>
      <c r="S18" t="s">
        <v>834</v>
      </c>
      <c r="U18"/>
      <c r="V18"/>
      <c r="W18" s="12">
        <v>22</v>
      </c>
      <c r="X18"/>
      <c r="Y18"/>
      <c r="Z18"/>
      <c r="AA18"/>
    </row>
    <row r="19" spans="1:33">
      <c r="A19" t="s">
        <v>46</v>
      </c>
      <c r="B19" t="s">
        <v>267</v>
      </c>
      <c r="C19" s="293" t="s">
        <v>271</v>
      </c>
      <c r="D19" s="338">
        <v>388488.94</v>
      </c>
      <c r="E19" s="338">
        <v>165047</v>
      </c>
      <c r="F19" s="338">
        <v>44126.880000000005</v>
      </c>
      <c r="G19" s="338">
        <v>134021.17000000001</v>
      </c>
      <c r="H19" s="338">
        <v>268244</v>
      </c>
      <c r="I19" s="338">
        <v>233473</v>
      </c>
      <c r="J19" s="338">
        <v>618210.19999999995</v>
      </c>
      <c r="K19" s="338">
        <v>630171.06000000006</v>
      </c>
      <c r="L19" s="338">
        <v>336809.51</v>
      </c>
      <c r="M19" s="338">
        <v>212242.06</v>
      </c>
      <c r="N19" s="338"/>
      <c r="O19" s="338"/>
      <c r="P19" s="339">
        <v>3030833.82</v>
      </c>
      <c r="R19" t="s">
        <v>525</v>
      </c>
      <c r="U19"/>
      <c r="V19"/>
      <c r="W19" s="337">
        <v>25</v>
      </c>
      <c r="X19"/>
      <c r="Y19"/>
      <c r="Z19"/>
      <c r="AA19"/>
    </row>
    <row r="20" spans="1:33">
      <c r="C20" s="326" t="s">
        <v>310</v>
      </c>
      <c r="D20" s="325"/>
      <c r="E20" s="325"/>
      <c r="F20" s="325"/>
      <c r="G20" s="325"/>
      <c r="H20" s="325"/>
      <c r="I20" s="325"/>
      <c r="J20" s="325"/>
      <c r="K20" s="325"/>
      <c r="L20" s="325"/>
      <c r="M20" s="325"/>
      <c r="N20" s="325">
        <v>312796.55</v>
      </c>
      <c r="O20" s="325">
        <v>80929.570000000007</v>
      </c>
      <c r="P20" s="325">
        <v>393726.12</v>
      </c>
      <c r="R20" t="s">
        <v>506</v>
      </c>
      <c r="U20"/>
      <c r="V20"/>
      <c r="W20" s="12">
        <v>25</v>
      </c>
      <c r="X20"/>
      <c r="Y20"/>
      <c r="Z20"/>
      <c r="AA20"/>
    </row>
    <row r="21" spans="1:33">
      <c r="A21" t="s">
        <v>542</v>
      </c>
      <c r="D21" s="70">
        <v>388488.94</v>
      </c>
      <c r="E21" s="70">
        <v>165047</v>
      </c>
      <c r="F21" s="70">
        <v>44126.880000000005</v>
      </c>
      <c r="G21" s="70">
        <v>134021.17000000001</v>
      </c>
      <c r="H21" s="70">
        <v>268244</v>
      </c>
      <c r="I21" s="70">
        <v>233473</v>
      </c>
      <c r="J21" s="70">
        <v>618210.19999999995</v>
      </c>
      <c r="K21" s="70">
        <v>630171.06000000006</v>
      </c>
      <c r="L21" s="70">
        <v>336809.51</v>
      </c>
      <c r="M21" s="70">
        <v>212242.06</v>
      </c>
      <c r="N21" s="70">
        <v>312796.55</v>
      </c>
      <c r="O21" s="70">
        <v>80929.570000000007</v>
      </c>
      <c r="P21" s="327">
        <v>3424559.94</v>
      </c>
      <c r="U21"/>
      <c r="V21"/>
      <c r="X21"/>
      <c r="Y21"/>
      <c r="Z21"/>
      <c r="AA21"/>
    </row>
    <row r="22" spans="1:33">
      <c r="A22" t="s">
        <v>59</v>
      </c>
      <c r="B22" t="s">
        <v>267</v>
      </c>
      <c r="C22" s="293" t="s">
        <v>271</v>
      </c>
      <c r="D22" s="338">
        <v>77269.2</v>
      </c>
      <c r="E22" s="338"/>
      <c r="F22" s="338">
        <v>4200</v>
      </c>
      <c r="G22" s="338">
        <v>86117.15</v>
      </c>
      <c r="H22" s="338">
        <v>153379</v>
      </c>
      <c r="I22" s="338">
        <v>1016985</v>
      </c>
      <c r="J22" s="338">
        <v>1352878.83</v>
      </c>
      <c r="K22" s="338">
        <v>1344771.38</v>
      </c>
      <c r="L22" s="338">
        <v>368759</v>
      </c>
      <c r="M22" s="338"/>
      <c r="N22" s="338"/>
      <c r="O22" s="338"/>
      <c r="P22" s="339">
        <v>4404359.5600000005</v>
      </c>
      <c r="U22"/>
      <c r="V22"/>
      <c r="X22"/>
      <c r="Y22"/>
      <c r="Z22"/>
      <c r="AA22"/>
    </row>
    <row r="23" spans="1:33">
      <c r="C23" s="326" t="s">
        <v>310</v>
      </c>
      <c r="D23" s="325"/>
      <c r="E23" s="325"/>
      <c r="F23" s="325"/>
      <c r="G23" s="325"/>
      <c r="H23" s="325"/>
      <c r="I23" s="325"/>
      <c r="J23" s="325"/>
      <c r="K23" s="325"/>
      <c r="L23" s="325"/>
      <c r="M23" s="325">
        <v>127455</v>
      </c>
      <c r="N23" s="325">
        <v>248316.56</v>
      </c>
      <c r="O23" s="325">
        <v>78519.550000000061</v>
      </c>
      <c r="P23" s="325">
        <v>454291.11000000004</v>
      </c>
      <c r="U23"/>
      <c r="V23"/>
      <c r="X23"/>
      <c r="Y23"/>
      <c r="Z23"/>
      <c r="AA23"/>
    </row>
    <row r="24" spans="1:33" s="122" customFormat="1">
      <c r="A24" t="s">
        <v>525</v>
      </c>
      <c r="B24"/>
      <c r="C24"/>
      <c r="D24" s="70">
        <v>77269.2</v>
      </c>
      <c r="E24" s="70"/>
      <c r="F24" s="70">
        <v>4200</v>
      </c>
      <c r="G24" s="70">
        <v>86117.15</v>
      </c>
      <c r="H24" s="70">
        <v>153379</v>
      </c>
      <c r="I24" s="70">
        <v>1016985</v>
      </c>
      <c r="J24" s="70">
        <v>1352878.83</v>
      </c>
      <c r="K24" s="70">
        <v>1344771.38</v>
      </c>
      <c r="L24" s="70">
        <v>368759</v>
      </c>
      <c r="M24" s="70">
        <v>127455</v>
      </c>
      <c r="N24" s="70">
        <v>248316.56</v>
      </c>
      <c r="O24" s="70">
        <v>78519.550000000061</v>
      </c>
      <c r="P24" s="327">
        <v>4858650.6700000009</v>
      </c>
      <c r="Q24"/>
      <c r="R24"/>
      <c r="S24"/>
      <c r="T24"/>
      <c r="U24"/>
      <c r="V24"/>
      <c r="W24"/>
      <c r="X24"/>
      <c r="Y24"/>
      <c r="Z24"/>
      <c r="AA24"/>
      <c r="AB24"/>
      <c r="AC24"/>
      <c r="AD24"/>
      <c r="AE24"/>
      <c r="AF24"/>
      <c r="AG24"/>
    </row>
    <row r="25" spans="1:33">
      <c r="A25" t="s">
        <v>506</v>
      </c>
      <c r="D25" s="70">
        <v>465758.14</v>
      </c>
      <c r="E25" s="70">
        <v>165047</v>
      </c>
      <c r="F25" s="70">
        <v>48326.880000000005</v>
      </c>
      <c r="G25" s="70">
        <v>220138.32</v>
      </c>
      <c r="H25" s="70">
        <v>421623</v>
      </c>
      <c r="I25" s="70">
        <v>1250458</v>
      </c>
      <c r="J25" s="70">
        <v>1971089.03</v>
      </c>
      <c r="K25" s="70">
        <v>1974942.44</v>
      </c>
      <c r="L25" s="70">
        <v>705568.51</v>
      </c>
      <c r="M25" s="70">
        <v>339697.06</v>
      </c>
      <c r="N25" s="70">
        <v>561113.11</v>
      </c>
      <c r="O25" s="70">
        <v>159449.12000000005</v>
      </c>
      <c r="P25" s="324">
        <v>8283210.6100000003</v>
      </c>
      <c r="U25"/>
      <c r="V25"/>
      <c r="X25"/>
      <c r="Y25"/>
      <c r="Z25"/>
      <c r="AA25"/>
    </row>
    <row r="26" spans="1:33">
      <c r="D26"/>
      <c r="E26"/>
      <c r="G26"/>
      <c r="H26"/>
      <c r="I26"/>
      <c r="J26"/>
      <c r="U26"/>
      <c r="V26"/>
      <c r="X26"/>
      <c r="Y26"/>
      <c r="Z26"/>
      <c r="AA26"/>
    </row>
    <row r="27" spans="1:33">
      <c r="D27"/>
      <c r="E27"/>
      <c r="G27"/>
      <c r="H27"/>
      <c r="I27"/>
      <c r="J27"/>
      <c r="U27"/>
      <c r="V27"/>
      <c r="X27"/>
      <c r="Y27"/>
      <c r="Z27"/>
      <c r="AA27"/>
    </row>
    <row r="28" spans="1:33">
      <c r="D28"/>
      <c r="E28"/>
      <c r="G28"/>
      <c r="H28"/>
      <c r="I28"/>
      <c r="J28"/>
      <c r="U28"/>
      <c r="V28"/>
      <c r="X28"/>
      <c r="Y28"/>
      <c r="Z28"/>
      <c r="AA28"/>
    </row>
    <row r="29" spans="1:33">
      <c r="D29"/>
      <c r="E29"/>
      <c r="G29"/>
      <c r="H29"/>
      <c r="I29"/>
      <c r="J29"/>
      <c r="U29"/>
      <c r="V29"/>
      <c r="X29"/>
      <c r="Y29"/>
      <c r="Z29"/>
      <c r="AA29"/>
    </row>
    <row r="30" spans="1:33">
      <c r="D30"/>
      <c r="E30"/>
      <c r="G30"/>
      <c r="H30"/>
      <c r="I30"/>
      <c r="J30"/>
      <c r="U30"/>
      <c r="V30"/>
      <c r="X30"/>
      <c r="Y30"/>
      <c r="Z30"/>
      <c r="AA30"/>
    </row>
    <row r="31" spans="1:33">
      <c r="D31"/>
      <c r="E31"/>
      <c r="G31"/>
      <c r="H31"/>
      <c r="I31"/>
      <c r="J31"/>
      <c r="U31"/>
      <c r="V31"/>
      <c r="X31"/>
      <c r="Y31"/>
      <c r="Z31"/>
      <c r="AA31"/>
    </row>
    <row r="32" spans="1:33">
      <c r="D32"/>
      <c r="E32"/>
      <c r="G32"/>
      <c r="H32"/>
      <c r="I32"/>
      <c r="J32"/>
      <c r="U32"/>
      <c r="V32"/>
      <c r="X32"/>
      <c r="Y32"/>
      <c r="Z32"/>
      <c r="AA32"/>
    </row>
    <row r="33" spans="4:33">
      <c r="D33"/>
      <c r="E33"/>
      <c r="G33"/>
      <c r="H33"/>
      <c r="I33"/>
      <c r="J33"/>
      <c r="U33"/>
      <c r="V33"/>
      <c r="X33"/>
      <c r="Y33"/>
      <c r="Z33"/>
      <c r="AA33"/>
    </row>
    <row r="34" spans="4:33">
      <c r="D34"/>
      <c r="E34"/>
      <c r="G34"/>
      <c r="H34"/>
      <c r="I34"/>
      <c r="J34"/>
      <c r="U34"/>
      <c r="V34"/>
      <c r="X34"/>
      <c r="Y34"/>
      <c r="Z34"/>
      <c r="AA34"/>
    </row>
    <row r="35" spans="4:33">
      <c r="D35"/>
      <c r="E35"/>
      <c r="G35"/>
      <c r="H35"/>
      <c r="I35"/>
      <c r="J35"/>
      <c r="U35"/>
      <c r="V35"/>
      <c r="X35"/>
      <c r="Y35"/>
      <c r="Z35"/>
      <c r="AA35"/>
    </row>
    <row r="36" spans="4:33">
      <c r="D36"/>
      <c r="E36"/>
      <c r="G36"/>
      <c r="H36"/>
      <c r="I36"/>
      <c r="J36"/>
      <c r="U36"/>
      <c r="V36"/>
      <c r="X36"/>
      <c r="Y36"/>
      <c r="Z36"/>
      <c r="AA36"/>
    </row>
    <row r="37" spans="4:33">
      <c r="D37"/>
      <c r="E37"/>
      <c r="G37"/>
      <c r="H37"/>
      <c r="I37"/>
      <c r="J37"/>
      <c r="U37"/>
      <c r="V37"/>
      <c r="X37"/>
      <c r="Y37"/>
      <c r="Z37"/>
      <c r="AA37"/>
    </row>
    <row r="38" spans="4:33">
      <c r="D38"/>
      <c r="E38"/>
      <c r="G38"/>
      <c r="H38"/>
      <c r="I38"/>
      <c r="J38"/>
      <c r="U38"/>
      <c r="V38"/>
      <c r="X38"/>
      <c r="Y38"/>
      <c r="Z38"/>
      <c r="AA38"/>
    </row>
    <row r="39" spans="4:33">
      <c r="D39"/>
      <c r="E39"/>
      <c r="G39"/>
      <c r="H39"/>
      <c r="I39"/>
      <c r="J39"/>
      <c r="Q39" s="311"/>
      <c r="U39"/>
      <c r="V39"/>
      <c r="X39"/>
      <c r="Y39"/>
      <c r="Z39"/>
      <c r="AA39"/>
    </row>
    <row r="40" spans="4:33">
      <c r="D40"/>
      <c r="E40"/>
      <c r="G40"/>
      <c r="H40"/>
      <c r="I40"/>
      <c r="J40"/>
      <c r="U40"/>
      <c r="V40"/>
      <c r="X40"/>
      <c r="Y40"/>
      <c r="Z40"/>
      <c r="AA40"/>
    </row>
    <row r="41" spans="4:33">
      <c r="D41"/>
      <c r="E41"/>
      <c r="G41"/>
      <c r="H41"/>
      <c r="I41"/>
      <c r="J41"/>
      <c r="U41"/>
      <c r="V41"/>
      <c r="X41"/>
      <c r="Y41"/>
      <c r="Z41"/>
      <c r="AA41"/>
    </row>
    <row r="42" spans="4:33">
      <c r="D42"/>
      <c r="E42"/>
      <c r="G42"/>
      <c r="H42"/>
      <c r="I42"/>
      <c r="J42"/>
      <c r="P42" s="311"/>
      <c r="U42"/>
      <c r="V42"/>
      <c r="X42"/>
      <c r="Y42"/>
      <c r="Z42"/>
      <c r="AA42"/>
      <c r="AG42" s="311"/>
    </row>
    <row r="43" spans="4:33">
      <c r="D43"/>
      <c r="E43"/>
      <c r="G43"/>
      <c r="H43"/>
      <c r="I43"/>
      <c r="J43"/>
      <c r="P43" s="311"/>
      <c r="U43"/>
      <c r="V43"/>
      <c r="X43"/>
      <c r="Y43"/>
      <c r="Z43"/>
      <c r="AA43"/>
      <c r="AG43" s="311"/>
    </row>
    <row r="44" spans="4:33">
      <c r="D44"/>
      <c r="E44"/>
      <c r="G44"/>
      <c r="H44"/>
      <c r="I44"/>
      <c r="J44"/>
      <c r="P44" s="311"/>
      <c r="Q44" s="311"/>
      <c r="U44"/>
      <c r="V44"/>
      <c r="X44"/>
      <c r="Y44"/>
      <c r="Z44"/>
      <c r="AA44"/>
      <c r="AG44" s="311"/>
    </row>
    <row r="45" spans="4:33">
      <c r="D45"/>
      <c r="E45"/>
      <c r="G45"/>
      <c r="H45"/>
      <c r="I45"/>
      <c r="J45"/>
      <c r="U45"/>
      <c r="V45"/>
      <c r="X45"/>
      <c r="Y45"/>
      <c r="Z45"/>
      <c r="AA45"/>
    </row>
    <row r="46" spans="4:33">
      <c r="D46"/>
      <c r="E46"/>
      <c r="G46"/>
      <c r="H46"/>
      <c r="I46"/>
      <c r="J46"/>
      <c r="U46"/>
      <c r="V46"/>
      <c r="X46"/>
      <c r="Y46"/>
      <c r="Z46"/>
      <c r="AA46"/>
    </row>
    <row r="47" spans="4:33">
      <c r="D47"/>
      <c r="E47"/>
      <c r="G47"/>
      <c r="H47"/>
      <c r="I47"/>
      <c r="J47"/>
      <c r="U47"/>
      <c r="V47"/>
      <c r="X47"/>
      <c r="Y47"/>
      <c r="Z47"/>
      <c r="AA47"/>
    </row>
    <row r="48" spans="4:33">
      <c r="D48"/>
      <c r="E48"/>
      <c r="G48"/>
      <c r="H48"/>
      <c r="I48"/>
      <c r="J48"/>
      <c r="U48"/>
      <c r="V48"/>
      <c r="X48"/>
      <c r="Y48"/>
      <c r="Z48"/>
      <c r="AA48"/>
    </row>
    <row r="49" spans="1:33">
      <c r="D49"/>
      <c r="E49"/>
      <c r="G49"/>
      <c r="H49"/>
      <c r="I49"/>
      <c r="J49"/>
      <c r="U49"/>
      <c r="V49"/>
      <c r="X49"/>
      <c r="Y49"/>
      <c r="Z49"/>
      <c r="AA49"/>
    </row>
    <row r="50" spans="1:33">
      <c r="D50"/>
      <c r="E50"/>
      <c r="G50"/>
      <c r="H50"/>
      <c r="I50"/>
      <c r="J50"/>
      <c r="U50"/>
      <c r="V50"/>
      <c r="X50"/>
      <c r="Y50"/>
      <c r="Z50"/>
      <c r="AA50"/>
    </row>
    <row r="51" spans="1:33">
      <c r="D51"/>
      <c r="E51"/>
      <c r="G51"/>
      <c r="H51"/>
      <c r="I51"/>
      <c r="J51"/>
      <c r="U51"/>
      <c r="V51"/>
      <c r="X51"/>
      <c r="Y51"/>
      <c r="Z51"/>
      <c r="AA51"/>
    </row>
    <row r="52" spans="1:33" s="113" customFormat="1">
      <c r="A52"/>
      <c r="B52"/>
      <c r="C52"/>
      <c r="D52"/>
      <c r="E52"/>
      <c r="F52"/>
      <c r="G52"/>
      <c r="H52"/>
      <c r="I52"/>
      <c r="J52"/>
      <c r="K52"/>
      <c r="L52"/>
      <c r="M52"/>
      <c r="N52"/>
      <c r="O52"/>
      <c r="P52"/>
      <c r="Q52"/>
      <c r="R52"/>
      <c r="S52"/>
      <c r="T52"/>
      <c r="U52"/>
      <c r="V52"/>
      <c r="W52"/>
      <c r="X52"/>
      <c r="Y52"/>
      <c r="Z52"/>
      <c r="AA52"/>
      <c r="AB52"/>
      <c r="AC52"/>
      <c r="AD52"/>
      <c r="AE52"/>
      <c r="AF52"/>
      <c r="AG52"/>
    </row>
    <row r="53" spans="1:33">
      <c r="D53"/>
      <c r="E53"/>
      <c r="G53"/>
      <c r="H53"/>
      <c r="I53"/>
      <c r="J53"/>
      <c r="U53"/>
      <c r="V53"/>
      <c r="X53"/>
      <c r="Y53"/>
      <c r="Z53"/>
      <c r="AA53"/>
    </row>
    <row r="54" spans="1:33">
      <c r="D54"/>
      <c r="E54"/>
      <c r="G54"/>
      <c r="H54"/>
      <c r="I54"/>
      <c r="J54"/>
      <c r="U54"/>
      <c r="V54"/>
      <c r="X54"/>
      <c r="Y54"/>
      <c r="Z54"/>
      <c r="AA54"/>
    </row>
    <row r="55" spans="1:33">
      <c r="D55"/>
      <c r="E55"/>
      <c r="G55"/>
      <c r="H55"/>
      <c r="I55"/>
      <c r="J55"/>
      <c r="U55"/>
      <c r="V55"/>
      <c r="X55"/>
      <c r="Y55"/>
      <c r="Z55"/>
      <c r="AA55"/>
    </row>
    <row r="56" spans="1:33">
      <c r="D56"/>
      <c r="E56"/>
      <c r="G56"/>
      <c r="H56"/>
      <c r="I56"/>
      <c r="J56"/>
      <c r="U56"/>
      <c r="V56"/>
      <c r="X56"/>
      <c r="Y56"/>
      <c r="Z56"/>
      <c r="AA56"/>
    </row>
    <row r="57" spans="1:33">
      <c r="D57"/>
      <c r="E57"/>
      <c r="G57"/>
      <c r="H57"/>
      <c r="I57"/>
      <c r="J57"/>
      <c r="U57"/>
      <c r="V57"/>
      <c r="X57"/>
      <c r="Y57"/>
      <c r="Z57"/>
      <c r="AA57"/>
    </row>
    <row r="58" spans="1:33">
      <c r="D58"/>
      <c r="E58"/>
      <c r="G58"/>
      <c r="H58"/>
      <c r="I58"/>
      <c r="J58"/>
      <c r="U58"/>
      <c r="V58"/>
      <c r="X58"/>
      <c r="Y58"/>
      <c r="Z58"/>
      <c r="AA58"/>
    </row>
    <row r="59" spans="1:33">
      <c r="D59"/>
      <c r="E59"/>
      <c r="G59"/>
      <c r="H59"/>
      <c r="I59"/>
      <c r="J59"/>
      <c r="U59"/>
      <c r="V59"/>
      <c r="X59"/>
      <c r="Y59"/>
      <c r="Z59"/>
      <c r="AA59"/>
    </row>
    <row r="60" spans="1:33">
      <c r="D60"/>
      <c r="E60"/>
      <c r="G60"/>
      <c r="H60"/>
      <c r="I60"/>
      <c r="J60"/>
      <c r="U60"/>
      <c r="V60"/>
      <c r="X60"/>
      <c r="Y60"/>
      <c r="Z60"/>
      <c r="AA60"/>
    </row>
    <row r="61" spans="1:33">
      <c r="D61"/>
      <c r="E61"/>
      <c r="G61"/>
      <c r="H61"/>
      <c r="I61"/>
      <c r="J61"/>
      <c r="U61"/>
      <c r="V61"/>
      <c r="X61"/>
      <c r="Y61"/>
      <c r="Z61"/>
      <c r="AA61"/>
    </row>
    <row r="62" spans="1:33">
      <c r="D62"/>
      <c r="E62"/>
      <c r="G62"/>
      <c r="H62"/>
      <c r="I62"/>
      <c r="J62"/>
      <c r="U62"/>
      <c r="V62"/>
      <c r="X62"/>
      <c r="Y62"/>
      <c r="Z62"/>
      <c r="AA62"/>
    </row>
    <row r="63" spans="1:33">
      <c r="D63"/>
      <c r="E63"/>
      <c r="G63"/>
      <c r="H63"/>
      <c r="I63"/>
      <c r="J63"/>
      <c r="U63"/>
      <c r="V63"/>
      <c r="X63"/>
      <c r="Y63"/>
      <c r="Z63"/>
      <c r="AA63"/>
    </row>
    <row r="64" spans="1:33">
      <c r="D64"/>
      <c r="E64"/>
      <c r="G64"/>
      <c r="H64"/>
      <c r="I64"/>
      <c r="J64"/>
      <c r="U64"/>
      <c r="V64"/>
      <c r="X64"/>
      <c r="Y64"/>
      <c r="Z64"/>
      <c r="AA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2 E3 E34:E115 E116:H1048576">
    <cfRule type="cellIs" dxfId="83" priority="4" operator="equal">
      <formula>"no"</formula>
    </cfRule>
  </conditionalFormatting>
  <conditionalFormatting sqref="E16:H17 E18">
    <cfRule type="cellIs" dxfId="82" priority="3" operator="equal">
      <formula>"no"</formula>
    </cfRule>
  </conditionalFormatting>
  <conditionalFormatting sqref="V1:Y1 V2 X2:Y2 V34:V115 V116:Y1048576">
    <cfRule type="cellIs" dxfId="81" priority="2" operator="equal">
      <formula>"no"</formula>
    </cfRule>
  </conditionalFormatting>
  <conditionalFormatting sqref="X16:Y17 V16:V18">
    <cfRule type="cellIs" dxfId="80"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11" activePane="bottomRight" state="frozen"/>
      <selection pane="topRight" activeCell="E1" sqref="E1"/>
      <selection pane="bottomLeft" activeCell="A2" sqref="A2"/>
      <selection pane="bottomRight" activeCell="H26" sqref="H26"/>
    </sheetView>
  </sheetViews>
  <sheetFormatPr defaultRowHeight="14.4"/>
  <cols>
    <col min="1" max="1" width="15.44140625" bestFit="1" customWidth="1"/>
    <col min="3" max="3" width="10.5546875" customWidth="1"/>
    <col min="4" max="4" width="53.44140625" customWidth="1"/>
    <col min="5" max="5" width="15.6640625" bestFit="1" customWidth="1"/>
    <col min="6" max="6" width="13.44140625" bestFit="1" customWidth="1"/>
    <col min="7" max="10" width="17.6640625" bestFit="1" customWidth="1"/>
    <col min="11" max="11" width="19.5546875" customWidth="1"/>
    <col min="12" max="22" width="17.6640625" bestFit="1" customWidth="1"/>
    <col min="23" max="23" width="10.5546875" bestFit="1" customWidth="1"/>
  </cols>
  <sheetData>
    <row r="1" spans="1:11">
      <c r="A1" s="9" t="s">
        <v>7</v>
      </c>
      <c r="B1" s="9" t="s">
        <v>211</v>
      </c>
      <c r="C1" s="9" t="s">
        <v>218</v>
      </c>
      <c r="D1" s="9" t="s">
        <v>216</v>
      </c>
      <c r="E1" s="9" t="s">
        <v>230</v>
      </c>
      <c r="F1" t="s">
        <v>769</v>
      </c>
    </row>
    <row r="2" spans="1:11">
      <c r="A2" t="s">
        <v>282</v>
      </c>
      <c r="B2" t="s">
        <v>327</v>
      </c>
      <c r="C2" t="s">
        <v>310</v>
      </c>
      <c r="D2" t="s">
        <v>781</v>
      </c>
      <c r="F2">
        <v>1</v>
      </c>
      <c r="K2" s="297" t="s">
        <v>835</v>
      </c>
    </row>
    <row r="3" spans="1:11">
      <c r="D3" s="222" t="s">
        <v>804</v>
      </c>
      <c r="E3">
        <v>3</v>
      </c>
      <c r="F3">
        <v>1</v>
      </c>
    </row>
    <row r="4" spans="1:11">
      <c r="C4" t="s">
        <v>284</v>
      </c>
      <c r="D4" t="s">
        <v>811</v>
      </c>
      <c r="E4">
        <v>3</v>
      </c>
      <c r="F4">
        <v>1</v>
      </c>
    </row>
    <row r="5" spans="1:11">
      <c r="D5" t="s">
        <v>813</v>
      </c>
      <c r="E5">
        <v>11</v>
      </c>
      <c r="F5">
        <v>1</v>
      </c>
    </row>
    <row r="6" spans="1:11">
      <c r="B6" t="s">
        <v>267</v>
      </c>
      <c r="C6" t="s">
        <v>310</v>
      </c>
      <c r="D6" s="222" t="s">
        <v>550</v>
      </c>
      <c r="E6">
        <v>38</v>
      </c>
      <c r="F6">
        <v>1</v>
      </c>
    </row>
    <row r="7" spans="1:11">
      <c r="D7" t="s">
        <v>778</v>
      </c>
      <c r="E7">
        <v>36</v>
      </c>
      <c r="F7">
        <v>1</v>
      </c>
    </row>
    <row r="8" spans="1:11">
      <c r="C8" t="s">
        <v>284</v>
      </c>
      <c r="D8" t="s">
        <v>775</v>
      </c>
      <c r="E8">
        <v>12</v>
      </c>
      <c r="F8">
        <v>1</v>
      </c>
    </row>
    <row r="9" spans="1:11">
      <c r="D9" t="s">
        <v>779</v>
      </c>
      <c r="E9">
        <v>9</v>
      </c>
      <c r="F9">
        <v>1</v>
      </c>
    </row>
    <row r="10" spans="1:11">
      <c r="D10" t="s">
        <v>781</v>
      </c>
      <c r="F10">
        <v>1</v>
      </c>
    </row>
    <row r="11" spans="1:11">
      <c r="D11" t="s">
        <v>774</v>
      </c>
      <c r="E11">
        <v>31</v>
      </c>
      <c r="F11">
        <v>1</v>
      </c>
    </row>
    <row r="12" spans="1:11">
      <c r="C12" t="s">
        <v>321</v>
      </c>
      <c r="D12" t="s">
        <v>836</v>
      </c>
      <c r="E12">
        <v>17</v>
      </c>
      <c r="F12">
        <v>1</v>
      </c>
      <c r="G12" t="s">
        <v>837</v>
      </c>
    </row>
    <row r="13" spans="1:11">
      <c r="D13" t="s">
        <v>838</v>
      </c>
      <c r="E13">
        <v>3</v>
      </c>
      <c r="F13">
        <v>1</v>
      </c>
    </row>
    <row r="14" spans="1:11">
      <c r="A14" s="265" t="s">
        <v>839</v>
      </c>
      <c r="B14" s="265"/>
      <c r="C14" s="265"/>
      <c r="D14" s="265"/>
      <c r="E14" s="265"/>
      <c r="F14" s="265">
        <v>12</v>
      </c>
    </row>
    <row r="15" spans="1:11">
      <c r="A15" t="s">
        <v>298</v>
      </c>
      <c r="B15" t="s">
        <v>327</v>
      </c>
      <c r="C15" t="s">
        <v>310</v>
      </c>
      <c r="D15" s="222" t="s">
        <v>793</v>
      </c>
      <c r="E15">
        <v>15</v>
      </c>
      <c r="F15">
        <v>1</v>
      </c>
    </row>
    <row r="16" spans="1:11">
      <c r="B16" t="s">
        <v>267</v>
      </c>
      <c r="C16" t="s">
        <v>310</v>
      </c>
      <c r="D16" t="s">
        <v>787</v>
      </c>
      <c r="E16">
        <v>35</v>
      </c>
      <c r="F16">
        <v>1</v>
      </c>
    </row>
    <row r="17" spans="1:6">
      <c r="D17" s="222" t="s">
        <v>560</v>
      </c>
      <c r="E17">
        <v>5</v>
      </c>
      <c r="F17">
        <v>1</v>
      </c>
    </row>
    <row r="18" spans="1:6">
      <c r="D18" s="222" t="s">
        <v>562</v>
      </c>
      <c r="E18">
        <v>24</v>
      </c>
      <c r="F18">
        <v>1</v>
      </c>
    </row>
    <row r="19" spans="1:6">
      <c r="C19" t="s">
        <v>316</v>
      </c>
      <c r="D19" s="222" t="s">
        <v>792</v>
      </c>
      <c r="E19">
        <v>27</v>
      </c>
      <c r="F19">
        <v>1</v>
      </c>
    </row>
    <row r="20" spans="1:6">
      <c r="D20" t="s">
        <v>1639</v>
      </c>
      <c r="E20">
        <v>29</v>
      </c>
      <c r="F20">
        <v>1</v>
      </c>
    </row>
    <row r="21" spans="1:6">
      <c r="C21" t="s">
        <v>284</v>
      </c>
      <c r="D21" t="s">
        <v>772</v>
      </c>
      <c r="E21">
        <v>12</v>
      </c>
      <c r="F21">
        <v>1</v>
      </c>
    </row>
    <row r="22" spans="1:6">
      <c r="D22" t="s">
        <v>793</v>
      </c>
      <c r="E22">
        <v>12</v>
      </c>
      <c r="F22">
        <v>1</v>
      </c>
    </row>
    <row r="23" spans="1:6">
      <c r="D23" t="s">
        <v>777</v>
      </c>
      <c r="E23">
        <v>4</v>
      </c>
      <c r="F23">
        <v>1</v>
      </c>
    </row>
    <row r="24" spans="1:6">
      <c r="D24" t="s">
        <v>783</v>
      </c>
      <c r="E24">
        <v>30</v>
      </c>
      <c r="F24">
        <v>1</v>
      </c>
    </row>
    <row r="25" spans="1:6">
      <c r="D25" t="s">
        <v>799</v>
      </c>
      <c r="E25">
        <v>7</v>
      </c>
      <c r="F25">
        <v>1</v>
      </c>
    </row>
    <row r="26" spans="1:6">
      <c r="A26" s="265" t="s">
        <v>840</v>
      </c>
      <c r="B26" s="265"/>
      <c r="C26" s="265"/>
      <c r="D26" s="265"/>
      <c r="E26" s="265"/>
      <c r="F26" s="265">
        <v>11</v>
      </c>
    </row>
    <row r="27" spans="1:6">
      <c r="A27" t="s">
        <v>308</v>
      </c>
      <c r="B27" t="s">
        <v>327</v>
      </c>
      <c r="C27" t="s">
        <v>310</v>
      </c>
      <c r="D27" s="222" t="s">
        <v>791</v>
      </c>
      <c r="E27">
        <v>17</v>
      </c>
      <c r="F27">
        <v>1</v>
      </c>
    </row>
    <row r="28" spans="1:6">
      <c r="D28" s="222" t="s">
        <v>814</v>
      </c>
      <c r="E28">
        <v>2</v>
      </c>
      <c r="F28">
        <v>1</v>
      </c>
    </row>
    <row r="29" spans="1:6">
      <c r="B29" t="s">
        <v>267</v>
      </c>
      <c r="C29" t="s">
        <v>310</v>
      </c>
      <c r="D29" s="302" t="s">
        <v>520</v>
      </c>
      <c r="E29">
        <v>11</v>
      </c>
      <c r="F29">
        <v>0</v>
      </c>
    </row>
    <row r="30" spans="1:6">
      <c r="D30" s="302" t="s">
        <v>788</v>
      </c>
      <c r="E30">
        <v>2</v>
      </c>
      <c r="F30">
        <v>1</v>
      </c>
    </row>
    <row r="31" spans="1:6">
      <c r="D31" s="302" t="s">
        <v>553</v>
      </c>
      <c r="E31">
        <v>1</v>
      </c>
      <c r="F31">
        <v>1</v>
      </c>
    </row>
    <row r="32" spans="1:6">
      <c r="D32" s="302" t="s">
        <v>552</v>
      </c>
      <c r="E32">
        <v>1</v>
      </c>
      <c r="F32">
        <v>1</v>
      </c>
    </row>
    <row r="33" spans="1:6">
      <c r="D33" t="s">
        <v>1656</v>
      </c>
      <c r="E33">
        <v>1</v>
      </c>
      <c r="F33">
        <v>1</v>
      </c>
    </row>
    <row r="34" spans="1:6">
      <c r="C34" t="s">
        <v>316</v>
      </c>
      <c r="D34" t="s">
        <v>797</v>
      </c>
      <c r="E34">
        <v>1</v>
      </c>
      <c r="F34">
        <v>1</v>
      </c>
    </row>
    <row r="35" spans="1:6">
      <c r="C35" t="s">
        <v>284</v>
      </c>
      <c r="D35" s="222" t="s">
        <v>795</v>
      </c>
      <c r="E35" t="s">
        <v>812</v>
      </c>
      <c r="F35">
        <v>1</v>
      </c>
    </row>
    <row r="36" spans="1:6">
      <c r="D36" s="222" t="s">
        <v>789</v>
      </c>
      <c r="E36">
        <v>2</v>
      </c>
      <c r="F36">
        <v>1</v>
      </c>
    </row>
    <row r="37" spans="1:6">
      <c r="D37" s="122" t="s">
        <v>791</v>
      </c>
      <c r="E37">
        <v>18</v>
      </c>
      <c r="F37">
        <v>1</v>
      </c>
    </row>
    <row r="38" spans="1:6">
      <c r="D38" t="s">
        <v>786</v>
      </c>
      <c r="E38">
        <v>2</v>
      </c>
      <c r="F38">
        <v>1</v>
      </c>
    </row>
    <row r="39" spans="1:6">
      <c r="D39" t="s">
        <v>780</v>
      </c>
      <c r="E39">
        <v>14</v>
      </c>
      <c r="F39">
        <v>1</v>
      </c>
    </row>
    <row r="40" spans="1:6">
      <c r="C40" t="s">
        <v>321</v>
      </c>
      <c r="D40" t="s">
        <v>841</v>
      </c>
      <c r="F40">
        <v>1</v>
      </c>
    </row>
    <row r="41" spans="1:6">
      <c r="A41" s="265" t="s">
        <v>842</v>
      </c>
      <c r="B41" s="265"/>
      <c r="C41" s="265"/>
      <c r="D41" s="265"/>
      <c r="E41" s="265"/>
      <c r="F41" s="265">
        <v>13</v>
      </c>
    </row>
    <row r="42" spans="1:6">
      <c r="A42" t="s">
        <v>341</v>
      </c>
      <c r="B42" t="s">
        <v>267</v>
      </c>
      <c r="C42" t="s">
        <v>310</v>
      </c>
      <c r="D42" s="222" t="s">
        <v>559</v>
      </c>
      <c r="E42">
        <v>15</v>
      </c>
      <c r="F42">
        <v>1</v>
      </c>
    </row>
    <row r="43" spans="1:6">
      <c r="C43" t="s">
        <v>321</v>
      </c>
      <c r="D43" t="s">
        <v>843</v>
      </c>
      <c r="E43">
        <v>13</v>
      </c>
      <c r="F43">
        <v>1</v>
      </c>
    </row>
    <row r="44" spans="1:6">
      <c r="D44" t="s">
        <v>844</v>
      </c>
      <c r="E44" t="s">
        <v>812</v>
      </c>
      <c r="F44">
        <v>1</v>
      </c>
    </row>
    <row r="45" spans="1:6">
      <c r="A45" s="265" t="s">
        <v>845</v>
      </c>
      <c r="B45" s="265"/>
      <c r="C45" s="265"/>
      <c r="D45" s="265"/>
      <c r="E45" s="265"/>
      <c r="F45" s="265">
        <v>3</v>
      </c>
    </row>
    <row r="46" spans="1:6">
      <c r="A46" t="s">
        <v>427</v>
      </c>
      <c r="B46" t="s">
        <v>327</v>
      </c>
      <c r="C46" t="s">
        <v>310</v>
      </c>
      <c r="D46" s="222" t="s">
        <v>808</v>
      </c>
      <c r="F46">
        <v>1</v>
      </c>
    </row>
    <row r="47" spans="1:6">
      <c r="C47" t="s">
        <v>284</v>
      </c>
      <c r="D47" t="s">
        <v>1654</v>
      </c>
      <c r="E47">
        <v>2</v>
      </c>
      <c r="F47">
        <v>1</v>
      </c>
    </row>
    <row r="48" spans="1:6">
      <c r="B48" t="s">
        <v>267</v>
      </c>
      <c r="C48" t="s">
        <v>310</v>
      </c>
      <c r="D48" s="222" t="s">
        <v>555</v>
      </c>
      <c r="E48">
        <v>7</v>
      </c>
      <c r="F48">
        <v>1</v>
      </c>
    </row>
    <row r="49" spans="1:6">
      <c r="D49" s="222" t="s">
        <v>556</v>
      </c>
      <c r="E49">
        <v>2</v>
      </c>
      <c r="F49">
        <v>1</v>
      </c>
    </row>
    <row r="50" spans="1:6">
      <c r="D50" s="222" t="s">
        <v>557</v>
      </c>
      <c r="E50">
        <v>5</v>
      </c>
      <c r="F50">
        <v>1</v>
      </c>
    </row>
    <row r="51" spans="1:6">
      <c r="D51" s="302" t="s">
        <v>551</v>
      </c>
      <c r="E51">
        <v>1</v>
      </c>
      <c r="F51">
        <v>1</v>
      </c>
    </row>
    <row r="52" spans="1:6">
      <c r="D52" s="302" t="s">
        <v>558</v>
      </c>
      <c r="F52">
        <v>1</v>
      </c>
    </row>
    <row r="53" spans="1:6">
      <c r="C53" t="s">
        <v>316</v>
      </c>
      <c r="D53" t="s">
        <v>790</v>
      </c>
      <c r="E53">
        <v>1</v>
      </c>
      <c r="F53">
        <v>1</v>
      </c>
    </row>
    <row r="54" spans="1:6">
      <c r="D54" t="s">
        <v>796</v>
      </c>
      <c r="E54">
        <v>2</v>
      </c>
      <c r="F54">
        <v>1</v>
      </c>
    </row>
    <row r="55" spans="1:6">
      <c r="C55" t="s">
        <v>284</v>
      </c>
      <c r="D55" t="s">
        <v>1654</v>
      </c>
      <c r="E55">
        <v>2</v>
      </c>
      <c r="F55">
        <v>1</v>
      </c>
    </row>
    <row r="56" spans="1:6">
      <c r="C56" t="s">
        <v>321</v>
      </c>
      <c r="D56" t="s">
        <v>832</v>
      </c>
      <c r="F56">
        <v>1</v>
      </c>
    </row>
    <row r="57" spans="1:6">
      <c r="A57" s="265" t="s">
        <v>846</v>
      </c>
      <c r="B57" s="265"/>
      <c r="C57" s="265"/>
      <c r="D57" s="265"/>
      <c r="E57" s="265"/>
      <c r="F57" s="265">
        <v>11</v>
      </c>
    </row>
    <row r="58" spans="1:6">
      <c r="A58" t="s">
        <v>352</v>
      </c>
      <c r="B58" t="s">
        <v>327</v>
      </c>
      <c r="C58" t="s">
        <v>310</v>
      </c>
      <c r="D58" s="222" t="s">
        <v>785</v>
      </c>
      <c r="E58">
        <v>1</v>
      </c>
      <c r="F58">
        <v>1</v>
      </c>
    </row>
    <row r="59" spans="1:6">
      <c r="C59" t="s">
        <v>284</v>
      </c>
      <c r="D59" t="s">
        <v>794</v>
      </c>
      <c r="E59">
        <v>1</v>
      </c>
      <c r="F59">
        <v>1</v>
      </c>
    </row>
    <row r="60" spans="1:6">
      <c r="B60" t="s">
        <v>267</v>
      </c>
      <c r="C60" t="s">
        <v>310</v>
      </c>
      <c r="D60" t="s">
        <v>554</v>
      </c>
      <c r="E60">
        <v>50</v>
      </c>
      <c r="F60">
        <v>1</v>
      </c>
    </row>
    <row r="61" spans="1:6">
      <c r="D61" t="s">
        <v>784</v>
      </c>
      <c r="E61">
        <v>8</v>
      </c>
      <c r="F61">
        <v>1</v>
      </c>
    </row>
    <row r="62" spans="1:6">
      <c r="D62" t="s">
        <v>564</v>
      </c>
      <c r="E62">
        <v>3</v>
      </c>
      <c r="F62">
        <v>1</v>
      </c>
    </row>
    <row r="63" spans="1:6">
      <c r="C63" t="s">
        <v>316</v>
      </c>
      <c r="D63" t="s">
        <v>1653</v>
      </c>
      <c r="E63">
        <v>1</v>
      </c>
      <c r="F63">
        <v>1</v>
      </c>
    </row>
    <row r="64" spans="1:6">
      <c r="C64" t="s">
        <v>284</v>
      </c>
      <c r="D64" t="s">
        <v>785</v>
      </c>
      <c r="E64">
        <v>4</v>
      </c>
      <c r="F64">
        <v>1</v>
      </c>
    </row>
    <row r="65" spans="1:7">
      <c r="D65" t="s">
        <v>798</v>
      </c>
      <c r="E65">
        <v>51</v>
      </c>
      <c r="F65">
        <v>1</v>
      </c>
    </row>
    <row r="66" spans="1:7">
      <c r="A66" s="265" t="s">
        <v>847</v>
      </c>
      <c r="B66" s="265"/>
      <c r="C66" s="265"/>
      <c r="D66" s="265"/>
      <c r="E66" s="265"/>
      <c r="F66" s="265">
        <v>8</v>
      </c>
    </row>
    <row r="67" spans="1:7">
      <c r="A67" t="s">
        <v>506</v>
      </c>
      <c r="F67">
        <v>58</v>
      </c>
    </row>
    <row r="69" spans="1:7">
      <c r="G69" t="s">
        <v>272</v>
      </c>
    </row>
    <row r="72" spans="1:7">
      <c r="G72" t="s">
        <v>272</v>
      </c>
    </row>
    <row r="78" spans="1:7">
      <c r="G78" t="s">
        <v>272</v>
      </c>
    </row>
    <row r="79" spans="1:7">
      <c r="G79" t="s">
        <v>272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topRight" activeCell="I1" sqref="I1"/>
      <selection pane="bottomLeft" activeCell="A6" sqref="A6"/>
      <selection pane="bottomRight" activeCell="F29" sqref="F29"/>
    </sheetView>
  </sheetViews>
  <sheetFormatPr defaultRowHeight="14.4"/>
  <cols>
    <col min="1" max="1" width="39.5546875" bestFit="1" customWidth="1"/>
    <col min="2" max="2" width="16.44140625" bestFit="1" customWidth="1"/>
    <col min="3" max="3" width="13.6640625" bestFit="1" customWidth="1"/>
    <col min="4" max="4" width="49.33203125" style="13" bestFit="1" customWidth="1"/>
    <col min="5" max="5" width="11.44140625" style="115" bestFit="1" customWidth="1"/>
    <col min="6" max="6" width="11.44140625" bestFit="1" customWidth="1"/>
    <col min="7" max="7" width="14" style="113" bestFit="1" customWidth="1"/>
    <col min="8" max="8" width="11.44140625" style="113" customWidth="1"/>
    <col min="9" max="9" width="17.44140625" bestFit="1" customWidth="1"/>
    <col min="10" max="10" width="12" style="13" bestFit="1" customWidth="1"/>
    <col min="11" max="11" width="11.44140625" style="115" bestFit="1" customWidth="1"/>
    <col min="12" max="12" width="14.44140625" customWidth="1"/>
    <col min="13" max="13" width="10.44140625" bestFit="1" customWidth="1"/>
    <col min="14" max="14" width="13.6640625" customWidth="1"/>
    <col min="15" max="16" width="10.44140625" bestFit="1" customWidth="1"/>
    <col min="17" max="17" width="11.44140625" bestFit="1" customWidth="1"/>
  </cols>
  <sheetData>
    <row r="1" spans="1:14" s="167" customFormat="1" ht="15" customHeight="1">
      <c r="A1"/>
      <c r="B1"/>
      <c r="C1"/>
      <c r="D1"/>
      <c r="E1"/>
      <c r="F1"/>
      <c r="G1"/>
      <c r="H1"/>
      <c r="I1" s="9" t="s">
        <v>503</v>
      </c>
      <c r="J1" s="9" t="s">
        <v>848</v>
      </c>
      <c r="K1"/>
      <c r="L1"/>
      <c r="M1"/>
      <c r="N1"/>
    </row>
    <row r="2" spans="1:14" ht="28.8">
      <c r="D2"/>
      <c r="E2"/>
      <c r="G2"/>
      <c r="H2"/>
      <c r="I2" t="s">
        <v>505</v>
      </c>
      <c r="J2"/>
      <c r="K2" t="s">
        <v>770</v>
      </c>
      <c r="M2" s="167" t="s">
        <v>849</v>
      </c>
      <c r="N2" s="167" t="s">
        <v>850</v>
      </c>
    </row>
    <row r="3" spans="1:14" ht="28.8">
      <c r="A3" s="9" t="s">
        <v>213</v>
      </c>
      <c r="B3" s="166" t="s">
        <v>211</v>
      </c>
      <c r="C3" s="166" t="s">
        <v>218</v>
      </c>
      <c r="D3" s="166" t="s">
        <v>216</v>
      </c>
      <c r="E3" s="166" t="s">
        <v>230</v>
      </c>
      <c r="F3" s="9" t="s">
        <v>231</v>
      </c>
      <c r="G3" s="9" t="s">
        <v>240</v>
      </c>
      <c r="H3" s="9" t="s">
        <v>241</v>
      </c>
      <c r="I3" t="s">
        <v>851</v>
      </c>
      <c r="J3" t="s">
        <v>502</v>
      </c>
      <c r="K3" t="s">
        <v>851</v>
      </c>
      <c r="L3" t="s">
        <v>502</v>
      </c>
      <c r="M3" s="167"/>
      <c r="N3" s="167"/>
    </row>
    <row r="4" spans="1:14">
      <c r="A4" t="s">
        <v>61</v>
      </c>
      <c r="B4" t="s">
        <v>267</v>
      </c>
      <c r="C4" t="s">
        <v>310</v>
      </c>
      <c r="D4" t="s">
        <v>550</v>
      </c>
      <c r="E4">
        <v>38</v>
      </c>
      <c r="F4">
        <v>756</v>
      </c>
      <c r="G4" t="s">
        <v>818</v>
      </c>
      <c r="H4" t="s">
        <v>852</v>
      </c>
      <c r="I4">
        <v>1</v>
      </c>
      <c r="J4" s="70">
        <v>311473.76000000007</v>
      </c>
      <c r="K4"/>
      <c r="L4" s="70"/>
      <c r="M4">
        <v>1</v>
      </c>
      <c r="N4" s="70">
        <v>311473.76000000007</v>
      </c>
    </row>
    <row r="5" spans="1:14">
      <c r="D5" t="s">
        <v>778</v>
      </c>
      <c r="E5">
        <v>36</v>
      </c>
      <c r="F5">
        <v>925</v>
      </c>
      <c r="G5" t="s">
        <v>831</v>
      </c>
      <c r="H5" t="s">
        <v>824</v>
      </c>
      <c r="J5" s="70"/>
      <c r="K5">
        <v>1</v>
      </c>
      <c r="L5" s="70">
        <v>558793</v>
      </c>
      <c r="M5">
        <v>1</v>
      </c>
      <c r="N5" s="70">
        <v>558793</v>
      </c>
    </row>
    <row r="6" spans="1:14">
      <c r="D6" t="s">
        <v>551</v>
      </c>
      <c r="E6">
        <v>1</v>
      </c>
      <c r="F6">
        <v>7</v>
      </c>
      <c r="G6" t="s">
        <v>803</v>
      </c>
      <c r="H6" t="s">
        <v>803</v>
      </c>
      <c r="I6">
        <v>1</v>
      </c>
      <c r="J6" s="70">
        <v>6068.79</v>
      </c>
      <c r="K6"/>
      <c r="L6" s="70"/>
      <c r="M6">
        <v>1</v>
      </c>
      <c r="N6" s="70">
        <v>6068.79</v>
      </c>
    </row>
    <row r="7" spans="1:14">
      <c r="D7" t="s">
        <v>552</v>
      </c>
      <c r="E7">
        <v>1</v>
      </c>
      <c r="F7">
        <v>20</v>
      </c>
      <c r="G7" t="s">
        <v>806</v>
      </c>
      <c r="H7" t="s">
        <v>806</v>
      </c>
      <c r="I7">
        <v>1</v>
      </c>
      <c r="J7" s="70">
        <v>3454</v>
      </c>
      <c r="K7"/>
      <c r="L7" s="70"/>
      <c r="M7">
        <v>1</v>
      </c>
      <c r="N7" s="70">
        <v>3454</v>
      </c>
    </row>
    <row r="8" spans="1:14">
      <c r="D8" t="s">
        <v>788</v>
      </c>
      <c r="E8">
        <v>2</v>
      </c>
      <c r="F8">
        <v>10</v>
      </c>
      <c r="G8" t="s">
        <v>853</v>
      </c>
      <c r="H8" t="s">
        <v>853</v>
      </c>
      <c r="J8" s="70"/>
      <c r="K8">
        <v>1</v>
      </c>
      <c r="L8" s="70">
        <v>3240</v>
      </c>
      <c r="M8">
        <v>1</v>
      </c>
      <c r="N8" s="70">
        <v>3240</v>
      </c>
    </row>
    <row r="9" spans="1:14">
      <c r="D9" t="s">
        <v>553</v>
      </c>
      <c r="E9">
        <v>1</v>
      </c>
      <c r="F9">
        <v>12</v>
      </c>
      <c r="G9" t="s">
        <v>806</v>
      </c>
      <c r="H9" t="s">
        <v>806</v>
      </c>
      <c r="I9">
        <v>1</v>
      </c>
      <c r="J9" s="70">
        <v>5839.5599999999995</v>
      </c>
      <c r="K9"/>
      <c r="L9" s="70"/>
      <c r="M9">
        <v>1</v>
      </c>
      <c r="N9" s="70">
        <v>5839.5599999999995</v>
      </c>
    </row>
    <row r="10" spans="1:14">
      <c r="D10" t="s">
        <v>520</v>
      </c>
      <c r="E10">
        <v>11</v>
      </c>
      <c r="F10">
        <v>271</v>
      </c>
      <c r="G10" t="s">
        <v>815</v>
      </c>
      <c r="H10" t="s">
        <v>815</v>
      </c>
      <c r="I10">
        <v>0</v>
      </c>
      <c r="J10" s="70">
        <v>127455</v>
      </c>
      <c r="K10"/>
      <c r="L10" s="70"/>
      <c r="M10">
        <v>0</v>
      </c>
      <c r="N10" s="70">
        <v>127455</v>
      </c>
    </row>
    <row r="11" spans="1:14">
      <c r="D11" t="s">
        <v>1656</v>
      </c>
      <c r="E11">
        <v>1</v>
      </c>
      <c r="F11">
        <v>1</v>
      </c>
      <c r="G11" t="s">
        <v>824</v>
      </c>
      <c r="H11" t="s">
        <v>824</v>
      </c>
      <c r="J11" s="70"/>
      <c r="K11">
        <v>1</v>
      </c>
      <c r="L11" s="70">
        <v>3080</v>
      </c>
      <c r="M11">
        <v>1</v>
      </c>
      <c r="N11" s="70">
        <v>3080</v>
      </c>
    </row>
    <row r="12" spans="1:14">
      <c r="D12" t="s">
        <v>784</v>
      </c>
      <c r="E12">
        <v>8</v>
      </c>
      <c r="F12">
        <v>48</v>
      </c>
      <c r="G12" t="s">
        <v>820</v>
      </c>
      <c r="H12" t="s">
        <v>821</v>
      </c>
      <c r="J12" s="70"/>
      <c r="K12">
        <v>1</v>
      </c>
      <c r="L12" s="70">
        <v>37552</v>
      </c>
      <c r="M12">
        <v>1</v>
      </c>
      <c r="N12" s="70">
        <v>37552</v>
      </c>
    </row>
    <row r="13" spans="1:14">
      <c r="C13" s="224" t="s">
        <v>563</v>
      </c>
      <c r="D13" s="224"/>
      <c r="E13" s="224"/>
      <c r="F13" s="224"/>
      <c r="G13" s="224"/>
      <c r="H13" s="224"/>
      <c r="I13" s="224">
        <v>4</v>
      </c>
      <c r="J13" s="225">
        <v>454291.11000000004</v>
      </c>
      <c r="K13" s="224">
        <v>4</v>
      </c>
      <c r="L13" s="225">
        <v>602665</v>
      </c>
      <c r="M13" s="224">
        <v>8</v>
      </c>
      <c r="N13" s="225">
        <v>1056956.1100000001</v>
      </c>
    </row>
    <row r="14" spans="1:14">
      <c r="C14" t="s">
        <v>316</v>
      </c>
      <c r="D14" t="s">
        <v>797</v>
      </c>
      <c r="E14">
        <v>1</v>
      </c>
      <c r="F14">
        <v>1</v>
      </c>
      <c r="G14" t="s">
        <v>809</v>
      </c>
      <c r="H14" t="s">
        <v>809</v>
      </c>
      <c r="J14" s="70"/>
      <c r="K14">
        <v>1</v>
      </c>
      <c r="L14" s="70">
        <v>2190.15</v>
      </c>
      <c r="M14">
        <v>1</v>
      </c>
      <c r="N14" s="70">
        <v>2190.15</v>
      </c>
    </row>
    <row r="15" spans="1:14">
      <c r="C15" s="224" t="s">
        <v>565</v>
      </c>
      <c r="D15" s="224"/>
      <c r="E15" s="224"/>
      <c r="F15" s="224"/>
      <c r="G15" s="224"/>
      <c r="H15" s="224"/>
      <c r="I15" s="224"/>
      <c r="J15" s="225"/>
      <c r="K15" s="224">
        <v>1</v>
      </c>
      <c r="L15" s="225">
        <v>2190.15</v>
      </c>
      <c r="M15" s="224">
        <v>1</v>
      </c>
      <c r="N15" s="225">
        <v>2190.15</v>
      </c>
    </row>
    <row r="16" spans="1:14">
      <c r="B16" s="299" t="s">
        <v>834</v>
      </c>
      <c r="C16" s="299"/>
      <c r="D16" s="299"/>
      <c r="E16" s="299"/>
      <c r="F16" s="299"/>
      <c r="G16" s="299"/>
      <c r="H16" s="299"/>
      <c r="I16" s="299">
        <v>4</v>
      </c>
      <c r="J16" s="300">
        <v>454291.11000000004</v>
      </c>
      <c r="K16" s="299">
        <v>5</v>
      </c>
      <c r="L16" s="300">
        <v>604855.15</v>
      </c>
      <c r="M16" s="299">
        <v>9</v>
      </c>
      <c r="N16" s="300">
        <v>1059146.26</v>
      </c>
    </row>
    <row r="17" spans="1:14">
      <c r="B17" t="s">
        <v>327</v>
      </c>
      <c r="C17" t="s">
        <v>310</v>
      </c>
      <c r="D17" t="s">
        <v>791</v>
      </c>
      <c r="E17">
        <v>17</v>
      </c>
      <c r="F17">
        <v>25</v>
      </c>
      <c r="G17" t="s">
        <v>816</v>
      </c>
      <c r="H17" t="s">
        <v>816</v>
      </c>
      <c r="I17">
        <v>1</v>
      </c>
      <c r="J17" s="70">
        <v>33810.54</v>
      </c>
      <c r="K17"/>
      <c r="L17" s="70"/>
      <c r="M17">
        <v>1</v>
      </c>
      <c r="N17" s="70">
        <v>33810.54</v>
      </c>
    </row>
    <row r="18" spans="1:14">
      <c r="D18" t="s">
        <v>793</v>
      </c>
      <c r="E18">
        <v>15</v>
      </c>
      <c r="F18">
        <v>31</v>
      </c>
      <c r="G18" t="s">
        <v>802</v>
      </c>
      <c r="H18" t="s">
        <v>802</v>
      </c>
      <c r="I18">
        <v>1</v>
      </c>
      <c r="J18" s="70">
        <v>32385.58</v>
      </c>
      <c r="K18"/>
      <c r="L18" s="70"/>
      <c r="M18">
        <v>1</v>
      </c>
      <c r="N18" s="70">
        <v>32385.58</v>
      </c>
    </row>
    <row r="19" spans="1:14">
      <c r="D19" t="s">
        <v>814</v>
      </c>
      <c r="E19">
        <v>2</v>
      </c>
      <c r="F19">
        <v>2</v>
      </c>
      <c r="G19" t="s">
        <v>815</v>
      </c>
      <c r="H19" t="s">
        <v>815</v>
      </c>
      <c r="I19">
        <v>1</v>
      </c>
      <c r="J19" s="70">
        <v>5542.32</v>
      </c>
      <c r="K19"/>
      <c r="L19" s="70"/>
      <c r="M19">
        <v>1</v>
      </c>
      <c r="N19" s="70">
        <v>5542.32</v>
      </c>
    </row>
    <row r="20" spans="1:14">
      <c r="C20" s="224" t="s">
        <v>563</v>
      </c>
      <c r="D20" s="224"/>
      <c r="E20" s="224"/>
      <c r="F20" s="224"/>
      <c r="G20" s="224"/>
      <c r="H20" s="224"/>
      <c r="I20" s="224">
        <v>3</v>
      </c>
      <c r="J20" s="225">
        <v>71738.44</v>
      </c>
      <c r="K20" s="224"/>
      <c r="L20" s="225"/>
      <c r="M20" s="224">
        <v>3</v>
      </c>
      <c r="N20" s="225">
        <v>71738.44</v>
      </c>
    </row>
    <row r="21" spans="1:14">
      <c r="B21" s="299" t="s">
        <v>833</v>
      </c>
      <c r="C21" s="299"/>
      <c r="D21" s="299"/>
      <c r="E21" s="299"/>
      <c r="F21" s="299"/>
      <c r="G21" s="299"/>
      <c r="H21" s="299"/>
      <c r="I21" s="299">
        <v>3</v>
      </c>
      <c r="J21" s="300">
        <v>71738.44</v>
      </c>
      <c r="K21" s="299"/>
      <c r="L21" s="300"/>
      <c r="M21" s="299">
        <v>3</v>
      </c>
      <c r="N21" s="300">
        <v>71738.44</v>
      </c>
    </row>
    <row r="22" spans="1:14" s="122" customFormat="1">
      <c r="A22" s="241" t="s">
        <v>854</v>
      </c>
      <c r="B22" s="241"/>
      <c r="C22" s="241"/>
      <c r="D22" s="241"/>
      <c r="E22" s="241"/>
      <c r="F22" s="241"/>
      <c r="G22" s="241"/>
      <c r="H22" s="241"/>
      <c r="I22" s="241">
        <v>7</v>
      </c>
      <c r="J22" s="249">
        <v>526029.55000000005</v>
      </c>
      <c r="K22" s="241">
        <v>5</v>
      </c>
      <c r="L22" s="249">
        <v>604855.15</v>
      </c>
      <c r="M22" s="241">
        <v>12</v>
      </c>
      <c r="N22" s="249">
        <v>1130884.7000000002</v>
      </c>
    </row>
    <row r="23" spans="1:14">
      <c r="A23" t="s">
        <v>506</v>
      </c>
      <c r="D23"/>
      <c r="E23"/>
      <c r="G23"/>
      <c r="H23"/>
      <c r="I23">
        <v>7</v>
      </c>
      <c r="J23" s="70">
        <v>526029.55000000005</v>
      </c>
      <c r="K23">
        <v>5</v>
      </c>
      <c r="L23" s="70">
        <v>604855.15</v>
      </c>
      <c r="M23">
        <v>12</v>
      </c>
      <c r="N23" s="70">
        <v>1130884.7000000002</v>
      </c>
    </row>
    <row r="24" spans="1:14">
      <c r="D24"/>
      <c r="E24"/>
      <c r="G24"/>
      <c r="H24"/>
      <c r="J24"/>
      <c r="K24"/>
    </row>
    <row r="25" spans="1:14">
      <c r="D25"/>
      <c r="E25"/>
      <c r="G25"/>
      <c r="H25"/>
      <c r="J25"/>
      <c r="K25"/>
    </row>
    <row r="26" spans="1:14">
      <c r="D26"/>
      <c r="E26"/>
      <c r="G26"/>
      <c r="H26"/>
      <c r="J26"/>
      <c r="K26"/>
    </row>
    <row r="27" spans="1:14">
      <c r="D27"/>
      <c r="E27"/>
      <c r="G27"/>
      <c r="H27"/>
      <c r="J27"/>
      <c r="K27"/>
    </row>
    <row r="28" spans="1:14">
      <c r="D28"/>
      <c r="E28"/>
      <c r="G28"/>
      <c r="H28"/>
      <c r="J28"/>
      <c r="K28"/>
    </row>
    <row r="29" spans="1:14">
      <c r="D29"/>
      <c r="E29"/>
      <c r="G29"/>
      <c r="H29"/>
      <c r="J29"/>
      <c r="K29"/>
    </row>
    <row r="30" spans="1:14">
      <c r="D30"/>
      <c r="E30"/>
      <c r="G30"/>
      <c r="H30"/>
      <c r="J30"/>
      <c r="K30"/>
    </row>
    <row r="31" spans="1:14">
      <c r="D31"/>
      <c r="E31"/>
      <c r="G31"/>
      <c r="H31"/>
      <c r="J31"/>
      <c r="K31"/>
    </row>
    <row r="32" spans="1:14">
      <c r="D32"/>
      <c r="E32"/>
      <c r="G32"/>
      <c r="H32"/>
      <c r="J32"/>
      <c r="K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spans="4:11">
      <c r="D49"/>
      <c r="E49"/>
      <c r="G49"/>
      <c r="H49"/>
      <c r="J49"/>
      <c r="K49"/>
    </row>
    <row r="50" spans="4:11">
      <c r="D50"/>
      <c r="E50"/>
      <c r="G50"/>
      <c r="H50"/>
      <c r="J50"/>
      <c r="K50"/>
    </row>
    <row r="51" spans="4:11">
      <c r="D51"/>
      <c r="E51"/>
      <c r="G51"/>
      <c r="H51"/>
      <c r="J51"/>
      <c r="K51"/>
    </row>
    <row r="52" spans="4:11">
      <c r="D52"/>
      <c r="E52"/>
      <c r="G52"/>
      <c r="H52"/>
      <c r="J52"/>
      <c r="K52"/>
    </row>
    <row r="53" spans="4:11">
      <c r="D53"/>
      <c r="E53"/>
      <c r="G53"/>
      <c r="H53"/>
      <c r="J53"/>
      <c r="K53"/>
    </row>
    <row r="54" spans="4:11">
      <c r="D54"/>
      <c r="E54"/>
      <c r="G54"/>
      <c r="H54"/>
      <c r="J54"/>
      <c r="K54"/>
    </row>
    <row r="55" spans="4:11">
      <c r="D55"/>
      <c r="E55"/>
      <c r="G55"/>
      <c r="H55"/>
      <c r="J55"/>
      <c r="K55"/>
    </row>
    <row r="56" spans="4:11">
      <c r="D56"/>
      <c r="E56"/>
      <c r="G56"/>
      <c r="H56"/>
      <c r="J56"/>
      <c r="K56"/>
    </row>
    <row r="57" spans="4:11">
      <c r="D57"/>
      <c r="E57"/>
      <c r="G57"/>
      <c r="H57"/>
      <c r="J57"/>
      <c r="K57"/>
    </row>
    <row r="58" spans="4:11">
      <c r="D58"/>
      <c r="E58"/>
      <c r="G58"/>
      <c r="H58"/>
      <c r="J58"/>
      <c r="K58"/>
    </row>
    <row r="59" spans="4:11">
      <c r="D59"/>
      <c r="E59"/>
      <c r="G59"/>
      <c r="H59"/>
      <c r="J59"/>
      <c r="K59"/>
    </row>
    <row r="60" spans="4:11">
      <c r="D60"/>
      <c r="E60"/>
      <c r="G60"/>
      <c r="H60"/>
      <c r="J60"/>
      <c r="K60"/>
    </row>
    <row r="61" spans="4:11">
      <c r="D61"/>
      <c r="E61"/>
      <c r="G61"/>
      <c r="H61"/>
      <c r="J61"/>
      <c r="K61"/>
    </row>
    <row r="62" spans="4:11">
      <c r="D62"/>
      <c r="E62"/>
      <c r="G62"/>
      <c r="H62"/>
      <c r="J62"/>
    </row>
    <row r="63" spans="4:11">
      <c r="D63"/>
      <c r="E63"/>
      <c r="G63"/>
      <c r="H63"/>
      <c r="J63"/>
    </row>
    <row r="64" spans="4:11">
      <c r="D64"/>
      <c r="E64"/>
      <c r="G64"/>
      <c r="H64"/>
      <c r="J64"/>
    </row>
    <row r="65" spans="4:10">
      <c r="D65"/>
      <c r="E65"/>
      <c r="G65"/>
      <c r="H65"/>
      <c r="J65"/>
    </row>
    <row r="66" spans="4:10">
      <c r="D66"/>
      <c r="E66"/>
      <c r="G66"/>
      <c r="H66"/>
      <c r="J66"/>
    </row>
    <row r="67" spans="4:10">
      <c r="D67"/>
      <c r="E67"/>
      <c r="G67"/>
      <c r="H67"/>
      <c r="J67"/>
    </row>
    <row r="68" spans="4:10">
      <c r="D68"/>
      <c r="E68"/>
      <c r="G68"/>
      <c r="H68"/>
      <c r="J68"/>
    </row>
    <row r="69" spans="4:10">
      <c r="D69"/>
      <c r="E69"/>
      <c r="G69"/>
      <c r="H69"/>
      <c r="J69"/>
    </row>
    <row r="70" spans="4:10">
      <c r="D70"/>
      <c r="E70"/>
      <c r="G70"/>
      <c r="H70"/>
      <c r="J70"/>
    </row>
    <row r="71" spans="4:10">
      <c r="D71"/>
      <c r="E71"/>
      <c r="G71"/>
      <c r="H71"/>
      <c r="J71"/>
    </row>
    <row r="72" spans="4:10">
      <c r="D72"/>
      <c r="E72"/>
      <c r="G72"/>
      <c r="H72"/>
      <c r="J72"/>
    </row>
    <row r="73" spans="4:10">
      <c r="D73"/>
      <c r="E73"/>
      <c r="G73"/>
      <c r="H73"/>
      <c r="J73"/>
    </row>
    <row r="74" spans="4:10">
      <c r="D74"/>
      <c r="E74"/>
      <c r="G74"/>
      <c r="H74"/>
      <c r="J74"/>
    </row>
    <row r="75" spans="4:10">
      <c r="D75"/>
      <c r="E75"/>
      <c r="G75"/>
      <c r="H75"/>
      <c r="J75"/>
    </row>
    <row r="76" spans="4:10">
      <c r="D76"/>
      <c r="E76"/>
      <c r="G76"/>
      <c r="H76"/>
      <c r="J76"/>
    </row>
    <row r="77" spans="4:10">
      <c r="D77"/>
      <c r="E77"/>
      <c r="G77"/>
      <c r="H77"/>
      <c r="J77"/>
    </row>
    <row r="78" spans="4:10">
      <c r="D78"/>
      <c r="E78"/>
      <c r="G78"/>
      <c r="H78"/>
      <c r="J78"/>
    </row>
    <row r="79" spans="4:10">
      <c r="D79"/>
      <c r="E79"/>
      <c r="G79"/>
      <c r="H79"/>
      <c r="J79"/>
    </row>
    <row r="80" spans="4:10">
      <c r="D80"/>
      <c r="E80"/>
      <c r="G80"/>
      <c r="H80"/>
      <c r="J80"/>
    </row>
    <row r="81" spans="4:10">
      <c r="D81"/>
      <c r="E81"/>
      <c r="G81"/>
      <c r="H81"/>
      <c r="J81"/>
    </row>
    <row r="82" spans="4:10">
      <c r="D82"/>
      <c r="E82"/>
      <c r="G82"/>
      <c r="H82"/>
      <c r="J82"/>
    </row>
    <row r="83" spans="4:10">
      <c r="D83"/>
      <c r="E83"/>
      <c r="G83"/>
      <c r="H83"/>
      <c r="J83"/>
    </row>
    <row r="84" spans="4:10">
      <c r="D84"/>
      <c r="E84"/>
      <c r="G84"/>
      <c r="H84"/>
      <c r="J84"/>
    </row>
    <row r="85" spans="4:10">
      <c r="D85"/>
      <c r="E85"/>
      <c r="G85"/>
      <c r="H85"/>
      <c r="J85"/>
    </row>
    <row r="86" spans="4:10">
      <c r="D86"/>
      <c r="E86"/>
      <c r="G86"/>
      <c r="H86"/>
      <c r="J86"/>
    </row>
    <row r="87" spans="4:10">
      <c r="D87"/>
      <c r="E87"/>
      <c r="G87"/>
      <c r="H87"/>
      <c r="J87"/>
    </row>
    <row r="88" spans="4:10">
      <c r="D88"/>
      <c r="E88"/>
      <c r="G88"/>
      <c r="H88"/>
      <c r="J88"/>
    </row>
    <row r="89" spans="4:10">
      <c r="D89"/>
      <c r="E89"/>
      <c r="G89"/>
      <c r="H89"/>
      <c r="J89"/>
    </row>
    <row r="90" spans="4:10">
      <c r="D90"/>
      <c r="E90"/>
      <c r="G90"/>
      <c r="H90"/>
      <c r="J90"/>
    </row>
    <row r="91" spans="4:10">
      <c r="D91"/>
      <c r="E91"/>
      <c r="G91"/>
      <c r="H91"/>
      <c r="J91"/>
    </row>
    <row r="92" spans="4:10">
      <c r="D92"/>
      <c r="E92"/>
      <c r="G92"/>
      <c r="H92"/>
      <c r="J92"/>
    </row>
    <row r="93" spans="4:10">
      <c r="D93"/>
      <c r="E93"/>
      <c r="G93"/>
      <c r="H93"/>
      <c r="J93"/>
    </row>
    <row r="94" spans="4:10">
      <c r="D94"/>
      <c r="E94"/>
      <c r="G94"/>
      <c r="H94"/>
      <c r="J94"/>
    </row>
    <row r="95" spans="4:10">
      <c r="D95"/>
      <c r="E95"/>
      <c r="G95"/>
      <c r="H95"/>
      <c r="J95"/>
    </row>
    <row r="96" spans="4:10">
      <c r="D96"/>
      <c r="E96"/>
      <c r="G96"/>
      <c r="H96"/>
      <c r="J96"/>
    </row>
    <row r="97" spans="4:10">
      <c r="D97"/>
      <c r="E97"/>
      <c r="G97"/>
      <c r="H97"/>
      <c r="J97"/>
    </row>
    <row r="98" spans="4:10">
      <c r="D98"/>
      <c r="E98"/>
      <c r="G98"/>
      <c r="H98"/>
      <c r="J98"/>
    </row>
    <row r="99" spans="4:10">
      <c r="D99"/>
      <c r="E99"/>
      <c r="G99"/>
      <c r="H99"/>
      <c r="J99"/>
    </row>
    <row r="100" spans="4:10">
      <c r="D100"/>
      <c r="E100"/>
      <c r="G100"/>
      <c r="H100"/>
      <c r="J100"/>
    </row>
    <row r="101" spans="4:10">
      <c r="D101"/>
      <c r="E101"/>
      <c r="G101"/>
      <c r="H101"/>
      <c r="J101"/>
    </row>
  </sheetData>
  <conditionalFormatting sqref="D97:D1048576 D1:D2">
    <cfRule type="duplicateValues" dxfId="79" priority="7"/>
    <cfRule type="duplicateValues" dxfId="78" priority="8"/>
  </conditionalFormatting>
  <conditionalFormatting sqref="E1 E102:H1048576">
    <cfRule type="cellIs" dxfId="77" priority="9" operator="equal">
      <formula>"no"</formula>
    </cfRule>
  </conditionalFormatting>
  <conditionalFormatting sqref="J102:J1048576 J1:J2">
    <cfRule type="duplicateValues" dxfId="76" priority="1"/>
    <cfRule type="duplicateValues" dxfId="75" priority="2"/>
  </conditionalFormatting>
  <conditionalFormatting sqref="K1 K97:L1048576">
    <cfRule type="cellIs" dxfId="74" priority="3" operator="equal">
      <formula>"no"</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4"/>
  <cols>
    <col min="1" max="1" width="40.44140625" bestFit="1" customWidth="1"/>
  </cols>
  <sheetData>
    <row r="1" spans="1:1">
      <c r="A1" t="s">
        <v>855</v>
      </c>
    </row>
    <row r="2" spans="1:1">
      <c r="A2" t="s">
        <v>856</v>
      </c>
    </row>
    <row r="3" spans="1:1">
      <c r="A3" t="s">
        <v>857</v>
      </c>
    </row>
    <row r="4" spans="1:1">
      <c r="A4" t="s">
        <v>858</v>
      </c>
    </row>
    <row r="5" spans="1:1">
      <c r="A5" t="s">
        <v>859</v>
      </c>
    </row>
    <row r="6" spans="1:1">
      <c r="A6" t="s">
        <v>860</v>
      </c>
    </row>
    <row r="7" spans="1:1">
      <c r="A7" t="s">
        <v>861</v>
      </c>
    </row>
    <row r="8" spans="1:1">
      <c r="A8" t="s">
        <v>862</v>
      </c>
    </row>
    <row r="9" spans="1:1">
      <c r="A9" t="s">
        <v>863</v>
      </c>
    </row>
    <row r="10" spans="1:1">
      <c r="A10" t="s">
        <v>864</v>
      </c>
    </row>
    <row r="11" spans="1:1">
      <c r="A11" t="s">
        <v>865</v>
      </c>
    </row>
    <row r="12" spans="1:1">
      <c r="A12" t="s">
        <v>866</v>
      </c>
    </row>
    <row r="14" spans="1:1">
      <c r="A14" t="s">
        <v>867</v>
      </c>
    </row>
    <row r="15" spans="1:1">
      <c r="A15" t="s">
        <v>868</v>
      </c>
    </row>
    <row r="16" spans="1:1">
      <c r="A16" t="s">
        <v>869</v>
      </c>
    </row>
    <row r="17" spans="1:1">
      <c r="A17" t="s">
        <v>870</v>
      </c>
    </row>
    <row r="18" spans="1:1">
      <c r="A18" t="s">
        <v>871</v>
      </c>
    </row>
    <row r="19" spans="1:1">
      <c r="A19" t="s">
        <v>872</v>
      </c>
    </row>
    <row r="20" spans="1:1">
      <c r="A20" t="s">
        <v>873</v>
      </c>
    </row>
    <row r="22" spans="1:1">
      <c r="A22" t="s">
        <v>874</v>
      </c>
    </row>
    <row r="23" spans="1:1">
      <c r="A23" t="s">
        <v>875</v>
      </c>
    </row>
    <row r="24" spans="1:1">
      <c r="A24" t="s">
        <v>876</v>
      </c>
    </row>
    <row r="25" spans="1:1">
      <c r="A25" t="s">
        <v>877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topRight" activeCell="G1" sqref="G1"/>
      <selection pane="bottomLeft" activeCell="A6" sqref="A6"/>
      <selection pane="bottomRight" activeCell="C17" sqref="C17"/>
    </sheetView>
  </sheetViews>
  <sheetFormatPr defaultRowHeight="14.4"/>
  <cols>
    <col min="1" max="1" width="52.5546875" customWidth="1"/>
    <col min="2" max="2" width="40.5546875" customWidth="1"/>
    <col min="3" max="3" width="19.5546875" bestFit="1" customWidth="1"/>
    <col min="4" max="4" width="40.5546875" customWidth="1"/>
    <col min="5" max="5" width="10.44140625" style="126" bestFit="1" customWidth="1"/>
    <col min="6" max="6" width="10.44140625" bestFit="1" customWidth="1"/>
    <col min="7" max="8" width="10.5546875" bestFit="1" customWidth="1"/>
    <col min="9" max="9" width="12" bestFit="1" customWidth="1"/>
    <col min="10" max="13" width="10.5546875" bestFit="1" customWidth="1"/>
    <col min="14" max="14" width="12" hidden="1" customWidth="1"/>
    <col min="15" max="17" width="10.5546875" bestFit="1" customWidth="1"/>
    <col min="18" max="28" width="12" bestFit="1" customWidth="1"/>
  </cols>
  <sheetData>
    <row r="1" spans="1:6" ht="21">
      <c r="A1" s="169" t="s">
        <v>209</v>
      </c>
    </row>
    <row r="3" spans="1:6" s="125" customFormat="1" ht="31.35" customHeight="1">
      <c r="A3" s="170" t="s">
        <v>213</v>
      </c>
      <c r="B3" s="170" t="s">
        <v>214</v>
      </c>
      <c r="C3" s="170" t="s">
        <v>210</v>
      </c>
      <c r="D3" s="170" t="s">
        <v>878</v>
      </c>
    </row>
    <row r="4" spans="1:6">
      <c r="A4" t="s">
        <v>61</v>
      </c>
      <c r="B4" t="s">
        <v>59</v>
      </c>
      <c r="C4" t="s">
        <v>59</v>
      </c>
      <c r="D4" t="e">
        <v>#N/A</v>
      </c>
      <c r="F4" t="s">
        <v>615</v>
      </c>
    </row>
    <row r="5" spans="1:6">
      <c r="A5" t="s">
        <v>130</v>
      </c>
      <c r="B5" t="s">
        <v>879</v>
      </c>
      <c r="C5" t="s">
        <v>46</v>
      </c>
      <c r="D5" t="e">
        <v>#N/A</v>
      </c>
    </row>
    <row r="6" spans="1:6">
      <c r="A6" t="s">
        <v>376</v>
      </c>
      <c r="B6" t="s">
        <v>880</v>
      </c>
      <c r="C6" t="s">
        <v>46</v>
      </c>
      <c r="D6" t="e">
        <v>#N/A</v>
      </c>
    </row>
    <row r="7" spans="1:6">
      <c r="A7" t="s">
        <v>378</v>
      </c>
      <c r="B7" t="s">
        <v>881</v>
      </c>
      <c r="C7" t="s">
        <v>46</v>
      </c>
      <c r="D7" t="e">
        <v>#N/A</v>
      </c>
    </row>
    <row r="8" spans="1:6">
      <c r="A8" t="s">
        <v>369</v>
      </c>
      <c r="B8" t="s">
        <v>882</v>
      </c>
      <c r="C8" t="s">
        <v>46</v>
      </c>
      <c r="D8" t="s">
        <v>171</v>
      </c>
    </row>
    <row r="9" spans="1:6">
      <c r="A9" t="s">
        <v>48</v>
      </c>
      <c r="B9" t="s">
        <v>883</v>
      </c>
      <c r="C9" t="s">
        <v>46</v>
      </c>
      <c r="D9" t="e">
        <v>#N/A</v>
      </c>
    </row>
    <row r="10" spans="1:6">
      <c r="A10" t="s">
        <v>98</v>
      </c>
      <c r="B10" t="s">
        <v>884</v>
      </c>
      <c r="C10" t="s">
        <v>46</v>
      </c>
      <c r="D10" t="s">
        <v>885</v>
      </c>
    </row>
    <row r="11" spans="1:6">
      <c r="A11" t="s">
        <v>143</v>
      </c>
      <c r="B11" t="s">
        <v>886</v>
      </c>
      <c r="C11" t="s">
        <v>46</v>
      </c>
      <c r="D11" t="s">
        <v>171</v>
      </c>
    </row>
    <row r="12" spans="1:6">
      <c r="A12" t="s">
        <v>122</v>
      </c>
      <c r="B12" t="s">
        <v>887</v>
      </c>
      <c r="C12" t="s">
        <v>46</v>
      </c>
      <c r="D12" t="e">
        <v>#N/A</v>
      </c>
    </row>
    <row r="13" spans="1:6">
      <c r="A13" t="s">
        <v>82</v>
      </c>
      <c r="B13" t="s">
        <v>888</v>
      </c>
      <c r="C13" t="s">
        <v>46</v>
      </c>
      <c r="D13" t="s">
        <v>171</v>
      </c>
    </row>
    <row r="14" spans="1:6">
      <c r="A14" t="s">
        <v>139</v>
      </c>
      <c r="B14" t="s">
        <v>637</v>
      </c>
      <c r="C14" t="s">
        <v>543</v>
      </c>
      <c r="D14" t="e">
        <v>#N/A</v>
      </c>
    </row>
    <row r="15" spans="1:6">
      <c r="A15" t="s">
        <v>168</v>
      </c>
      <c r="B15" t="s">
        <v>168</v>
      </c>
      <c r="C15" t="s">
        <v>46</v>
      </c>
      <c r="D15" t="s">
        <v>171</v>
      </c>
    </row>
    <row r="16" spans="1:6">
      <c r="A16" t="s">
        <v>364</v>
      </c>
      <c r="B16" t="s">
        <v>889</v>
      </c>
      <c r="C16" t="s">
        <v>546</v>
      </c>
      <c r="D16" t="e">
        <v>#N/A</v>
      </c>
    </row>
    <row r="17" spans="1:4">
      <c r="A17" t="s">
        <v>176</v>
      </c>
      <c r="B17" t="s">
        <v>890</v>
      </c>
      <c r="C17" t="s">
        <v>46</v>
      </c>
      <c r="D17" t="s">
        <v>171</v>
      </c>
    </row>
    <row r="18" spans="1:4">
      <c r="A18" t="s">
        <v>119</v>
      </c>
      <c r="B18" t="s">
        <v>891</v>
      </c>
      <c r="C18" t="s">
        <v>46</v>
      </c>
      <c r="D18" t="e">
        <v>#N/A</v>
      </c>
    </row>
    <row r="19" spans="1:4">
      <c r="A19" t="s">
        <v>196</v>
      </c>
      <c r="B19" t="s">
        <v>892</v>
      </c>
      <c r="C19" t="s">
        <v>46</v>
      </c>
      <c r="D19" t="s">
        <v>171</v>
      </c>
    </row>
    <row r="20" spans="1:4">
      <c r="A20" t="s">
        <v>382</v>
      </c>
      <c r="B20" t="s">
        <v>382</v>
      </c>
      <c r="C20" t="s">
        <v>46</v>
      </c>
      <c r="D20" t="e">
        <v>#N/A</v>
      </c>
    </row>
    <row r="21" spans="1:4">
      <c r="A21" t="s">
        <v>893</v>
      </c>
      <c r="B21" t="s">
        <v>893</v>
      </c>
      <c r="C21" t="s">
        <v>46</v>
      </c>
    </row>
    <row r="22" spans="1:4">
      <c r="A22" t="s">
        <v>418</v>
      </c>
      <c r="B22" t="s">
        <v>894</v>
      </c>
      <c r="C22" t="s">
        <v>46</v>
      </c>
    </row>
    <row r="23" spans="1:4">
      <c r="A23" t="s">
        <v>430</v>
      </c>
      <c r="B23" t="s">
        <v>895</v>
      </c>
      <c r="C23" t="s">
        <v>46</v>
      </c>
    </row>
    <row r="24" spans="1:4">
      <c r="A24" t="s">
        <v>440</v>
      </c>
      <c r="B24" t="s">
        <v>896</v>
      </c>
      <c r="C24" t="s">
        <v>46</v>
      </c>
    </row>
    <row r="25" spans="1:4">
      <c r="A25" t="s">
        <v>453</v>
      </c>
      <c r="B25" t="s">
        <v>897</v>
      </c>
      <c r="C25" t="s">
        <v>46</v>
      </c>
    </row>
    <row r="26" spans="1:4">
      <c r="A26" t="s">
        <v>455</v>
      </c>
      <c r="B26" t="s">
        <v>898</v>
      </c>
      <c r="C26" t="s">
        <v>46</v>
      </c>
    </row>
    <row r="27" spans="1:4">
      <c r="A27" t="s">
        <v>482</v>
      </c>
      <c r="B27" t="s">
        <v>482</v>
      </c>
      <c r="C27" t="s">
        <v>46</v>
      </c>
    </row>
    <row r="28" spans="1:4">
      <c r="A28" t="s">
        <v>485</v>
      </c>
      <c r="B28" t="s">
        <v>899</v>
      </c>
      <c r="C28" t="s">
        <v>46</v>
      </c>
    </row>
    <row r="29" spans="1:4">
      <c r="A29" t="s">
        <v>496</v>
      </c>
      <c r="B29" t="str">
        <f>UPPER(A29)</f>
        <v>FAIRFIELD</v>
      </c>
      <c r="C29" t="s">
        <v>46</v>
      </c>
    </row>
    <row r="30" spans="1:4">
      <c r="A30" t="s">
        <v>499</v>
      </c>
      <c r="B30" t="s">
        <v>900</v>
      </c>
      <c r="C30" t="s">
        <v>46</v>
      </c>
    </row>
  </sheetData>
  <autoFilter ref="A3:D26" xr:uid="{5DF159EE-F02F-443E-A0A2-2383FF362587}"/>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topRight" activeCell="L1" sqref="L1"/>
      <selection pane="bottomLeft" activeCell="A3" sqref="A3"/>
      <selection pane="bottomRight" activeCell="K118" sqref="K118"/>
    </sheetView>
  </sheetViews>
  <sheetFormatPr defaultColWidth="8.5546875" defaultRowHeight="15" customHeight="1" outlineLevelRow="1" outlineLevelCol="1"/>
  <cols>
    <col min="1" max="1" width="9" style="194" customWidth="1" outlineLevel="1"/>
    <col min="2" max="2" width="13.5546875" style="194" customWidth="1"/>
    <col min="3" max="3" width="15.44140625" style="194" customWidth="1"/>
    <col min="4" max="4" width="9.5546875" style="194" customWidth="1"/>
    <col min="5" max="5" width="40" style="194" hidden="1" customWidth="1" outlineLevel="1"/>
    <col min="6" max="6" width="31.44140625" style="194" hidden="1" customWidth="1" outlineLevel="1"/>
    <col min="7" max="7" width="32.5546875" style="194" hidden="1" customWidth="1" outlineLevel="1" collapsed="1"/>
    <col min="8" max="8" width="49.5546875" style="194" customWidth="1" collapsed="1"/>
    <col min="9" max="9" width="13" style="194" customWidth="1"/>
    <col min="10" max="10" width="17.44140625" style="191" customWidth="1"/>
    <col min="11" max="11" width="13" style="195" customWidth="1"/>
    <col min="12" max="12" width="32.44140625" style="191" customWidth="1"/>
    <col min="13" max="13" width="21.44140625" style="191" customWidth="1"/>
    <col min="14" max="14" width="19.5546875" style="196" customWidth="1"/>
    <col min="15" max="15" width="22.5546875" style="194" customWidth="1"/>
    <col min="16" max="16" width="20.5546875" style="196" customWidth="1"/>
    <col min="17" max="17" width="12.5546875" style="195" customWidth="1"/>
    <col min="18" max="18" width="16.44140625" style="195" customWidth="1"/>
    <col min="19" max="19" width="15.5546875" style="195" customWidth="1"/>
    <col min="20" max="21" width="18.5546875" style="197" customWidth="1"/>
    <col min="22" max="22" width="13.5546875" style="197" customWidth="1"/>
    <col min="23" max="23" width="11.44140625" style="198" customWidth="1"/>
    <col min="24" max="29" width="19.44140625" style="196" customWidth="1"/>
    <col min="30" max="30" width="16.5546875" style="191" customWidth="1"/>
    <col min="31" max="31" width="16.5546875" style="194" customWidth="1"/>
    <col min="32" max="32" width="16.5546875" style="191" customWidth="1"/>
    <col min="33" max="33" width="16.5546875" style="194" customWidth="1"/>
    <col min="34" max="34" width="16.5546875" style="191" customWidth="1"/>
    <col min="35" max="35" width="16.5546875" style="194" customWidth="1"/>
    <col min="36" max="36" width="16.5546875" style="191" customWidth="1"/>
    <col min="37" max="37" width="16.5546875" style="194" customWidth="1"/>
    <col min="38" max="38" width="16.5546875" style="191" customWidth="1"/>
    <col min="39" max="39" width="16.5546875" style="194" customWidth="1"/>
    <col min="40" max="40" width="16.5546875" style="191" customWidth="1"/>
    <col min="41" max="41" width="16.5546875" style="194" customWidth="1"/>
    <col min="42" max="42" width="16.5546875" style="191" customWidth="1"/>
    <col min="43" max="43" width="16.5546875" style="194" customWidth="1"/>
    <col min="44" max="44" width="22.5546875" style="194" customWidth="1"/>
    <col min="45" max="45" width="17.5546875" style="194" customWidth="1"/>
    <col min="46" max="49" width="17.44140625" style="194" customWidth="1"/>
    <col min="50" max="51" width="18.44140625" style="194" customWidth="1"/>
    <col min="52" max="52" width="17.44140625" style="194" customWidth="1"/>
    <col min="53" max="53" width="32.44140625" style="199" customWidth="1"/>
    <col min="54" max="16384" width="8.5546875" style="194"/>
  </cols>
  <sheetData>
    <row r="1" spans="1:53" ht="15" customHeight="1">
      <c r="H1" s="194" t="s">
        <v>209</v>
      </c>
      <c r="U1" s="219" t="s">
        <v>284</v>
      </c>
      <c r="V1" s="215"/>
      <c r="W1" s="216"/>
    </row>
    <row r="2" spans="1:53" s="177" customFormat="1" ht="62.4" outlineLevel="1">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878</v>
      </c>
      <c r="Q2" s="172" t="s">
        <v>224</v>
      </c>
      <c r="R2" s="172" t="s">
        <v>225</v>
      </c>
      <c r="S2" s="172" t="s">
        <v>230</v>
      </c>
      <c r="T2" s="172" t="s">
        <v>232</v>
      </c>
      <c r="U2" s="217" t="s">
        <v>233</v>
      </c>
      <c r="V2" s="218" t="s">
        <v>901</v>
      </c>
      <c r="W2" s="218" t="s">
        <v>503</v>
      </c>
      <c r="X2" s="176" t="s">
        <v>236</v>
      </c>
      <c r="Y2" s="176" t="s">
        <v>237</v>
      </c>
      <c r="Z2" s="176" t="s">
        <v>238</v>
      </c>
      <c r="AA2" s="176" t="s">
        <v>239</v>
      </c>
      <c r="AB2" s="176" t="s">
        <v>240</v>
      </c>
      <c r="AC2" s="176" t="s">
        <v>241</v>
      </c>
      <c r="AD2" s="220" t="s">
        <v>242</v>
      </c>
      <c r="AE2" s="221" t="s">
        <v>244</v>
      </c>
      <c r="AF2" s="220" t="s">
        <v>245</v>
      </c>
      <c r="AG2" s="221" t="s">
        <v>902</v>
      </c>
      <c r="AH2" s="220" t="s">
        <v>248</v>
      </c>
      <c r="AI2" s="221" t="s">
        <v>903</v>
      </c>
      <c r="AJ2" s="220" t="s">
        <v>251</v>
      </c>
      <c r="AK2" s="221" t="s">
        <v>904</v>
      </c>
      <c r="AL2" s="220" t="s">
        <v>254</v>
      </c>
      <c r="AM2" s="221" t="s">
        <v>905</v>
      </c>
      <c r="AN2" s="220" t="s">
        <v>257</v>
      </c>
      <c r="AO2" s="221" t="s">
        <v>906</v>
      </c>
      <c r="AP2" s="220" t="s">
        <v>260</v>
      </c>
      <c r="AQ2" s="221" t="s">
        <v>907</v>
      </c>
      <c r="AR2" s="212" t="s">
        <v>908</v>
      </c>
      <c r="AS2" s="212" t="s">
        <v>909</v>
      </c>
      <c r="AT2" s="212" t="s">
        <v>910</v>
      </c>
      <c r="AU2" s="212" t="s">
        <v>911</v>
      </c>
      <c r="AV2" s="212" t="s">
        <v>912</v>
      </c>
      <c r="AW2" s="212" t="s">
        <v>913</v>
      </c>
      <c r="AX2" s="212" t="s">
        <v>914</v>
      </c>
      <c r="AY2" s="212" t="s">
        <v>915</v>
      </c>
      <c r="AZ2" s="200" t="s">
        <v>263</v>
      </c>
      <c r="BA2" s="173" t="s">
        <v>266</v>
      </c>
    </row>
    <row r="3" spans="1:53" s="191" customFormat="1" ht="15.6" hidden="1">
      <c r="A3" s="191" t="str">
        <f>H3&amp;C3</f>
        <v>2026-RH-GRAND HYATT BAHA MARNPI</v>
      </c>
      <c r="B3" s="178" t="str">
        <f>VLOOKUP(E3,'Customer '!A:C,3,0)</f>
        <v>RH</v>
      </c>
      <c r="C3" s="178" t="s">
        <v>267</v>
      </c>
      <c r="D3" s="178" t="s">
        <v>290</v>
      </c>
      <c r="E3" s="179" t="s">
        <v>61</v>
      </c>
      <c r="F3" s="179" t="str">
        <f>VLOOKUP(E3,'Customer '!A:B,2,0)</f>
        <v>RH</v>
      </c>
      <c r="G3" s="178" t="s">
        <v>106</v>
      </c>
      <c r="H3" s="178" t="str">
        <f>2026&amp;"-"&amp;F3&amp;"-"&amp;G3</f>
        <v>2026-RH-GRAND HYATT BAHA MAR</v>
      </c>
      <c r="I3" s="178">
        <v>1</v>
      </c>
      <c r="J3" s="180" t="s">
        <v>310</v>
      </c>
      <c r="K3" s="181" t="s">
        <v>272</v>
      </c>
      <c r="L3" s="180" t="s">
        <v>311</v>
      </c>
      <c r="M3" s="182">
        <v>46033</v>
      </c>
      <c r="N3" s="183">
        <v>46098</v>
      </c>
      <c r="O3" s="181"/>
      <c r="P3" s="183" t="e">
        <f>VLOOKUP(E3,'Customer '!A:D,4,0)</f>
        <v>#N/A</v>
      </c>
      <c r="Q3" s="178" t="s">
        <v>274</v>
      </c>
      <c r="R3" s="178" t="s">
        <v>275</v>
      </c>
      <c r="S3" s="178">
        <v>26</v>
      </c>
      <c r="T3" s="184">
        <v>2427743</v>
      </c>
      <c r="U3" s="184">
        <v>199002.78999999998</v>
      </c>
      <c r="V3" s="184" t="s">
        <v>276</v>
      </c>
      <c r="W3" s="185">
        <v>2026</v>
      </c>
      <c r="X3" s="183" t="s">
        <v>674</v>
      </c>
      <c r="Y3" s="183"/>
      <c r="Z3" s="183" t="s">
        <v>916</v>
      </c>
      <c r="AA3" s="183"/>
      <c r="AB3" s="183" t="s">
        <v>917</v>
      </c>
      <c r="AC3" s="183" t="s">
        <v>918</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6" hidden="1">
      <c r="A4" s="191" t="str">
        <f t="shared" ref="A4:A67" si="1">H4&amp;C4</f>
        <v>2026-RH-GRAND HYATT BAHA MARNPI</v>
      </c>
      <c r="B4" s="178" t="str">
        <f>VLOOKUP(E4,'Customer '!A:C,3,0)</f>
        <v>RH</v>
      </c>
      <c r="C4" s="178" t="s">
        <v>267</v>
      </c>
      <c r="D4" s="178" t="s">
        <v>290</v>
      </c>
      <c r="E4" s="179" t="s">
        <v>61</v>
      </c>
      <c r="F4" s="179" t="str">
        <f>VLOOKUP(E4,'Customer '!A:B,2,0)</f>
        <v>RH</v>
      </c>
      <c r="G4" s="178" t="s">
        <v>106</v>
      </c>
      <c r="H4" s="178" t="str">
        <f t="shared" ref="H4:H67" si="2">2026&amp;"-"&amp;F4&amp;"-"&amp;G4</f>
        <v>2026-RH-GRAND HYATT BAHA MAR</v>
      </c>
      <c r="I4" s="178">
        <v>0</v>
      </c>
      <c r="J4" s="180" t="s">
        <v>310</v>
      </c>
      <c r="K4" s="181" t="s">
        <v>272</v>
      </c>
      <c r="L4" s="180" t="s">
        <v>311</v>
      </c>
      <c r="M4" s="182">
        <v>46033</v>
      </c>
      <c r="N4" s="183">
        <v>46098</v>
      </c>
      <c r="O4" s="181"/>
      <c r="P4" s="183" t="e">
        <f>VLOOKUP(E4,'Customer '!A:D,4,0)</f>
        <v>#N/A</v>
      </c>
      <c r="Q4" s="178" t="s">
        <v>274</v>
      </c>
      <c r="R4" s="178" t="s">
        <v>275</v>
      </c>
      <c r="S4" s="178">
        <v>26</v>
      </c>
      <c r="T4" s="184">
        <v>2427743</v>
      </c>
      <c r="U4" s="184">
        <v>1199129.2</v>
      </c>
      <c r="V4" s="184" t="s">
        <v>279</v>
      </c>
      <c r="W4" s="185">
        <v>2026</v>
      </c>
      <c r="X4" s="183" t="s">
        <v>674</v>
      </c>
      <c r="Y4" s="183"/>
      <c r="Z4" s="183" t="s">
        <v>916</v>
      </c>
      <c r="AA4" s="183"/>
      <c r="AB4" s="183" t="s">
        <v>917</v>
      </c>
      <c r="AC4" s="183" t="s">
        <v>918</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6" hidden="1">
      <c r="A5" s="191" t="str">
        <f t="shared" si="1"/>
        <v>2026-RH-GRAND HYATT BAHA MARNPI</v>
      </c>
      <c r="B5" s="178" t="str">
        <f>VLOOKUP(E5,'Customer '!A:C,3,0)</f>
        <v>RH</v>
      </c>
      <c r="C5" s="178" t="s">
        <v>267</v>
      </c>
      <c r="D5" s="178" t="s">
        <v>290</v>
      </c>
      <c r="E5" s="179" t="s">
        <v>61</v>
      </c>
      <c r="F5" s="179" t="str">
        <f>VLOOKUP(E5,'Customer '!A:B,2,0)</f>
        <v>RH</v>
      </c>
      <c r="G5" s="178" t="s">
        <v>106</v>
      </c>
      <c r="H5" s="178" t="str">
        <f t="shared" si="2"/>
        <v>2026-RH-GRAND HYATT BAHA MAR</v>
      </c>
      <c r="I5" s="178">
        <v>0</v>
      </c>
      <c r="J5" s="180" t="s">
        <v>310</v>
      </c>
      <c r="K5" s="181" t="s">
        <v>272</v>
      </c>
      <c r="L5" s="180" t="s">
        <v>311</v>
      </c>
      <c r="M5" s="182">
        <v>46033</v>
      </c>
      <c r="N5" s="183">
        <v>46098</v>
      </c>
      <c r="O5" s="181"/>
      <c r="P5" s="183" t="e">
        <f>VLOOKUP(E5,'Customer '!A:D,4,0)</f>
        <v>#N/A</v>
      </c>
      <c r="Q5" s="178" t="s">
        <v>274</v>
      </c>
      <c r="R5" s="178" t="s">
        <v>275</v>
      </c>
      <c r="S5" s="178">
        <v>26</v>
      </c>
      <c r="T5" s="184">
        <v>2427743</v>
      </c>
      <c r="U5" s="184">
        <v>720021</v>
      </c>
      <c r="V5" s="184" t="s">
        <v>280</v>
      </c>
      <c r="W5" s="185">
        <v>2026</v>
      </c>
      <c r="X5" s="183" t="s">
        <v>674</v>
      </c>
      <c r="Y5" s="183"/>
      <c r="Z5" s="183" t="s">
        <v>916</v>
      </c>
      <c r="AA5" s="183"/>
      <c r="AB5" s="183" t="s">
        <v>917</v>
      </c>
      <c r="AC5" s="183" t="s">
        <v>918</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6" hidden="1">
      <c r="A6" s="191" t="str">
        <f t="shared" si="1"/>
        <v>2026-RH-GRAND HYATT BAHA MARNPI</v>
      </c>
      <c r="B6" s="178" t="str">
        <f>VLOOKUP(E6,'Customer '!A:C,3,0)</f>
        <v>RH</v>
      </c>
      <c r="C6" s="178" t="s">
        <v>267</v>
      </c>
      <c r="D6" s="178" t="s">
        <v>290</v>
      </c>
      <c r="E6" s="179" t="s">
        <v>61</v>
      </c>
      <c r="F6" s="179" t="str">
        <f>VLOOKUP(E6,'Customer '!A:B,2,0)</f>
        <v>RH</v>
      </c>
      <c r="G6" s="178" t="s">
        <v>106</v>
      </c>
      <c r="H6" s="178" t="str">
        <f t="shared" si="2"/>
        <v>2026-RH-GRAND HYATT BAHA MAR</v>
      </c>
      <c r="I6" s="178">
        <v>0</v>
      </c>
      <c r="J6" s="180" t="s">
        <v>310</v>
      </c>
      <c r="K6" s="181" t="s">
        <v>272</v>
      </c>
      <c r="L6" s="180" t="s">
        <v>311</v>
      </c>
      <c r="M6" s="182">
        <v>46033</v>
      </c>
      <c r="N6" s="183">
        <v>46098</v>
      </c>
      <c r="O6" s="181"/>
      <c r="P6" s="183" t="e">
        <f>VLOOKUP(E6,'Customer '!A:D,4,0)</f>
        <v>#N/A</v>
      </c>
      <c r="Q6" s="178" t="s">
        <v>274</v>
      </c>
      <c r="R6" s="178" t="s">
        <v>275</v>
      </c>
      <c r="S6" s="178">
        <v>26</v>
      </c>
      <c r="T6" s="184">
        <v>2427743</v>
      </c>
      <c r="U6" s="184">
        <v>309590</v>
      </c>
      <c r="V6" s="184" t="s">
        <v>281</v>
      </c>
      <c r="W6" s="185">
        <v>2026</v>
      </c>
      <c r="X6" s="183" t="s">
        <v>674</v>
      </c>
      <c r="Y6" s="183"/>
      <c r="Z6" s="183" t="s">
        <v>916</v>
      </c>
      <c r="AA6" s="183"/>
      <c r="AB6" s="183" t="s">
        <v>917</v>
      </c>
      <c r="AC6" s="183" t="s">
        <v>918</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6" hidden="1">
      <c r="A7" s="191" t="str">
        <f t="shared" si="1"/>
        <v>2026-RH-FOX HARBORNPI</v>
      </c>
      <c r="B7" s="178" t="str">
        <f>VLOOKUP(E7,'Customer '!A:C,3,0)</f>
        <v>RH</v>
      </c>
      <c r="C7" s="178" t="s">
        <v>267</v>
      </c>
      <c r="D7" s="178" t="s">
        <v>290</v>
      </c>
      <c r="E7" s="179" t="s">
        <v>61</v>
      </c>
      <c r="F7" s="179" t="str">
        <f>VLOOKUP(E7,'Customer '!A:B,2,0)</f>
        <v>RH</v>
      </c>
      <c r="G7" s="178" t="s">
        <v>103</v>
      </c>
      <c r="H7" s="178" t="str">
        <f t="shared" si="2"/>
        <v>2026-RH-FOX HARBOR</v>
      </c>
      <c r="I7" s="178">
        <v>1</v>
      </c>
      <c r="J7" s="180" t="s">
        <v>271</v>
      </c>
      <c r="K7" s="181" t="s">
        <v>291</v>
      </c>
      <c r="L7" s="180" t="s">
        <v>273</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919</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6" hidden="1">
      <c r="A8" s="191" t="str">
        <f t="shared" si="1"/>
        <v>2026-RH-RH CASSIA CONDONPI</v>
      </c>
      <c r="B8" s="178" t="str">
        <f>VLOOKUP(E8,'Customer '!A:C,3,0)</f>
        <v>RH</v>
      </c>
      <c r="C8" s="178" t="s">
        <v>267</v>
      </c>
      <c r="D8" s="178" t="s">
        <v>290</v>
      </c>
      <c r="E8" s="179" t="s">
        <v>61</v>
      </c>
      <c r="F8" s="179" t="str">
        <f>VLOOKUP(E8,'Customer '!A:B,2,0)</f>
        <v>RH</v>
      </c>
      <c r="G8" s="178" t="s">
        <v>155</v>
      </c>
      <c r="H8" s="178" t="str">
        <f t="shared" si="2"/>
        <v>2026-RH-RH CASSIA CONDO</v>
      </c>
      <c r="I8" s="178">
        <v>1</v>
      </c>
      <c r="J8" s="180" t="s">
        <v>310</v>
      </c>
      <c r="K8" s="181" t="s">
        <v>272</v>
      </c>
      <c r="L8" s="180" t="s">
        <v>354</v>
      </c>
      <c r="M8" s="182">
        <v>46020</v>
      </c>
      <c r="N8" s="183">
        <v>46101</v>
      </c>
      <c r="O8" s="181"/>
      <c r="P8" s="183" t="e">
        <f>VLOOKUP(E8,'Customer '!A:D,4,0)</f>
        <v>#N/A</v>
      </c>
      <c r="Q8" s="178" t="s">
        <v>51</v>
      </c>
      <c r="R8" s="178" t="s">
        <v>295</v>
      </c>
      <c r="S8" s="178">
        <v>50</v>
      </c>
      <c r="T8" s="192">
        <v>1161167</v>
      </c>
      <c r="U8" s="192">
        <v>271553</v>
      </c>
      <c r="V8" s="184" t="s">
        <v>280</v>
      </c>
      <c r="W8" s="185">
        <v>2026</v>
      </c>
      <c r="X8" s="183" t="s">
        <v>920</v>
      </c>
      <c r="Y8" s="183"/>
      <c r="Z8" s="183" t="s">
        <v>921</v>
      </c>
      <c r="AA8" s="183"/>
      <c r="AB8" s="183" t="s">
        <v>922</v>
      </c>
      <c r="AC8" s="183" t="s">
        <v>918</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6" hidden="1">
      <c r="A9" s="191" t="str">
        <f t="shared" si="1"/>
        <v>2026-RH-RH CASSIA CONDONPI</v>
      </c>
      <c r="B9" s="178" t="str">
        <f>VLOOKUP(E9,'Customer '!A:C,3,0)</f>
        <v>RH</v>
      </c>
      <c r="C9" s="178" t="s">
        <v>267</v>
      </c>
      <c r="D9" s="178" t="s">
        <v>290</v>
      </c>
      <c r="E9" s="179" t="s">
        <v>61</v>
      </c>
      <c r="F9" s="179" t="str">
        <f>VLOOKUP(E9,'Customer '!A:B,2,0)</f>
        <v>RH</v>
      </c>
      <c r="G9" s="178" t="s">
        <v>155</v>
      </c>
      <c r="H9" s="178" t="str">
        <f t="shared" si="2"/>
        <v>2026-RH-RH CASSIA CONDO</v>
      </c>
      <c r="I9" s="178">
        <v>0</v>
      </c>
      <c r="J9" s="180" t="s">
        <v>310</v>
      </c>
      <c r="K9" s="181" t="s">
        <v>272</v>
      </c>
      <c r="L9" s="180" t="s">
        <v>354</v>
      </c>
      <c r="M9" s="182">
        <v>46020</v>
      </c>
      <c r="N9" s="183">
        <v>46101</v>
      </c>
      <c r="O9" s="178"/>
      <c r="P9" s="183" t="e">
        <f>VLOOKUP(E9,'Customer '!A:D,4,0)</f>
        <v>#N/A</v>
      </c>
      <c r="Q9" s="178" t="s">
        <v>51</v>
      </c>
      <c r="R9" s="178" t="s">
        <v>295</v>
      </c>
      <c r="S9" s="178">
        <v>50</v>
      </c>
      <c r="T9" s="192">
        <v>1161167</v>
      </c>
      <c r="U9" s="192">
        <v>668951</v>
      </c>
      <c r="V9" s="184" t="s">
        <v>281</v>
      </c>
      <c r="W9" s="185">
        <v>2026</v>
      </c>
      <c r="X9" s="183" t="s">
        <v>920</v>
      </c>
      <c r="Y9" s="183"/>
      <c r="Z9" s="183" t="s">
        <v>921</v>
      </c>
      <c r="AA9" s="183"/>
      <c r="AB9" s="183" t="s">
        <v>922</v>
      </c>
      <c r="AC9" s="183" t="s">
        <v>918</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6" hidden="1">
      <c r="A10" s="191" t="str">
        <f t="shared" si="1"/>
        <v>2026-RH-RH CASSIA CONDONPI</v>
      </c>
      <c r="B10" s="178" t="str">
        <f>VLOOKUP(E10,'Customer '!A:C,3,0)</f>
        <v>RH</v>
      </c>
      <c r="C10" s="178" t="s">
        <v>267</v>
      </c>
      <c r="D10" s="178" t="s">
        <v>290</v>
      </c>
      <c r="E10" s="179" t="s">
        <v>61</v>
      </c>
      <c r="F10" s="179" t="str">
        <f>VLOOKUP(E10,'Customer '!A:B,2,0)</f>
        <v>RH</v>
      </c>
      <c r="G10" s="178" t="s">
        <v>155</v>
      </c>
      <c r="H10" s="178" t="str">
        <f t="shared" si="2"/>
        <v>2026-RH-RH CASSIA CONDO</v>
      </c>
      <c r="I10" s="178">
        <v>0</v>
      </c>
      <c r="J10" s="180" t="s">
        <v>310</v>
      </c>
      <c r="K10" s="181" t="s">
        <v>272</v>
      </c>
      <c r="L10" s="180" t="s">
        <v>354</v>
      </c>
      <c r="M10" s="182">
        <v>46020</v>
      </c>
      <c r="N10" s="183">
        <v>46101</v>
      </c>
      <c r="O10" s="183"/>
      <c r="P10" s="183" t="e">
        <f>VLOOKUP(E10,'Customer '!A:D,4,0)</f>
        <v>#N/A</v>
      </c>
      <c r="Q10" s="178" t="s">
        <v>51</v>
      </c>
      <c r="R10" s="178" t="s">
        <v>295</v>
      </c>
      <c r="S10" s="178">
        <v>50</v>
      </c>
      <c r="T10" s="192">
        <v>1161167</v>
      </c>
      <c r="U10" s="192">
        <v>220663</v>
      </c>
      <c r="V10" s="184" t="s">
        <v>281</v>
      </c>
      <c r="W10" s="185">
        <v>2026</v>
      </c>
      <c r="X10" s="183" t="s">
        <v>920</v>
      </c>
      <c r="Y10" s="183"/>
      <c r="Z10" s="183" t="s">
        <v>921</v>
      </c>
      <c r="AA10" s="183"/>
      <c r="AB10" s="183" t="s">
        <v>922</v>
      </c>
      <c r="AC10" s="183" t="s">
        <v>918</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6">
      <c r="A11" s="191" t="str">
        <f t="shared" si="1"/>
        <v>2026-RH-MAIN STREET BOUTIQUE HOTELNPI</v>
      </c>
      <c r="B11" s="178" t="str">
        <f>VLOOKUP(E11,'Customer '!A:C,3,0)</f>
        <v>RH</v>
      </c>
      <c r="C11" s="178" t="s">
        <v>267</v>
      </c>
      <c r="D11" s="178" t="s">
        <v>298</v>
      </c>
      <c r="E11" s="179" t="s">
        <v>61</v>
      </c>
      <c r="F11" s="179" t="str">
        <f>VLOOKUP(E11,'Customer '!A:B,2,0)</f>
        <v>RH</v>
      </c>
      <c r="G11" s="178" t="s">
        <v>299</v>
      </c>
      <c r="H11" s="178" t="str">
        <f t="shared" si="2"/>
        <v>2026-RH-MAIN STREET BOUTIQUE HOTEL</v>
      </c>
      <c r="I11" s="178">
        <v>1</v>
      </c>
      <c r="J11" s="180" t="s">
        <v>271</v>
      </c>
      <c r="K11" s="181" t="s">
        <v>272</v>
      </c>
      <c r="L11" s="180" t="s">
        <v>273</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923</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6">
      <c r="A12" s="191" t="str">
        <f t="shared" si="1"/>
        <v>2026-RH-CHICAGO PENDRYNPI</v>
      </c>
      <c r="B12" s="178" t="str">
        <f>VLOOKUP(E12,'Customer '!A:C,3,0)</f>
        <v>RH</v>
      </c>
      <c r="C12" s="178" t="s">
        <v>267</v>
      </c>
      <c r="D12" s="178" t="s">
        <v>298</v>
      </c>
      <c r="E12" s="179" t="s">
        <v>61</v>
      </c>
      <c r="F12" s="179" t="str">
        <f>VLOOKUP(E12,'Customer '!A:B,2,0)</f>
        <v>RH</v>
      </c>
      <c r="G12" s="178" t="s">
        <v>70</v>
      </c>
      <c r="H12" s="178" t="str">
        <f t="shared" si="2"/>
        <v>2026-RH-CHICAGO PENDRY</v>
      </c>
      <c r="I12" s="178">
        <v>1</v>
      </c>
      <c r="J12" s="180" t="s">
        <v>300</v>
      </c>
      <c r="K12" s="181" t="s">
        <v>272</v>
      </c>
      <c r="L12" s="180" t="s">
        <v>924</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6">
      <c r="A13" s="191" t="str">
        <f t="shared" si="1"/>
        <v>2026-RH-CIA O&amp;O GUESTROOMSNPI</v>
      </c>
      <c r="B13" s="178" t="str">
        <f>VLOOKUP(E13,'Customer '!A:C,3,0)</f>
        <v>RH</v>
      </c>
      <c r="C13" s="178" t="s">
        <v>267</v>
      </c>
      <c r="D13" s="178" t="s">
        <v>298</v>
      </c>
      <c r="E13" s="179" t="s">
        <v>61</v>
      </c>
      <c r="F13" s="179" t="str">
        <f>VLOOKUP(E13,'Customer '!A:B,2,0)</f>
        <v>RH</v>
      </c>
      <c r="G13" s="178" t="s">
        <v>74</v>
      </c>
      <c r="H13" s="178" t="str">
        <f t="shared" si="2"/>
        <v>2026-RH-CIA O&amp;O GUESTROOMS</v>
      </c>
      <c r="I13" s="178">
        <v>1</v>
      </c>
      <c r="J13" s="180" t="s">
        <v>284</v>
      </c>
      <c r="K13" s="181" t="s">
        <v>272</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312</v>
      </c>
      <c r="W13" s="185">
        <v>2026</v>
      </c>
      <c r="X13" s="183" t="s">
        <v>292</v>
      </c>
      <c r="Y13" s="183"/>
      <c r="Z13" s="183"/>
      <c r="AA13" s="183"/>
      <c r="AB13" s="183"/>
      <c r="AC13" s="183"/>
      <c r="AD13" s="180" t="s">
        <v>344</v>
      </c>
      <c r="AE13" s="181"/>
      <c r="AF13" s="180" t="s">
        <v>344</v>
      </c>
      <c r="AG13" s="181"/>
      <c r="AH13" s="180" t="s">
        <v>344</v>
      </c>
      <c r="AI13" s="181"/>
      <c r="AJ13" s="180" t="s">
        <v>344</v>
      </c>
      <c r="AK13" s="181"/>
      <c r="AL13" s="180" t="s">
        <v>344</v>
      </c>
      <c r="AM13" s="181"/>
      <c r="AN13" s="180" t="s">
        <v>73</v>
      </c>
      <c r="AO13" s="181"/>
      <c r="AP13" s="180" t="s">
        <v>344</v>
      </c>
      <c r="AQ13" s="181"/>
      <c r="AR13" s="186"/>
      <c r="AS13" s="187"/>
      <c r="AT13" s="186"/>
      <c r="AU13" s="187"/>
      <c r="AV13" s="186"/>
      <c r="AW13" s="187"/>
      <c r="AX13" s="186"/>
      <c r="AY13" s="187"/>
      <c r="AZ13" s="188" t="str">
        <f t="shared" si="0"/>
        <v>Active</v>
      </c>
      <c r="BA13" s="190"/>
    </row>
    <row r="14" spans="1:53" s="191" customFormat="1" ht="15.6" hidden="1">
      <c r="A14" s="191" t="str">
        <f t="shared" si="1"/>
        <v>2026-RH-HA STUDIO PICO/WILKINSNPI</v>
      </c>
      <c r="B14" s="178" t="str">
        <f>VLOOKUP(E14,'Customer '!A:C,3,0)</f>
        <v>RH</v>
      </c>
      <c r="C14" s="178" t="s">
        <v>267</v>
      </c>
      <c r="D14" s="178" t="s">
        <v>306</v>
      </c>
      <c r="E14" s="179" t="s">
        <v>61</v>
      </c>
      <c r="F14" s="179" t="str">
        <f>VLOOKUP(E14,'Customer '!A:B,2,0)</f>
        <v>RH</v>
      </c>
      <c r="G14" s="178" t="s">
        <v>307</v>
      </c>
      <c r="H14" s="178" t="str">
        <f t="shared" si="2"/>
        <v>2026-RH-HA STUDIO PICO/WILKINS</v>
      </c>
      <c r="I14" s="178">
        <v>1</v>
      </c>
      <c r="J14" s="180" t="s">
        <v>310</v>
      </c>
      <c r="K14" s="181" t="s">
        <v>272</v>
      </c>
      <c r="L14" s="180" t="s">
        <v>311</v>
      </c>
      <c r="M14" s="182">
        <v>46027</v>
      </c>
      <c r="N14" s="183">
        <v>46048</v>
      </c>
      <c r="O14" s="181"/>
      <c r="P14" s="183" t="e">
        <f>VLOOKUP(E14,'Customer '!A:D,4,0)</f>
        <v>#N/A</v>
      </c>
      <c r="Q14" s="178" t="s">
        <v>51</v>
      </c>
      <c r="R14" s="178" t="s">
        <v>152</v>
      </c>
      <c r="S14" s="178">
        <v>1</v>
      </c>
      <c r="T14" s="184">
        <v>12309</v>
      </c>
      <c r="U14" s="184">
        <v>12309</v>
      </c>
      <c r="V14" s="184" t="s">
        <v>279</v>
      </c>
      <c r="W14" s="185">
        <v>2026</v>
      </c>
      <c r="X14" s="183">
        <v>46171</v>
      </c>
      <c r="Y14" s="183"/>
      <c r="Z14" s="183" t="s">
        <v>925</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6" hidden="1">
      <c r="A15" s="191" t="str">
        <f t="shared" si="1"/>
        <v>2026-RH-NAMA LISBONNPI</v>
      </c>
      <c r="B15" s="178" t="str">
        <f>VLOOKUP(E15,'Customer '!A:C,3,0)</f>
        <v>RH</v>
      </c>
      <c r="C15" s="178" t="s">
        <v>267</v>
      </c>
      <c r="D15" s="178" t="s">
        <v>306</v>
      </c>
      <c r="E15" s="179" t="s">
        <v>61</v>
      </c>
      <c r="F15" s="179" t="str">
        <f>VLOOKUP(E15,'Customer '!A:B,2,0)</f>
        <v>RH</v>
      </c>
      <c r="G15" s="178" t="s">
        <v>146</v>
      </c>
      <c r="H15" s="178" t="str">
        <f t="shared" si="2"/>
        <v>2026-RH-NAMA LISBON</v>
      </c>
      <c r="I15" s="178">
        <v>1</v>
      </c>
      <c r="J15" s="180" t="s">
        <v>310</v>
      </c>
      <c r="K15" s="181" t="s">
        <v>272</v>
      </c>
      <c r="L15" s="180" t="s">
        <v>311</v>
      </c>
      <c r="M15" s="182">
        <v>46037</v>
      </c>
      <c r="N15" s="183">
        <v>46083</v>
      </c>
      <c r="O15" s="181"/>
      <c r="P15" s="183" t="e">
        <f>VLOOKUP(E15,'Customer '!A:D,4,0)</f>
        <v>#N/A</v>
      </c>
      <c r="Q15" s="178" t="s">
        <v>147</v>
      </c>
      <c r="R15" s="178" t="s">
        <v>314</v>
      </c>
      <c r="S15" s="178">
        <v>11</v>
      </c>
      <c r="T15" s="184">
        <v>198340.06</v>
      </c>
      <c r="U15" s="209">
        <v>198340.06</v>
      </c>
      <c r="V15" s="184" t="s">
        <v>297</v>
      </c>
      <c r="W15" s="185">
        <v>2026</v>
      </c>
      <c r="X15" s="183" t="s">
        <v>800</v>
      </c>
      <c r="Y15" s="183"/>
      <c r="Z15" s="183" t="s">
        <v>800</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6" hidden="1">
      <c r="A16" s="191" t="str">
        <f t="shared" si="1"/>
        <v>2026-RH-RANCHO VALENCIANPI</v>
      </c>
      <c r="B16" s="178" t="str">
        <f>VLOOKUP(E16,'Customer '!A:C,3,0)</f>
        <v>RH</v>
      </c>
      <c r="C16" s="178" t="s">
        <v>267</v>
      </c>
      <c r="D16" s="178" t="s">
        <v>290</v>
      </c>
      <c r="E16" s="179" t="s">
        <v>61</v>
      </c>
      <c r="F16" s="179" t="str">
        <f>VLOOKUP(E16,'Customer '!A:B,2,0)</f>
        <v>RH</v>
      </c>
      <c r="G16" s="178" t="s">
        <v>154</v>
      </c>
      <c r="H16" s="178" t="str">
        <f t="shared" si="2"/>
        <v>2026-RH-RANCHO VALENCIA</v>
      </c>
      <c r="I16" s="178">
        <v>1</v>
      </c>
      <c r="J16" s="180" t="s">
        <v>321</v>
      </c>
      <c r="K16" s="181" t="s">
        <v>272</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322</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6" hidden="1">
      <c r="A17" s="191" t="str">
        <f t="shared" si="1"/>
        <v>2026-RH-RH CONTRACT (LARA CHAIR 25)NPI</v>
      </c>
      <c r="B17" s="178" t="str">
        <f>VLOOKUP(E17,'Customer '!A:C,3,0)</f>
        <v>RH</v>
      </c>
      <c r="C17" s="178" t="s">
        <v>267</v>
      </c>
      <c r="D17" s="178" t="s">
        <v>323</v>
      </c>
      <c r="E17" s="179" t="s">
        <v>61</v>
      </c>
      <c r="F17" s="179" t="str">
        <f>VLOOKUP(E17,'Customer '!A:B,2,0)</f>
        <v>RH</v>
      </c>
      <c r="G17" s="178" t="s">
        <v>324</v>
      </c>
      <c r="H17" s="178" t="str">
        <f t="shared" si="2"/>
        <v>2026-RH-RH CONTRACT (LARA CHAIR 25)</v>
      </c>
      <c r="I17" s="178">
        <v>1</v>
      </c>
      <c r="J17" s="180" t="s">
        <v>271</v>
      </c>
      <c r="K17" s="181" t="s">
        <v>291</v>
      </c>
      <c r="L17" s="180" t="s">
        <v>273</v>
      </c>
      <c r="M17" s="182"/>
      <c r="N17" s="183">
        <v>46034</v>
      </c>
      <c r="O17" s="181"/>
      <c r="P17" s="183" t="e">
        <f>VLOOKUP(E17,'Customer '!A:D,4,0)</f>
        <v>#N/A</v>
      </c>
      <c r="Q17" s="178" t="s">
        <v>51</v>
      </c>
      <c r="R17" s="178" t="s">
        <v>152</v>
      </c>
      <c r="S17" s="178">
        <v>1</v>
      </c>
      <c r="T17" s="184">
        <v>4200</v>
      </c>
      <c r="U17" s="184">
        <v>4200</v>
      </c>
      <c r="V17" s="184" t="s">
        <v>325</v>
      </c>
      <c r="W17" s="185">
        <v>2026</v>
      </c>
      <c r="X17" s="183" t="s">
        <v>326</v>
      </c>
      <c r="Y17" s="183"/>
      <c r="Z17" s="183" t="s">
        <v>326</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6" hidden="1">
      <c r="A18" s="191" t="str">
        <f t="shared" si="1"/>
        <v>2026-RH-TRUMP NYCNPD</v>
      </c>
      <c r="B18" s="178" t="str">
        <f>VLOOKUP(E18,'Customer '!A:C,3,0)</f>
        <v>RH</v>
      </c>
      <c r="C18" s="178" t="s">
        <v>327</v>
      </c>
      <c r="D18" s="178" t="s">
        <v>290</v>
      </c>
      <c r="E18" s="179" t="s">
        <v>61</v>
      </c>
      <c r="F18" s="179" t="str">
        <f>VLOOKUP(E18,'Customer '!A:B,2,0)</f>
        <v>RH</v>
      </c>
      <c r="G18" s="178" t="s">
        <v>926</v>
      </c>
      <c r="H18" s="178" t="str">
        <f t="shared" si="2"/>
        <v>2026-RH-TRUMP NYC</v>
      </c>
      <c r="I18" s="178">
        <v>1</v>
      </c>
      <c r="J18" s="180" t="s">
        <v>316</v>
      </c>
      <c r="K18" s="181" t="s">
        <v>272</v>
      </c>
      <c r="L18" s="180" t="s">
        <v>380</v>
      </c>
      <c r="M18" s="182">
        <v>45831</v>
      </c>
      <c r="N18" s="183">
        <v>46078</v>
      </c>
      <c r="O18" s="181"/>
      <c r="P18" s="183" t="e">
        <f>VLOOKUP(E18,'Customer '!A:D,4,0)</f>
        <v>#N/A</v>
      </c>
      <c r="Q18" s="178" t="s">
        <v>51</v>
      </c>
      <c r="R18" s="178" t="s">
        <v>329</v>
      </c>
      <c r="S18" s="178">
        <v>1</v>
      </c>
      <c r="T18" s="184">
        <v>1234.8599999999999</v>
      </c>
      <c r="U18" s="184">
        <v>1234.8599999999999</v>
      </c>
      <c r="V18" s="184" t="s">
        <v>276</v>
      </c>
      <c r="W18" s="185">
        <v>2026</v>
      </c>
      <c r="X18" s="183">
        <v>46179</v>
      </c>
      <c r="Y18" s="183"/>
      <c r="Z18" s="183" t="s">
        <v>927</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6" hidden="1">
      <c r="A19" s="191" t="str">
        <f t="shared" si="1"/>
        <v>2026-RH-TRUMP DORALNPI</v>
      </c>
      <c r="B19" s="178" t="str">
        <f>VLOOKUP(E19,'Customer '!A:C,3,0)</f>
        <v>RH</v>
      </c>
      <c r="C19" s="178" t="s">
        <v>267</v>
      </c>
      <c r="D19" s="178" t="s">
        <v>290</v>
      </c>
      <c r="E19" s="179" t="s">
        <v>61</v>
      </c>
      <c r="F19" s="179" t="str">
        <f>VLOOKUP(E19,'Customer '!A:B,2,0)</f>
        <v>RH</v>
      </c>
      <c r="G19" s="178" t="s">
        <v>330</v>
      </c>
      <c r="H19" s="178" t="str">
        <f t="shared" si="2"/>
        <v>2026-RH-TRUMP DORAL</v>
      </c>
      <c r="I19" s="178">
        <v>1</v>
      </c>
      <c r="J19" s="180" t="s">
        <v>310</v>
      </c>
      <c r="K19" s="181" t="s">
        <v>291</v>
      </c>
      <c r="L19" s="180" t="s">
        <v>380</v>
      </c>
      <c r="M19" s="182">
        <v>45597</v>
      </c>
      <c r="N19" s="183">
        <v>46120</v>
      </c>
      <c r="O19" s="181"/>
      <c r="P19" s="183" t="e">
        <f>VLOOKUP(E19,'Customer '!A:D,4,0)</f>
        <v>#N/A</v>
      </c>
      <c r="Q19" s="178" t="s">
        <v>51</v>
      </c>
      <c r="R19" s="178" t="s">
        <v>295</v>
      </c>
      <c r="S19" s="178">
        <v>1</v>
      </c>
      <c r="T19" s="184">
        <v>1376</v>
      </c>
      <c r="U19" s="184">
        <v>1376</v>
      </c>
      <c r="V19" s="184" t="s">
        <v>276</v>
      </c>
      <c r="W19" s="185">
        <v>2026</v>
      </c>
      <c r="X19" s="183">
        <v>46179</v>
      </c>
      <c r="Y19" s="183"/>
      <c r="Z19" s="183" t="s">
        <v>927</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6" hidden="1">
      <c r="A20" s="191" t="str">
        <f t="shared" si="1"/>
        <v>2026-RH-RH TRUMP SUITES NYCNPI</v>
      </c>
      <c r="B20" s="178" t="str">
        <f>VLOOKUP(E20,'Customer '!A:C,3,0)</f>
        <v>RH</v>
      </c>
      <c r="C20" s="178" t="s">
        <v>267</v>
      </c>
      <c r="D20" s="178" t="s">
        <v>290</v>
      </c>
      <c r="E20" s="179" t="s">
        <v>61</v>
      </c>
      <c r="F20" s="179" t="str">
        <f>VLOOKUP(E20,'Customer '!A:B,2,0)</f>
        <v>RH</v>
      </c>
      <c r="G20" s="178" t="s">
        <v>160</v>
      </c>
      <c r="H20" s="178" t="str">
        <f t="shared" si="2"/>
        <v>2026-RH-RH TRUMP SUITES NYC</v>
      </c>
      <c r="I20" s="178">
        <v>1</v>
      </c>
      <c r="J20" s="180" t="s">
        <v>284</v>
      </c>
      <c r="K20" s="181" t="s">
        <v>272</v>
      </c>
      <c r="L20" s="180" t="s">
        <v>331</v>
      </c>
      <c r="M20" s="182">
        <v>46136</v>
      </c>
      <c r="N20" s="183"/>
      <c r="O20" s="181"/>
      <c r="P20" s="183" t="e">
        <f>VLOOKUP(E20,'Customer '!A:D,4,0)</f>
        <v>#N/A</v>
      </c>
      <c r="Q20" s="178" t="s">
        <v>51</v>
      </c>
      <c r="R20" s="178" t="s">
        <v>329</v>
      </c>
      <c r="S20" s="178">
        <v>33</v>
      </c>
      <c r="T20" s="184">
        <v>1585651</v>
      </c>
      <c r="U20" s="184">
        <f>T20/2</f>
        <v>792825.5</v>
      </c>
      <c r="V20" s="184" t="s">
        <v>303</v>
      </c>
      <c r="W20" s="185">
        <v>2026</v>
      </c>
      <c r="X20" s="183" t="s">
        <v>292</v>
      </c>
      <c r="Y20" s="183"/>
      <c r="Z20" s="183" t="s">
        <v>149</v>
      </c>
      <c r="AA20" s="183"/>
      <c r="AB20" s="183"/>
      <c r="AC20" s="183"/>
      <c r="AD20" s="180" t="s">
        <v>322</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6" hidden="1">
      <c r="A21" s="191" t="str">
        <f t="shared" si="1"/>
        <v>2026-RH-RH TRUMP SUITES NYCNPI</v>
      </c>
      <c r="B21" s="178" t="str">
        <f>VLOOKUP(E21,'Customer '!A:C,3,0)</f>
        <v>RH</v>
      </c>
      <c r="C21" s="178" t="s">
        <v>267</v>
      </c>
      <c r="D21" s="178" t="s">
        <v>290</v>
      </c>
      <c r="E21" s="179" t="s">
        <v>61</v>
      </c>
      <c r="F21" s="179" t="str">
        <f>VLOOKUP(E21,'Customer '!A:B,2,0)</f>
        <v>RH</v>
      </c>
      <c r="G21" s="178" t="s">
        <v>160</v>
      </c>
      <c r="H21" s="178" t="str">
        <f t="shared" si="2"/>
        <v>2026-RH-RH TRUMP SUITES NYC</v>
      </c>
      <c r="I21" s="178">
        <v>0</v>
      </c>
      <c r="J21" s="180" t="s">
        <v>284</v>
      </c>
      <c r="K21" s="181" t="s">
        <v>272</v>
      </c>
      <c r="L21" s="180" t="s">
        <v>331</v>
      </c>
      <c r="M21" s="182">
        <v>46136</v>
      </c>
      <c r="N21" s="183"/>
      <c r="O21" s="181"/>
      <c r="P21" s="183" t="e">
        <f>VLOOKUP(E21,'Customer '!A:D,4,0)</f>
        <v>#N/A</v>
      </c>
      <c r="Q21" s="178" t="s">
        <v>51</v>
      </c>
      <c r="R21" s="178" t="s">
        <v>329</v>
      </c>
      <c r="S21" s="178">
        <v>33</v>
      </c>
      <c r="T21" s="184">
        <v>1585651</v>
      </c>
      <c r="U21" s="184">
        <f>T20-U20</f>
        <v>792825.5</v>
      </c>
      <c r="V21" s="184" t="s">
        <v>312</v>
      </c>
      <c r="W21" s="185">
        <v>2026</v>
      </c>
      <c r="X21" s="183" t="s">
        <v>292</v>
      </c>
      <c r="Y21" s="183"/>
      <c r="Z21" s="183" t="s">
        <v>149</v>
      </c>
      <c r="AA21" s="183"/>
      <c r="AB21" s="183"/>
      <c r="AC21" s="183"/>
      <c r="AD21" s="180" t="s">
        <v>322</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6" hidden="1">
      <c r="A22" s="191" t="str">
        <f t="shared" si="1"/>
        <v>2026-RH-ROSEWOOD CALISTOGANPI</v>
      </c>
      <c r="B22" s="178" t="str">
        <f>VLOOKUP(E22,'Customer '!A:C,3,0)</f>
        <v>RH</v>
      </c>
      <c r="C22" s="178" t="s">
        <v>267</v>
      </c>
      <c r="D22" s="178" t="s">
        <v>282</v>
      </c>
      <c r="E22" s="179" t="s">
        <v>61</v>
      </c>
      <c r="F22" s="179" t="str">
        <f>VLOOKUP(E22,'Customer '!A:B,2,0)</f>
        <v>RH</v>
      </c>
      <c r="G22" s="178" t="s">
        <v>165</v>
      </c>
      <c r="H22" s="178" t="str">
        <f t="shared" si="2"/>
        <v>2026-RH-ROSEWOOD CALISTOGA</v>
      </c>
      <c r="I22" s="178">
        <v>1</v>
      </c>
      <c r="J22" s="180" t="s">
        <v>284</v>
      </c>
      <c r="K22" s="181" t="s">
        <v>272</v>
      </c>
      <c r="L22" s="180" t="s">
        <v>924</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6" hidden="1">
      <c r="A23" s="191" t="str">
        <f t="shared" si="1"/>
        <v>2026-RH-SNAKE RIVER LODGE BLUEFLAGNPI</v>
      </c>
      <c r="B23" s="178" t="str">
        <f>VLOOKUP(E23,'Customer '!A:C,3,0)</f>
        <v>RH</v>
      </c>
      <c r="C23" s="178" t="s">
        <v>267</v>
      </c>
      <c r="D23" s="178" t="s">
        <v>306</v>
      </c>
      <c r="E23" s="179" t="s">
        <v>61</v>
      </c>
      <c r="F23" s="179" t="str">
        <f>VLOOKUP(E23,'Customer '!A:B,2,0)</f>
        <v>RH</v>
      </c>
      <c r="G23" s="178" t="s">
        <v>166</v>
      </c>
      <c r="H23" s="178" t="str">
        <f t="shared" si="2"/>
        <v>2026-RH-SNAKE RIVER LODGE BLUEFLAG</v>
      </c>
      <c r="I23" s="178">
        <v>1</v>
      </c>
      <c r="J23" s="180" t="s">
        <v>310</v>
      </c>
      <c r="K23" s="181" t="s">
        <v>272</v>
      </c>
      <c r="L23" s="180" t="s">
        <v>354</v>
      </c>
      <c r="M23" s="182">
        <v>46147</v>
      </c>
      <c r="N23" s="183">
        <v>46125</v>
      </c>
      <c r="O23" s="181"/>
      <c r="P23" s="183" t="e">
        <f>VLOOKUP(E23,'Customer '!A:D,4,0)</f>
        <v>#N/A</v>
      </c>
      <c r="Q23" s="178" t="s">
        <v>51</v>
      </c>
      <c r="R23" s="178" t="s">
        <v>334</v>
      </c>
      <c r="S23" s="178">
        <v>12</v>
      </c>
      <c r="T23" s="184">
        <v>170805.65</v>
      </c>
      <c r="U23" s="184">
        <v>170805.65</v>
      </c>
      <c r="V23" s="184" t="s">
        <v>281</v>
      </c>
      <c r="W23" s="185">
        <v>2026</v>
      </c>
      <c r="X23" s="183" t="s">
        <v>928</v>
      </c>
      <c r="Y23" s="183"/>
      <c r="Z23" s="183" t="s">
        <v>929</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6" hidden="1">
      <c r="A24" s="191" t="str">
        <f t="shared" si="1"/>
        <v>2026-RH-TRUMP LAS VEGAS PENTHOUSESNPI</v>
      </c>
      <c r="B24" s="178" t="str">
        <f>VLOOKUP(E24,'Customer '!A:C,3,0)</f>
        <v>RH</v>
      </c>
      <c r="C24" s="178" t="s">
        <v>267</v>
      </c>
      <c r="D24" s="178" t="s">
        <v>164</v>
      </c>
      <c r="E24" s="179" t="s">
        <v>61</v>
      </c>
      <c r="F24" s="179" t="str">
        <f>VLOOKUP(E24,'Customer '!A:B,2,0)</f>
        <v>RH</v>
      </c>
      <c r="G24" s="178" t="s">
        <v>184</v>
      </c>
      <c r="H24" s="178" t="str">
        <f t="shared" si="2"/>
        <v>2026-RH-TRUMP LAS VEGAS PENTHOUSES</v>
      </c>
      <c r="I24" s="178">
        <v>1</v>
      </c>
      <c r="J24" s="180" t="s">
        <v>321</v>
      </c>
      <c r="K24" s="181" t="s">
        <v>272</v>
      </c>
      <c r="L24" s="180" t="s">
        <v>285</v>
      </c>
      <c r="M24" s="182">
        <v>45955</v>
      </c>
      <c r="N24" s="183" t="s">
        <v>292</v>
      </c>
      <c r="O24" s="181"/>
      <c r="P24" s="183" t="e">
        <f>VLOOKUP(E24,'Customer '!A:D,4,0)</f>
        <v>#N/A</v>
      </c>
      <c r="Q24" s="178" t="s">
        <v>51</v>
      </c>
      <c r="R24" s="178" t="s">
        <v>335</v>
      </c>
      <c r="S24" s="178"/>
      <c r="T24" s="184">
        <v>731096.8</v>
      </c>
      <c r="U24" s="184">
        <v>365549</v>
      </c>
      <c r="V24" s="184" t="s">
        <v>319</v>
      </c>
      <c r="W24" s="185">
        <v>2027</v>
      </c>
      <c r="X24" s="183" t="s">
        <v>292</v>
      </c>
      <c r="Y24" s="183"/>
      <c r="Z24" s="183"/>
      <c r="AA24" s="183"/>
      <c r="AB24" s="183"/>
      <c r="AC24" s="183"/>
      <c r="AD24" s="180" t="s">
        <v>344</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6" hidden="1">
      <c r="A25" s="191" t="str">
        <f t="shared" si="1"/>
        <v>2026-RH-TRUMP LAS VEGAS PENTHOUSESNPI</v>
      </c>
      <c r="B25" s="178" t="str">
        <f>VLOOKUP(E25,'Customer '!A:C,3,0)</f>
        <v>RH</v>
      </c>
      <c r="C25" s="178" t="s">
        <v>267</v>
      </c>
      <c r="D25" s="178" t="s">
        <v>164</v>
      </c>
      <c r="E25" s="179" t="s">
        <v>61</v>
      </c>
      <c r="F25" s="179" t="str">
        <f>VLOOKUP(E25,'Customer '!A:B,2,0)</f>
        <v>RH</v>
      </c>
      <c r="G25" s="178" t="s">
        <v>184</v>
      </c>
      <c r="H25" s="178" t="str">
        <f t="shared" si="2"/>
        <v>2026-RH-TRUMP LAS VEGAS PENTHOUSES</v>
      </c>
      <c r="I25" s="178">
        <v>1</v>
      </c>
      <c r="J25" s="180" t="s">
        <v>321</v>
      </c>
      <c r="K25" s="181" t="s">
        <v>272</v>
      </c>
      <c r="L25" s="180" t="s">
        <v>285</v>
      </c>
      <c r="M25" s="182">
        <v>45955</v>
      </c>
      <c r="N25" s="183" t="s">
        <v>292</v>
      </c>
      <c r="O25" s="181"/>
      <c r="P25" s="183" t="e">
        <f>VLOOKUP(E25,'Customer '!A:D,4,0)</f>
        <v>#N/A</v>
      </c>
      <c r="Q25" s="178" t="s">
        <v>51</v>
      </c>
      <c r="R25" s="178" t="s">
        <v>335</v>
      </c>
      <c r="S25" s="178"/>
      <c r="T25" s="184">
        <v>731096.8</v>
      </c>
      <c r="U25" s="184">
        <v>365549</v>
      </c>
      <c r="V25" s="184" t="s">
        <v>319</v>
      </c>
      <c r="W25" s="185">
        <v>2027</v>
      </c>
      <c r="X25" s="183" t="s">
        <v>292</v>
      </c>
      <c r="Y25" s="183"/>
      <c r="Z25" s="183"/>
      <c r="AA25" s="183"/>
      <c r="AB25" s="183"/>
      <c r="AC25" s="183"/>
      <c r="AD25" s="180" t="s">
        <v>344</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6" hidden="1">
      <c r="A26" s="191" t="str">
        <f t="shared" si="1"/>
        <v>2026-RH-RITZ DOVE MOUNTAINNPI</v>
      </c>
      <c r="B26" s="178" t="str">
        <f>VLOOKUP(E26,'Customer '!A:C,3,0)</f>
        <v>RH</v>
      </c>
      <c r="C26" s="178" t="s">
        <v>267</v>
      </c>
      <c r="D26" s="178" t="s">
        <v>306</v>
      </c>
      <c r="E26" s="179" t="s">
        <v>61</v>
      </c>
      <c r="F26" s="179" t="str">
        <f>VLOOKUP(E26,'Customer '!A:B,2,0)</f>
        <v>RH</v>
      </c>
      <c r="G26" s="178" t="s">
        <v>194</v>
      </c>
      <c r="H26" s="178" t="str">
        <f t="shared" si="2"/>
        <v>2026-RH-RITZ DOVE MOUNTAIN</v>
      </c>
      <c r="I26" s="178">
        <v>1</v>
      </c>
      <c r="J26" s="180" t="s">
        <v>284</v>
      </c>
      <c r="K26" s="181" t="s">
        <v>272</v>
      </c>
      <c r="L26" s="180" t="s">
        <v>924</v>
      </c>
      <c r="M26" s="182"/>
      <c r="N26" s="183"/>
      <c r="O26" s="181"/>
      <c r="P26" s="183" t="e">
        <f>VLOOKUP(E26,'Customer '!A:D,4,0)</f>
        <v>#N/A</v>
      </c>
      <c r="Q26" s="178" t="s">
        <v>51</v>
      </c>
      <c r="R26" s="178" t="s">
        <v>336</v>
      </c>
      <c r="S26" s="178">
        <v>14</v>
      </c>
      <c r="T26" s="184">
        <v>228581</v>
      </c>
      <c r="U26" s="184">
        <v>228581</v>
      </c>
      <c r="V26" s="184" t="s">
        <v>303</v>
      </c>
      <c r="W26" s="185">
        <v>2026</v>
      </c>
      <c r="X26" s="183" t="s">
        <v>292</v>
      </c>
      <c r="Y26" s="183"/>
      <c r="Z26" s="183"/>
      <c r="AA26" s="183"/>
      <c r="AB26" s="183"/>
      <c r="AC26" s="183"/>
      <c r="AD26" s="180" t="s">
        <v>304</v>
      </c>
      <c r="AE26" s="181"/>
      <c r="AF26" s="180" t="s">
        <v>322</v>
      </c>
      <c r="AG26" s="181"/>
      <c r="AH26" s="180" t="s">
        <v>73</v>
      </c>
      <c r="AI26" s="181"/>
      <c r="AJ26" s="180" t="s">
        <v>322</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6" hidden="1">
      <c r="A27" s="191" t="str">
        <f t="shared" si="1"/>
        <v>2026-RH-MAYBOURNE_ONE WALL STREET NYNPI</v>
      </c>
      <c r="B27" s="178" t="str">
        <f>VLOOKUP(E27,'Customer '!A:C,3,0)</f>
        <v>RH</v>
      </c>
      <c r="C27" s="178" t="s">
        <v>267</v>
      </c>
      <c r="D27" s="178" t="s">
        <v>306</v>
      </c>
      <c r="E27" s="179" t="s">
        <v>61</v>
      </c>
      <c r="F27" s="179" t="str">
        <f>VLOOKUP(E27,'Customer '!A:B,2,0)</f>
        <v>RH</v>
      </c>
      <c r="G27" s="178" t="s">
        <v>338</v>
      </c>
      <c r="H27" s="178" t="str">
        <f t="shared" si="2"/>
        <v>2026-RH-MAYBOURNE_ONE WALL STREET NY</v>
      </c>
      <c r="I27" s="178">
        <v>1</v>
      </c>
      <c r="J27" s="180" t="s">
        <v>271</v>
      </c>
      <c r="K27" s="181" t="s">
        <v>291</v>
      </c>
      <c r="L27" s="180" t="s">
        <v>311</v>
      </c>
      <c r="M27" s="182"/>
      <c r="N27" s="183">
        <v>46079</v>
      </c>
      <c r="O27" s="181"/>
      <c r="P27" s="183" t="e">
        <f>VLOOKUP(E27,'Customer '!A:D,4,0)</f>
        <v>#N/A</v>
      </c>
      <c r="Q27" s="178" t="s">
        <v>51</v>
      </c>
      <c r="R27" s="178" t="s">
        <v>329</v>
      </c>
      <c r="S27" s="178">
        <v>1</v>
      </c>
      <c r="T27" s="184">
        <v>1672</v>
      </c>
      <c r="U27" s="184">
        <v>1672</v>
      </c>
      <c r="V27" s="184" t="s">
        <v>294</v>
      </c>
      <c r="W27" s="185">
        <v>2026</v>
      </c>
      <c r="X27" s="183">
        <v>46120</v>
      </c>
      <c r="Y27" s="183"/>
      <c r="Z27" s="183" t="s">
        <v>930</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6" hidden="1">
      <c r="A28" s="191" t="str">
        <f t="shared" si="1"/>
        <v>2026-RH-ST. REGIS KANAINPI</v>
      </c>
      <c r="B28" s="178" t="str">
        <f>VLOOKUP(E28,'Customer '!A:C,3,0)</f>
        <v>RH</v>
      </c>
      <c r="C28" s="178" t="s">
        <v>267</v>
      </c>
      <c r="D28" s="178" t="s">
        <v>164</v>
      </c>
      <c r="E28" s="179" t="s">
        <v>61</v>
      </c>
      <c r="F28" s="179" t="str">
        <f>VLOOKUP(E28,'Customer '!A:B,2,0)</f>
        <v>RH</v>
      </c>
      <c r="G28" s="178" t="s">
        <v>339</v>
      </c>
      <c r="H28" s="178" t="str">
        <f t="shared" si="2"/>
        <v>2026-RH-ST. REGIS KANAI</v>
      </c>
      <c r="I28" s="178">
        <v>1</v>
      </c>
      <c r="J28" s="180" t="s">
        <v>310</v>
      </c>
      <c r="K28" s="181" t="s">
        <v>272</v>
      </c>
      <c r="L28" s="180" t="s">
        <v>311</v>
      </c>
      <c r="M28" s="182">
        <v>45575</v>
      </c>
      <c r="N28" s="183">
        <v>46101</v>
      </c>
      <c r="O28" s="181"/>
      <c r="P28" s="183" t="e">
        <f>VLOOKUP(E28,'Customer '!A:D,4,0)</f>
        <v>#N/A</v>
      </c>
      <c r="Q28" s="178" t="s">
        <v>96</v>
      </c>
      <c r="R28" s="178" t="s">
        <v>340</v>
      </c>
      <c r="S28" s="178">
        <v>18</v>
      </c>
      <c r="T28" s="184">
        <v>164002.01999999999</v>
      </c>
      <c r="U28" s="184">
        <v>124920</v>
      </c>
      <c r="V28" s="184" t="s">
        <v>280</v>
      </c>
      <c r="W28" s="185">
        <v>2026</v>
      </c>
      <c r="X28" s="183" t="s">
        <v>931</v>
      </c>
      <c r="Y28" s="183"/>
      <c r="Z28" s="183" t="s">
        <v>932</v>
      </c>
      <c r="AA28" s="183"/>
      <c r="AB28" s="183" t="s">
        <v>922</v>
      </c>
      <c r="AC28" s="183" t="s">
        <v>931</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6" hidden="1">
      <c r="A29" s="191" t="str">
        <f t="shared" si="1"/>
        <v>2026-RH-ST. REGIS KANAINPI</v>
      </c>
      <c r="B29" s="178" t="str">
        <f>VLOOKUP(E29,'Customer '!A:C,3,0)</f>
        <v>RH</v>
      </c>
      <c r="C29" s="178" t="s">
        <v>267</v>
      </c>
      <c r="D29" s="178" t="s">
        <v>164</v>
      </c>
      <c r="E29" s="179" t="s">
        <v>61</v>
      </c>
      <c r="F29" s="179" t="str">
        <f>VLOOKUP(E29,'Customer '!A:B,2,0)</f>
        <v>RH</v>
      </c>
      <c r="G29" s="178" t="s">
        <v>339</v>
      </c>
      <c r="H29" s="178" t="str">
        <f t="shared" si="2"/>
        <v>2026-RH-ST. REGIS KANAI</v>
      </c>
      <c r="I29" s="178">
        <v>1</v>
      </c>
      <c r="J29" s="180" t="s">
        <v>310</v>
      </c>
      <c r="K29" s="181" t="s">
        <v>272</v>
      </c>
      <c r="L29" s="180" t="s">
        <v>311</v>
      </c>
      <c r="M29" s="182">
        <v>45575</v>
      </c>
      <c r="N29" s="183">
        <v>46101</v>
      </c>
      <c r="O29" s="181"/>
      <c r="P29" s="183" t="e">
        <f>VLOOKUP(E29,'Customer '!A:D,4,0)</f>
        <v>#N/A</v>
      </c>
      <c r="Q29" s="178" t="s">
        <v>96</v>
      </c>
      <c r="R29" s="178" t="s">
        <v>340</v>
      </c>
      <c r="S29" s="178">
        <v>18</v>
      </c>
      <c r="T29" s="184">
        <v>164002.01999999999</v>
      </c>
      <c r="U29" s="184">
        <v>39082</v>
      </c>
      <c r="V29" s="184" t="s">
        <v>281</v>
      </c>
      <c r="W29" s="185">
        <v>2026</v>
      </c>
      <c r="X29" s="183" t="s">
        <v>931</v>
      </c>
      <c r="Y29" s="183"/>
      <c r="Z29" s="183" t="s">
        <v>932</v>
      </c>
      <c r="AA29" s="183"/>
      <c r="AB29" s="183" t="s">
        <v>922</v>
      </c>
      <c r="AC29" s="183" t="s">
        <v>931</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6">
      <c r="A30" s="191" t="str">
        <f t="shared" si="1"/>
        <v>2026-RH-CIA O&amp;O GUESTROOMSNPD</v>
      </c>
      <c r="B30" s="178" t="str">
        <f>VLOOKUP(E30,'Customer '!A:C,3,0)</f>
        <v>RH</v>
      </c>
      <c r="C30" s="178" t="s">
        <v>327</v>
      </c>
      <c r="D30" s="178" t="s">
        <v>298</v>
      </c>
      <c r="E30" s="179" t="s">
        <v>61</v>
      </c>
      <c r="F30" s="179" t="str">
        <f>VLOOKUP(E30,'Customer '!A:B,2,0)</f>
        <v>RH</v>
      </c>
      <c r="G30" s="178" t="s">
        <v>74</v>
      </c>
      <c r="H30" s="178" t="str">
        <f t="shared" si="2"/>
        <v>2026-RH-CIA O&amp;O GUESTROOMS</v>
      </c>
      <c r="I30" s="178">
        <v>1</v>
      </c>
      <c r="J30" s="180" t="s">
        <v>310</v>
      </c>
      <c r="K30" s="181" t="s">
        <v>272</v>
      </c>
      <c r="L30" s="180" t="s">
        <v>317</v>
      </c>
      <c r="M30" s="182">
        <v>46072</v>
      </c>
      <c r="N30" s="183">
        <v>45992</v>
      </c>
      <c r="O30" s="181"/>
      <c r="P30" s="183" t="e">
        <f>VLOOKUP(E30,'Customer '!A:D,4,0)</f>
        <v>#N/A</v>
      </c>
      <c r="Q30" s="178" t="s">
        <v>51</v>
      </c>
      <c r="R30" s="178" t="s">
        <v>152</v>
      </c>
      <c r="S30" s="178">
        <v>12</v>
      </c>
      <c r="T30" s="184">
        <v>12000.059999999998</v>
      </c>
      <c r="U30" s="184">
        <v>10991.34</v>
      </c>
      <c r="V30" s="184" t="s">
        <v>279</v>
      </c>
      <c r="W30" s="185">
        <v>2026</v>
      </c>
      <c r="X30" s="183" t="s">
        <v>292</v>
      </c>
      <c r="Y30" s="183"/>
      <c r="Z30" s="183" t="s">
        <v>927</v>
      </c>
      <c r="AA30" s="183"/>
      <c r="AB30" s="183"/>
      <c r="AC30" s="183"/>
      <c r="AD30" s="180" t="s">
        <v>322</v>
      </c>
      <c r="AE30" s="181"/>
      <c r="AF30" s="180" t="s">
        <v>56</v>
      </c>
      <c r="AG30" s="181"/>
      <c r="AH30" s="180" t="s">
        <v>322</v>
      </c>
      <c r="AI30" s="181"/>
      <c r="AJ30" s="180" t="s">
        <v>56</v>
      </c>
      <c r="AK30" s="181"/>
      <c r="AL30" s="180" t="s">
        <v>56</v>
      </c>
      <c r="AM30" s="181"/>
      <c r="AN30" s="180" t="s">
        <v>73</v>
      </c>
      <c r="AO30" s="181"/>
      <c r="AP30" s="180" t="s">
        <v>342</v>
      </c>
      <c r="AQ30" s="181"/>
      <c r="AR30" s="186"/>
      <c r="AS30" s="187"/>
      <c r="AT30" s="186"/>
      <c r="AU30" s="187"/>
      <c r="AV30" s="186"/>
      <c r="AW30" s="187"/>
      <c r="AX30" s="186"/>
      <c r="AY30" s="187"/>
      <c r="AZ30" s="188" t="str">
        <f t="shared" si="0"/>
        <v>Active</v>
      </c>
      <c r="BA30" s="190"/>
    </row>
    <row r="31" spans="1:53" s="191" customFormat="1" ht="15.6" hidden="1">
      <c r="A31" s="191" t="str">
        <f t="shared" si="1"/>
        <v>2026-COSMIC REALTY-250 FIFTH AVENUE HOTELNPI</v>
      </c>
      <c r="B31" s="178" t="str">
        <f>VLOOKUP(E31,'Customer '!A:C,3,0)</f>
        <v>NON RH</v>
      </c>
      <c r="C31" s="178" t="s">
        <v>267</v>
      </c>
      <c r="D31" s="178" t="s">
        <v>323</v>
      </c>
      <c r="E31" s="179" t="s">
        <v>48</v>
      </c>
      <c r="F31" s="179" t="str">
        <f>VLOOKUP(E31,'Customer '!A:B,2,0)</f>
        <v>COSMIC REALTY</v>
      </c>
      <c r="G31" s="178" t="s">
        <v>49</v>
      </c>
      <c r="H31" s="178" t="str">
        <f t="shared" si="2"/>
        <v>2026-COSMIC REALTY-250 FIFTH AVENUE HOTEL</v>
      </c>
      <c r="I31" s="178">
        <v>1</v>
      </c>
      <c r="J31" s="180" t="s">
        <v>271</v>
      </c>
      <c r="K31" s="181" t="s">
        <v>272</v>
      </c>
      <c r="L31" s="180" t="s">
        <v>273</v>
      </c>
      <c r="M31" s="182"/>
      <c r="N31" s="183" t="s">
        <v>292</v>
      </c>
      <c r="O31" s="181"/>
      <c r="P31" s="183" t="e">
        <f>VLOOKUP(E31,'Customer '!A:D,4,0)</f>
        <v>#N/A</v>
      </c>
      <c r="Q31" s="178" t="s">
        <v>51</v>
      </c>
      <c r="R31" s="178" t="s">
        <v>329</v>
      </c>
      <c r="S31" s="178">
        <v>17</v>
      </c>
      <c r="T31" s="184">
        <v>1908.8</v>
      </c>
      <c r="U31" s="184">
        <v>1908.8</v>
      </c>
      <c r="V31" s="184" t="s">
        <v>294</v>
      </c>
      <c r="W31" s="185">
        <v>2026</v>
      </c>
      <c r="X31" s="183">
        <v>46116</v>
      </c>
      <c r="Y31" s="183"/>
      <c r="Z31" s="183" t="s">
        <v>919</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6" hidden="1">
      <c r="A32" s="191" t="str">
        <f t="shared" si="1"/>
        <v>2026-L&amp;S-ELYSEE HOTELNPI</v>
      </c>
      <c r="B32" s="178" t="str">
        <f>VLOOKUP(E32,'Customer '!A:C,3,0)</f>
        <v>NON RH</v>
      </c>
      <c r="C32" s="178" t="s">
        <v>267</v>
      </c>
      <c r="D32" s="178" t="s">
        <v>164</v>
      </c>
      <c r="E32" s="179" t="s">
        <v>82</v>
      </c>
      <c r="F32" s="179" t="str">
        <f>VLOOKUP(E32,'Customer '!A:B,2,0)</f>
        <v>L&amp;S</v>
      </c>
      <c r="G32" s="178" t="s">
        <v>90</v>
      </c>
      <c r="H32" s="178" t="str">
        <f t="shared" si="2"/>
        <v>2026-L&amp;S-ELYSEE HOTEL</v>
      </c>
      <c r="I32" s="178">
        <v>1</v>
      </c>
      <c r="J32" s="180" t="s">
        <v>310</v>
      </c>
      <c r="K32" s="181" t="s">
        <v>272</v>
      </c>
      <c r="L32" s="180" t="s">
        <v>311</v>
      </c>
      <c r="M32" s="182">
        <v>46027</v>
      </c>
      <c r="N32" s="183">
        <v>46009</v>
      </c>
      <c r="O32" s="181"/>
      <c r="P32" s="183" t="str">
        <f>VLOOKUP(E32,'Customer '!A:D,4,0)</f>
        <v>50% deposit, 50% prior shipment</v>
      </c>
      <c r="Q32" s="178" t="s">
        <v>51</v>
      </c>
      <c r="R32" s="178" t="s">
        <v>329</v>
      </c>
      <c r="S32" s="178">
        <v>22</v>
      </c>
      <c r="T32" s="184">
        <v>169946</v>
      </c>
      <c r="U32" s="209">
        <v>136498</v>
      </c>
      <c r="V32" s="184" t="s">
        <v>297</v>
      </c>
      <c r="W32" s="185">
        <v>2026</v>
      </c>
      <c r="X32" s="183">
        <v>46188</v>
      </c>
      <c r="Y32" s="183"/>
      <c r="Z32" s="183" t="s">
        <v>933</v>
      </c>
      <c r="AA32" s="183"/>
      <c r="AB32" s="183"/>
      <c r="AC32" s="183"/>
      <c r="AD32" s="180" t="s">
        <v>322</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6" hidden="1">
      <c r="A33" s="191" t="str">
        <f t="shared" si="1"/>
        <v>2026-L&amp;S-ELYSEE HOTELNPI</v>
      </c>
      <c r="B33" s="178" t="str">
        <f>VLOOKUP(E33,'Customer '!A:C,3,0)</f>
        <v>NON RH</v>
      </c>
      <c r="C33" s="178" t="s">
        <v>267</v>
      </c>
      <c r="D33" s="178" t="s">
        <v>164</v>
      </c>
      <c r="E33" s="179" t="s">
        <v>82</v>
      </c>
      <c r="F33" s="179" t="str">
        <f>VLOOKUP(E33,'Customer '!A:B,2,0)</f>
        <v>L&amp;S</v>
      </c>
      <c r="G33" s="178" t="s">
        <v>90</v>
      </c>
      <c r="H33" s="178" t="str">
        <f t="shared" si="2"/>
        <v>2026-L&amp;S-ELYSEE HOTEL</v>
      </c>
      <c r="I33" s="178">
        <v>0</v>
      </c>
      <c r="J33" s="180" t="s">
        <v>310</v>
      </c>
      <c r="K33" s="181" t="s">
        <v>272</v>
      </c>
      <c r="L33" s="180" t="s">
        <v>311</v>
      </c>
      <c r="M33" s="182">
        <v>46027</v>
      </c>
      <c r="N33" s="183">
        <v>46009</v>
      </c>
      <c r="O33" s="181"/>
      <c r="P33" s="183" t="str">
        <f>VLOOKUP(E33,'Customer '!A:D,4,0)</f>
        <v>50% deposit, 50% prior shipment</v>
      </c>
      <c r="Q33" s="178" t="s">
        <v>51</v>
      </c>
      <c r="R33" s="178" t="s">
        <v>329</v>
      </c>
      <c r="S33" s="178">
        <v>22</v>
      </c>
      <c r="T33" s="184">
        <v>169946</v>
      </c>
      <c r="U33" s="209">
        <v>33448</v>
      </c>
      <c r="V33" s="184" t="s">
        <v>297</v>
      </c>
      <c r="W33" s="185">
        <v>2026</v>
      </c>
      <c r="X33" s="183">
        <v>46188</v>
      </c>
      <c r="Y33" s="183"/>
      <c r="Z33" s="183" t="s">
        <v>933</v>
      </c>
      <c r="AA33" s="183"/>
      <c r="AB33" s="183"/>
      <c r="AC33" s="183"/>
      <c r="AD33" s="180" t="s">
        <v>322</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6" hidden="1">
      <c r="A34" s="191" t="str">
        <f t="shared" si="1"/>
        <v>2026-L&amp;S-FAENA TULLUM (FTMX)NPI</v>
      </c>
      <c r="B34" s="178" t="str">
        <f>VLOOKUP(E34,'Customer '!A:C,3,0)</f>
        <v>NON RH</v>
      </c>
      <c r="C34" s="178" t="s">
        <v>267</v>
      </c>
      <c r="D34" s="178" t="s">
        <v>306</v>
      </c>
      <c r="E34" s="179" t="s">
        <v>82</v>
      </c>
      <c r="F34" s="179" t="str">
        <f>VLOOKUP(E34,'Customer '!A:B,2,0)</f>
        <v>L&amp;S</v>
      </c>
      <c r="G34" s="178" t="s">
        <v>94</v>
      </c>
      <c r="H34" s="178" t="str">
        <f t="shared" si="2"/>
        <v>2026-L&amp;S-FAENA TULLUM (FTMX)</v>
      </c>
      <c r="I34" s="178">
        <v>1</v>
      </c>
      <c r="J34" s="180" t="s">
        <v>284</v>
      </c>
      <c r="K34" s="181" t="s">
        <v>272</v>
      </c>
      <c r="L34" s="180" t="s">
        <v>285</v>
      </c>
      <c r="M34" s="182"/>
      <c r="N34" s="183" t="s">
        <v>292</v>
      </c>
      <c r="O34" s="181"/>
      <c r="P34" s="183" t="str">
        <f>VLOOKUP(E34,'Customer '!A:D,4,0)</f>
        <v>50% deposit, 50% prior shipment</v>
      </c>
      <c r="Q34" s="178" t="s">
        <v>96</v>
      </c>
      <c r="R34" s="178" t="s">
        <v>340</v>
      </c>
      <c r="S34" s="178">
        <v>12</v>
      </c>
      <c r="T34" s="184">
        <v>1160820</v>
      </c>
      <c r="U34" s="184">
        <v>1160820</v>
      </c>
      <c r="V34" s="193" t="s">
        <v>303</v>
      </c>
      <c r="W34" s="185">
        <v>2026</v>
      </c>
      <c r="X34" s="183" t="s">
        <v>292</v>
      </c>
      <c r="Y34" s="183"/>
      <c r="Z34" s="183"/>
      <c r="AA34" s="183"/>
      <c r="AB34" s="183"/>
      <c r="AC34" s="183"/>
      <c r="AD34" s="180" t="s">
        <v>344</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6" hidden="1">
      <c r="A35" s="191" t="str">
        <f t="shared" si="1"/>
        <v>2026-FLEETWOOD -FOUR SEASON JACKSONVILLENPI</v>
      </c>
      <c r="B35" s="178" t="str">
        <f>VLOOKUP(E35,'Customer '!A:C,3,0)</f>
        <v>NON RH</v>
      </c>
      <c r="C35" s="178" t="s">
        <v>267</v>
      </c>
      <c r="D35" s="178" t="s">
        <v>306</v>
      </c>
      <c r="E35" s="179" t="s">
        <v>98</v>
      </c>
      <c r="F35" s="179" t="str">
        <f>VLOOKUP(E35,'Customer '!A:B,2,0)</f>
        <v xml:space="preserve">FLEETWOOD </v>
      </c>
      <c r="G35" s="178" t="s">
        <v>99</v>
      </c>
      <c r="H35" s="178" t="str">
        <f t="shared" si="2"/>
        <v>2026-FLEETWOOD -FOUR SEASON JACKSONVILLE</v>
      </c>
      <c r="I35" s="178">
        <v>1</v>
      </c>
      <c r="J35" s="180" t="s">
        <v>271</v>
      </c>
      <c r="K35" s="181" t="s">
        <v>272</v>
      </c>
      <c r="L35" s="180" t="s">
        <v>311</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934</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6" hidden="1">
      <c r="A36" s="191" t="str">
        <f t="shared" ref="A36" si="4">H36&amp;C36</f>
        <v>2026-FLEETWOOD -FOUR SEASON JACKSONVILLENPI</v>
      </c>
      <c r="B36" s="178" t="str">
        <f>VLOOKUP(E36,'Customer '!A:C,3,0)</f>
        <v>NON RH</v>
      </c>
      <c r="C36" s="178" t="s">
        <v>267</v>
      </c>
      <c r="D36" s="178" t="s">
        <v>306</v>
      </c>
      <c r="E36" s="179" t="s">
        <v>98</v>
      </c>
      <c r="F36" s="179" t="str">
        <f>VLOOKUP(E36,'Customer '!A:B,2,0)</f>
        <v xml:space="preserve">FLEETWOOD </v>
      </c>
      <c r="G36" s="178" t="s">
        <v>99</v>
      </c>
      <c r="H36" s="178" t="str">
        <f t="shared" si="2"/>
        <v>2026-FLEETWOOD -FOUR SEASON JACKSONVILLE</v>
      </c>
      <c r="I36" s="178">
        <v>0</v>
      </c>
      <c r="J36" s="180" t="s">
        <v>271</v>
      </c>
      <c r="K36" s="181" t="s">
        <v>272</v>
      </c>
      <c r="L36" s="180" t="s">
        <v>311</v>
      </c>
      <c r="M36" s="182">
        <v>45987</v>
      </c>
      <c r="N36" s="183">
        <v>46053</v>
      </c>
      <c r="O36" s="181"/>
      <c r="P36" s="183" t="str">
        <f>VLOOKUP(E36,'Customer '!A:D,4,0)</f>
        <v>25% desposit, 75% period shipment</v>
      </c>
      <c r="Q36" s="178" t="s">
        <v>51</v>
      </c>
      <c r="R36" s="178" t="s">
        <v>295</v>
      </c>
      <c r="S36" s="178">
        <v>37</v>
      </c>
      <c r="T36" s="184">
        <v>198023</v>
      </c>
      <c r="U36" s="184">
        <v>57509</v>
      </c>
      <c r="V36" s="184" t="s">
        <v>276</v>
      </c>
      <c r="W36" s="185">
        <v>2026</v>
      </c>
      <c r="X36" s="183">
        <v>46121</v>
      </c>
      <c r="Y36" s="183"/>
      <c r="Z36" s="183" t="s">
        <v>935</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6" hidden="1">
      <c r="A37" s="191" t="str">
        <f t="shared" si="1"/>
        <v>2026-FLEETWOOD -FOUR SEASON JACKSONVILLENPI</v>
      </c>
      <c r="B37" s="178" t="str">
        <f>VLOOKUP(E37,'Customer '!A:C,3,0)</f>
        <v>NON RH</v>
      </c>
      <c r="C37" s="178" t="s">
        <v>267</v>
      </c>
      <c r="D37" s="178" t="s">
        <v>306</v>
      </c>
      <c r="E37" s="179" t="s">
        <v>98</v>
      </c>
      <c r="F37" s="179" t="str">
        <f>VLOOKUP(E37,'Customer '!A:B,2,0)</f>
        <v xml:space="preserve">FLEETWOOD </v>
      </c>
      <c r="G37" s="178" t="s">
        <v>99</v>
      </c>
      <c r="H37" s="178" t="str">
        <f t="shared" si="2"/>
        <v>2026-FLEETWOOD -FOUR SEASON JACKSONVILLE</v>
      </c>
      <c r="I37" s="178">
        <v>0</v>
      </c>
      <c r="J37" s="180" t="s">
        <v>310</v>
      </c>
      <c r="K37" s="181" t="s">
        <v>272</v>
      </c>
      <c r="L37" s="180" t="s">
        <v>311</v>
      </c>
      <c r="M37" s="182">
        <v>45987</v>
      </c>
      <c r="N37" s="183">
        <v>46053</v>
      </c>
      <c r="O37" s="181"/>
      <c r="P37" s="183" t="str">
        <f>VLOOKUP(E37,'Customer '!A:D,4,0)</f>
        <v>25% desposit, 75% period shipment</v>
      </c>
      <c r="Q37" s="178" t="s">
        <v>51</v>
      </c>
      <c r="R37" s="178" t="s">
        <v>295</v>
      </c>
      <c r="S37" s="178">
        <v>37</v>
      </c>
      <c r="T37" s="184">
        <v>198023</v>
      </c>
      <c r="U37" s="184">
        <v>79470</v>
      </c>
      <c r="V37" s="184" t="s">
        <v>276</v>
      </c>
      <c r="W37" s="185">
        <v>2026</v>
      </c>
      <c r="X37" s="183">
        <v>46121</v>
      </c>
      <c r="Y37" s="183"/>
      <c r="Z37" s="183" t="s">
        <v>935</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6" hidden="1">
      <c r="A38" s="191" t="str">
        <f t="shared" si="1"/>
        <v>2026-FLEETWOOD -FOUR SEASON JACKSONVILLENPI</v>
      </c>
      <c r="B38" s="178" t="str">
        <f>VLOOKUP(E38,'Customer '!A:C,3,0)</f>
        <v>NON RH</v>
      </c>
      <c r="C38" s="178" t="s">
        <v>267</v>
      </c>
      <c r="D38" s="178" t="s">
        <v>306</v>
      </c>
      <c r="E38" s="179" t="s">
        <v>98</v>
      </c>
      <c r="F38" s="179" t="str">
        <f>VLOOKUP(E38,'Customer '!A:B,2,0)</f>
        <v xml:space="preserve">FLEETWOOD </v>
      </c>
      <c r="G38" s="178" t="s">
        <v>99</v>
      </c>
      <c r="H38" s="178" t="str">
        <f t="shared" si="2"/>
        <v>2026-FLEETWOOD -FOUR SEASON JACKSONVILLE</v>
      </c>
      <c r="I38" s="178">
        <v>0</v>
      </c>
      <c r="J38" s="180" t="s">
        <v>310</v>
      </c>
      <c r="K38" s="181" t="s">
        <v>272</v>
      </c>
      <c r="L38" s="180" t="s">
        <v>311</v>
      </c>
      <c r="M38" s="182">
        <v>45987</v>
      </c>
      <c r="N38" s="183">
        <v>46053</v>
      </c>
      <c r="O38" s="181"/>
      <c r="P38" s="183" t="str">
        <f>VLOOKUP(E38,'Customer '!A:D,4,0)</f>
        <v>25% desposit, 75% period shipment</v>
      </c>
      <c r="Q38" s="178" t="s">
        <v>51</v>
      </c>
      <c r="R38" s="178" t="s">
        <v>295</v>
      </c>
      <c r="S38" s="178">
        <v>37</v>
      </c>
      <c r="T38" s="184">
        <v>198023</v>
      </c>
      <c r="U38" s="184">
        <v>4295.41</v>
      </c>
      <c r="V38" s="184" t="s">
        <v>279</v>
      </c>
      <c r="W38" s="185">
        <v>2026</v>
      </c>
      <c r="X38" s="183">
        <v>46121</v>
      </c>
      <c r="Y38" s="183"/>
      <c r="Z38" s="183" t="s">
        <v>925</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6" hidden="1">
      <c r="A39" s="191" t="str">
        <f t="shared" si="1"/>
        <v>2026-FLEETWOOD -HARD ROCK LAS VEGAS WEST TOWERNPI</v>
      </c>
      <c r="B39" s="178" t="str">
        <f>VLOOKUP(E39,'Customer '!A:C,3,0)</f>
        <v>NON RH</v>
      </c>
      <c r="C39" s="178" t="s">
        <v>267</v>
      </c>
      <c r="D39" s="178" t="s">
        <v>341</v>
      </c>
      <c r="E39" s="179" t="s">
        <v>98</v>
      </c>
      <c r="F39" s="179" t="str">
        <f>VLOOKUP(E39,'Customer '!A:B,2,0)</f>
        <v xml:space="preserve">FLEETWOOD </v>
      </c>
      <c r="G39" s="178" t="s">
        <v>111</v>
      </c>
      <c r="H39" s="178" t="str">
        <f t="shared" si="2"/>
        <v>2026-FLEETWOOD -HARD ROCK LAS VEGAS WEST TOWER</v>
      </c>
      <c r="I39" s="178">
        <v>1</v>
      </c>
      <c r="J39" s="180" t="s">
        <v>284</v>
      </c>
      <c r="K39" s="181" t="s">
        <v>272</v>
      </c>
      <c r="L39" s="180" t="s">
        <v>331</v>
      </c>
      <c r="M39" s="182">
        <v>46130</v>
      </c>
      <c r="N39" s="183" t="s">
        <v>292</v>
      </c>
      <c r="O39" s="181"/>
      <c r="P39" s="183" t="str">
        <f>VLOOKUP(E39,'Customer '!A:D,4,0)</f>
        <v>25% desposit, 75% period shipment</v>
      </c>
      <c r="Q39" s="178" t="s">
        <v>51</v>
      </c>
      <c r="R39" s="178" t="s">
        <v>335</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322</v>
      </c>
      <c r="AI39" s="181"/>
      <c r="AJ39" s="180" t="s">
        <v>322</v>
      </c>
      <c r="AK39" s="181"/>
      <c r="AL39" s="180" t="s">
        <v>72</v>
      </c>
      <c r="AM39" s="181"/>
      <c r="AN39" s="180" t="s">
        <v>304</v>
      </c>
      <c r="AO39" s="181"/>
      <c r="AP39" s="180" t="s">
        <v>342</v>
      </c>
      <c r="AQ39" s="181"/>
      <c r="AR39" s="186"/>
      <c r="AS39" s="187"/>
      <c r="AT39" s="186"/>
      <c r="AU39" s="187"/>
      <c r="AV39" s="186"/>
      <c r="AW39" s="187"/>
      <c r="AX39" s="186"/>
      <c r="AY39" s="187"/>
      <c r="AZ39" s="188" t="str">
        <f t="shared" si="3"/>
        <v>Active</v>
      </c>
      <c r="BA39" s="190"/>
    </row>
    <row r="40" spans="1:53" s="191" customFormat="1" ht="15.6" hidden="1">
      <c r="A40" s="191" t="str">
        <f t="shared" si="1"/>
        <v>2026-FLEETWOOD -HARD ROCK LAS VEGAS WEST TOWERNPI</v>
      </c>
      <c r="B40" s="178" t="str">
        <f>VLOOKUP(E40,'Customer '!A:C,3,0)</f>
        <v>NON RH</v>
      </c>
      <c r="C40" s="178" t="s">
        <v>267</v>
      </c>
      <c r="D40" s="178" t="s">
        <v>341</v>
      </c>
      <c r="E40" s="179" t="s">
        <v>98</v>
      </c>
      <c r="F40" s="179" t="str">
        <f>VLOOKUP(E40,'Customer '!A:B,2,0)</f>
        <v xml:space="preserve">FLEETWOOD </v>
      </c>
      <c r="G40" s="178" t="s">
        <v>111</v>
      </c>
      <c r="H40" s="178" t="str">
        <f t="shared" si="2"/>
        <v>2026-FLEETWOOD -HARD ROCK LAS VEGAS WEST TOWER</v>
      </c>
      <c r="I40" s="178">
        <v>0</v>
      </c>
      <c r="J40" s="180" t="s">
        <v>284</v>
      </c>
      <c r="K40" s="181" t="s">
        <v>272</v>
      </c>
      <c r="L40" s="180" t="s">
        <v>331</v>
      </c>
      <c r="M40" s="182">
        <v>46130</v>
      </c>
      <c r="N40" s="183" t="s">
        <v>292</v>
      </c>
      <c r="O40" s="181"/>
      <c r="P40" s="183" t="str">
        <f>VLOOKUP(E40,'Customer '!A:D,4,0)</f>
        <v>25% desposit, 75% period shipment</v>
      </c>
      <c r="Q40" s="178" t="s">
        <v>51</v>
      </c>
      <c r="R40" s="178" t="s">
        <v>335</v>
      </c>
      <c r="S40" s="178">
        <v>94</v>
      </c>
      <c r="T40" s="184">
        <v>3218808.5900000008</v>
      </c>
      <c r="U40" s="184">
        <v>1341170</v>
      </c>
      <c r="V40" s="184" t="s">
        <v>312</v>
      </c>
      <c r="W40" s="185">
        <v>2026</v>
      </c>
      <c r="X40" s="183"/>
      <c r="Y40" s="183"/>
      <c r="Z40" s="183"/>
      <c r="AA40" s="183"/>
      <c r="AB40" s="183"/>
      <c r="AC40" s="183"/>
      <c r="AD40" s="180" t="s">
        <v>304</v>
      </c>
      <c r="AE40" s="181"/>
      <c r="AF40" s="180" t="s">
        <v>56</v>
      </c>
      <c r="AG40" s="182">
        <v>45948</v>
      </c>
      <c r="AH40" s="180" t="s">
        <v>322</v>
      </c>
      <c r="AI40" s="181"/>
      <c r="AJ40" s="180" t="s">
        <v>322</v>
      </c>
      <c r="AK40" s="181"/>
      <c r="AL40" s="180" t="s">
        <v>72</v>
      </c>
      <c r="AM40" s="181"/>
      <c r="AN40" s="180" t="s">
        <v>304</v>
      </c>
      <c r="AO40" s="181"/>
      <c r="AP40" s="180" t="s">
        <v>342</v>
      </c>
      <c r="AQ40" s="181"/>
      <c r="AR40" s="186"/>
      <c r="AS40" s="187"/>
      <c r="AT40" s="186"/>
      <c r="AU40" s="187"/>
      <c r="AV40" s="186"/>
      <c r="AW40" s="187"/>
      <c r="AX40" s="186"/>
      <c r="AY40" s="187"/>
      <c r="AZ40" s="188" t="str">
        <f t="shared" si="3"/>
        <v>Active</v>
      </c>
      <c r="BA40" s="190"/>
    </row>
    <row r="41" spans="1:53" s="191" customFormat="1" ht="15.6" hidden="1">
      <c r="A41" s="191" t="str">
        <f t="shared" si="1"/>
        <v>2026-FLEETWOOD -HARD ROCK LAS VEGAS WEST TOWERNPI</v>
      </c>
      <c r="B41" s="178" t="str">
        <f>VLOOKUP(E41,'Customer '!A:C,3,0)</f>
        <v>NON RH</v>
      </c>
      <c r="C41" s="178" t="s">
        <v>267</v>
      </c>
      <c r="D41" s="178" t="s">
        <v>341</v>
      </c>
      <c r="E41" s="179" t="s">
        <v>98</v>
      </c>
      <c r="F41" s="179" t="str">
        <f>VLOOKUP(E41,'Customer '!A:B,2,0)</f>
        <v xml:space="preserve">FLEETWOOD </v>
      </c>
      <c r="G41" s="178" t="s">
        <v>111</v>
      </c>
      <c r="H41" s="178" t="str">
        <f t="shared" si="2"/>
        <v>2026-FLEETWOOD -HARD ROCK LAS VEGAS WEST TOWER</v>
      </c>
      <c r="I41" s="178">
        <v>0</v>
      </c>
      <c r="J41" s="180" t="s">
        <v>284</v>
      </c>
      <c r="K41" s="181" t="s">
        <v>272</v>
      </c>
      <c r="L41" s="180" t="s">
        <v>331</v>
      </c>
      <c r="M41" s="182">
        <v>46130</v>
      </c>
      <c r="N41" s="183" t="s">
        <v>292</v>
      </c>
      <c r="O41" s="181"/>
      <c r="P41" s="183" t="str">
        <f>VLOOKUP(E41,'Customer '!A:D,4,0)</f>
        <v>25% desposit, 75% period shipment</v>
      </c>
      <c r="Q41" s="178" t="s">
        <v>51</v>
      </c>
      <c r="R41" s="178" t="s">
        <v>335</v>
      </c>
      <c r="S41" s="178">
        <v>94</v>
      </c>
      <c r="T41" s="184">
        <v>3218808.5900000008</v>
      </c>
      <c r="U41" s="184">
        <v>1341170</v>
      </c>
      <c r="V41" s="184" t="s">
        <v>333</v>
      </c>
      <c r="W41" s="185">
        <v>2026</v>
      </c>
      <c r="X41" s="183"/>
      <c r="Y41" s="183"/>
      <c r="Z41" s="183"/>
      <c r="AA41" s="183"/>
      <c r="AB41" s="183"/>
      <c r="AC41" s="183"/>
      <c r="AD41" s="180" t="s">
        <v>304</v>
      </c>
      <c r="AE41" s="181"/>
      <c r="AF41" s="180" t="s">
        <v>56</v>
      </c>
      <c r="AG41" s="182">
        <v>45948</v>
      </c>
      <c r="AH41" s="180" t="s">
        <v>322</v>
      </c>
      <c r="AI41" s="181"/>
      <c r="AJ41" s="180" t="s">
        <v>322</v>
      </c>
      <c r="AK41" s="181"/>
      <c r="AL41" s="180" t="s">
        <v>72</v>
      </c>
      <c r="AM41" s="181"/>
      <c r="AN41" s="180" t="s">
        <v>304</v>
      </c>
      <c r="AO41" s="181"/>
      <c r="AP41" s="180" t="s">
        <v>342</v>
      </c>
      <c r="AQ41" s="181"/>
      <c r="AR41" s="186"/>
      <c r="AS41" s="187"/>
      <c r="AT41" s="186"/>
      <c r="AU41" s="187"/>
      <c r="AV41" s="186"/>
      <c r="AW41" s="187"/>
      <c r="AX41" s="186"/>
      <c r="AY41" s="187"/>
      <c r="AZ41" s="188" t="str">
        <f t="shared" si="3"/>
        <v>Active</v>
      </c>
      <c r="BA41" s="190"/>
    </row>
    <row r="42" spans="1:53" s="191" customFormat="1" ht="15.6">
      <c r="A42" s="191" t="str">
        <f t="shared" si="1"/>
        <v>2026-FLEETWOOD -HWVP PHASE 2NPI</v>
      </c>
      <c r="B42" s="178" t="str">
        <f>VLOOKUP(E42,'Customer '!A:C,3,0)</f>
        <v>NON RH</v>
      </c>
      <c r="C42" s="178" t="s">
        <v>267</v>
      </c>
      <c r="D42" s="178" t="s">
        <v>298</v>
      </c>
      <c r="E42" s="179" t="s">
        <v>98</v>
      </c>
      <c r="F42" s="179" t="str">
        <f>VLOOKUP(E42,'Customer '!A:B,2,0)</f>
        <v xml:space="preserve">FLEETWOOD </v>
      </c>
      <c r="G42" s="178" t="s">
        <v>117</v>
      </c>
      <c r="H42" s="178" t="str">
        <f t="shared" si="2"/>
        <v>2026-FLEETWOOD -HWVP PHASE 2</v>
      </c>
      <c r="I42" s="178">
        <v>1</v>
      </c>
      <c r="J42" s="180" t="s">
        <v>271</v>
      </c>
      <c r="K42" s="181" t="s">
        <v>291</v>
      </c>
      <c r="L42" s="180" t="s">
        <v>273</v>
      </c>
      <c r="M42" s="182">
        <v>45995</v>
      </c>
      <c r="N42" s="183">
        <v>46024</v>
      </c>
      <c r="O42" s="181"/>
      <c r="P42" s="183" t="str">
        <f>VLOOKUP(E42,'Customer '!A:D,4,0)</f>
        <v>25% desposit, 75% period shipment</v>
      </c>
      <c r="Q42" s="178" t="s">
        <v>51</v>
      </c>
      <c r="R42" s="178" t="s">
        <v>348</v>
      </c>
      <c r="S42" s="178">
        <v>7</v>
      </c>
      <c r="T42" s="184">
        <v>7015.5</v>
      </c>
      <c r="U42" s="184">
        <v>7015.5</v>
      </c>
      <c r="V42" s="184" t="s">
        <v>294</v>
      </c>
      <c r="W42" s="185">
        <v>2026</v>
      </c>
      <c r="X42" s="183" t="s">
        <v>349</v>
      </c>
      <c r="Y42" s="183"/>
      <c r="Z42" s="183" t="s">
        <v>923</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6" hidden="1">
      <c r="A43" s="191" t="str">
        <f t="shared" si="1"/>
        <v>2026-THE PARKER-JAMES NY NOMADNPI</v>
      </c>
      <c r="B43" s="178" t="str">
        <f>VLOOKUP(E43,'Customer '!A:C,3,0)</f>
        <v>NON RH</v>
      </c>
      <c r="C43" s="178" t="s">
        <v>267</v>
      </c>
      <c r="D43" s="178" t="s">
        <v>350</v>
      </c>
      <c r="E43" s="179" t="s">
        <v>119</v>
      </c>
      <c r="F43" s="179" t="str">
        <f>VLOOKUP(E43,'Customer '!A:B,2,0)</f>
        <v>THE PARKER</v>
      </c>
      <c r="G43" s="178" t="s">
        <v>120</v>
      </c>
      <c r="H43" s="178" t="str">
        <f t="shared" si="2"/>
        <v>2026-THE PARKER-JAMES NY NOMAD</v>
      </c>
      <c r="I43" s="178">
        <v>1</v>
      </c>
      <c r="J43" s="180" t="s">
        <v>133</v>
      </c>
      <c r="K43" s="181" t="s">
        <v>291</v>
      </c>
      <c r="L43" s="180" t="s">
        <v>273</v>
      </c>
      <c r="M43" s="182">
        <v>46031</v>
      </c>
      <c r="N43" s="183">
        <v>46031</v>
      </c>
      <c r="O43" s="181"/>
      <c r="P43" s="183" t="e">
        <f>VLOOKUP(E43,'Customer '!A:D,4,0)</f>
        <v>#N/A</v>
      </c>
      <c r="Q43" s="178" t="s">
        <v>51</v>
      </c>
      <c r="R43" s="178" t="s">
        <v>329</v>
      </c>
      <c r="S43" s="178">
        <v>1</v>
      </c>
      <c r="T43" s="184">
        <v>3167.5099999999998</v>
      </c>
      <c r="U43" s="184">
        <v>3167.51</v>
      </c>
      <c r="V43" s="184" t="s">
        <v>276</v>
      </c>
      <c r="W43" s="185">
        <v>2026</v>
      </c>
      <c r="X43" s="183">
        <v>46152</v>
      </c>
      <c r="Y43" s="183"/>
      <c r="Z43" s="183" t="s">
        <v>936</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6" hidden="1">
      <c r="A44" s="191" t="str">
        <f t="shared" si="1"/>
        <v>2026-KD-KNOX DALLASNPI</v>
      </c>
      <c r="B44" s="178" t="str">
        <f>VLOOKUP(E44,'Customer '!A:C,3,0)</f>
        <v>NON RH</v>
      </c>
      <c r="C44" s="178" t="s">
        <v>267</v>
      </c>
      <c r="D44" s="178" t="s">
        <v>306</v>
      </c>
      <c r="E44" s="179" t="s">
        <v>122</v>
      </c>
      <c r="F44" s="179" t="str">
        <f>VLOOKUP(E44,'Customer '!A:B,2,0)</f>
        <v>KD</v>
      </c>
      <c r="G44" s="178" t="s">
        <v>123</v>
      </c>
      <c r="H44" s="178" t="str">
        <f t="shared" si="2"/>
        <v>2026-KD-KNOX DALLAS</v>
      </c>
      <c r="I44" s="178">
        <v>1</v>
      </c>
      <c r="J44" s="180" t="s">
        <v>271</v>
      </c>
      <c r="K44" s="181" t="s">
        <v>272</v>
      </c>
      <c r="L44" s="180" t="s">
        <v>273</v>
      </c>
      <c r="M44" s="182"/>
      <c r="N44" s="183">
        <v>46113</v>
      </c>
      <c r="O44" s="181"/>
      <c r="P44" s="183" t="e">
        <f>VLOOKUP(E44,'Customer '!A:D,4,0)</f>
        <v>#N/A</v>
      </c>
      <c r="Q44" s="178" t="s">
        <v>51</v>
      </c>
      <c r="R44" s="178" t="s">
        <v>351</v>
      </c>
      <c r="S44" s="178">
        <v>30</v>
      </c>
      <c r="T44" s="184">
        <v>103174.91000000003</v>
      </c>
      <c r="U44" s="184">
        <v>22782.880000000001</v>
      </c>
      <c r="V44" s="184" t="s">
        <v>325</v>
      </c>
      <c r="W44" s="185">
        <v>2026</v>
      </c>
      <c r="X44" s="183">
        <v>45891</v>
      </c>
      <c r="Y44" s="183"/>
      <c r="Z44" s="183" t="s">
        <v>326</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6" hidden="1">
      <c r="A45" s="191" t="str">
        <f t="shared" si="1"/>
        <v>2026-KD-KNOX DALLASNPI</v>
      </c>
      <c r="B45" s="178" t="str">
        <f>VLOOKUP(E45,'Customer '!A:C,3,0)</f>
        <v>NON RH</v>
      </c>
      <c r="C45" s="178" t="s">
        <v>267</v>
      </c>
      <c r="D45" s="178" t="s">
        <v>306</v>
      </c>
      <c r="E45" s="179" t="s">
        <v>122</v>
      </c>
      <c r="F45" s="179" t="str">
        <f>VLOOKUP(E45,'Customer '!A:B,2,0)</f>
        <v>KD</v>
      </c>
      <c r="G45" s="178" t="s">
        <v>123</v>
      </c>
      <c r="H45" s="178" t="str">
        <f t="shared" si="2"/>
        <v>2026-KD-KNOX DALLAS</v>
      </c>
      <c r="I45" s="178">
        <v>1</v>
      </c>
      <c r="J45" s="180" t="s">
        <v>271</v>
      </c>
      <c r="K45" s="181" t="s">
        <v>272</v>
      </c>
      <c r="L45" s="180" t="s">
        <v>273</v>
      </c>
      <c r="M45" s="182"/>
      <c r="N45" s="183">
        <v>46113</v>
      </c>
      <c r="O45" s="181"/>
      <c r="P45" s="183" t="e">
        <f>VLOOKUP(E45,'Customer '!A:D,4,0)</f>
        <v>#N/A</v>
      </c>
      <c r="Q45" s="178" t="s">
        <v>51</v>
      </c>
      <c r="R45" s="178" t="s">
        <v>351</v>
      </c>
      <c r="S45" s="178">
        <v>30</v>
      </c>
      <c r="T45" s="184">
        <v>103174.91000000003</v>
      </c>
      <c r="U45" s="184">
        <v>45565.760000000002</v>
      </c>
      <c r="V45" s="184" t="s">
        <v>294</v>
      </c>
      <c r="W45" s="185">
        <v>2026</v>
      </c>
      <c r="X45" s="183">
        <v>45891</v>
      </c>
      <c r="Y45" s="183"/>
      <c r="Z45" s="183" t="s">
        <v>326</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6" hidden="1">
      <c r="A46" s="191" t="str">
        <f t="shared" si="1"/>
        <v>2026-KD-KNOX DALLASNPI</v>
      </c>
      <c r="B46" s="178" t="str">
        <f>VLOOKUP(E46,'Customer '!A:C,3,0)</f>
        <v>NON RH</v>
      </c>
      <c r="C46" s="178" t="s">
        <v>267</v>
      </c>
      <c r="D46" s="178" t="s">
        <v>306</v>
      </c>
      <c r="E46" s="179" t="s">
        <v>122</v>
      </c>
      <c r="F46" s="179" t="str">
        <f>VLOOKUP(E46,'Customer '!A:B,2,0)</f>
        <v>KD</v>
      </c>
      <c r="G46" s="178" t="s">
        <v>123</v>
      </c>
      <c r="H46" s="178" t="str">
        <f t="shared" si="2"/>
        <v>2026-KD-KNOX DALLAS</v>
      </c>
      <c r="I46" s="178">
        <v>1</v>
      </c>
      <c r="J46" s="180" t="s">
        <v>271</v>
      </c>
      <c r="K46" s="181" t="s">
        <v>272</v>
      </c>
      <c r="L46" s="180" t="s">
        <v>273</v>
      </c>
      <c r="M46" s="182"/>
      <c r="N46" s="183">
        <v>46113</v>
      </c>
      <c r="O46" s="181"/>
      <c r="P46" s="183" t="e">
        <f>VLOOKUP(E46,'Customer '!A:D,4,0)</f>
        <v>#N/A</v>
      </c>
      <c r="Q46" s="178" t="s">
        <v>51</v>
      </c>
      <c r="R46" s="178" t="s">
        <v>351</v>
      </c>
      <c r="S46" s="178">
        <v>30</v>
      </c>
      <c r="T46" s="184">
        <v>103174.91000000003</v>
      </c>
      <c r="U46" s="184">
        <v>22783</v>
      </c>
      <c r="V46" s="184" t="s">
        <v>294</v>
      </c>
      <c r="W46" s="185">
        <v>2026</v>
      </c>
      <c r="X46" s="183">
        <v>45891</v>
      </c>
      <c r="Y46" s="183"/>
      <c r="Z46" s="183" t="s">
        <v>326</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6" hidden="1">
      <c r="A47" s="191" t="str">
        <f t="shared" si="1"/>
        <v>2026-KD-KNOX DALLASNPI</v>
      </c>
      <c r="B47" s="178" t="str">
        <f>VLOOKUP(E47,'Customer '!A:C,3,0)</f>
        <v>NON RH</v>
      </c>
      <c r="C47" s="178" t="s">
        <v>267</v>
      </c>
      <c r="D47" s="178" t="s">
        <v>306</v>
      </c>
      <c r="E47" s="179" t="s">
        <v>122</v>
      </c>
      <c r="F47" s="179" t="str">
        <f>VLOOKUP(E47,'Customer '!A:B,2,0)</f>
        <v>KD</v>
      </c>
      <c r="G47" s="178" t="s">
        <v>123</v>
      </c>
      <c r="H47" s="178" t="str">
        <f t="shared" si="2"/>
        <v>2026-KD-KNOX DALLAS</v>
      </c>
      <c r="I47" s="178">
        <v>1</v>
      </c>
      <c r="J47" s="180" t="s">
        <v>310</v>
      </c>
      <c r="K47" s="181" t="s">
        <v>272</v>
      </c>
      <c r="L47" s="180" t="s">
        <v>273</v>
      </c>
      <c r="M47" s="182">
        <v>46052</v>
      </c>
      <c r="N47" s="183">
        <v>46113</v>
      </c>
      <c r="O47" s="181"/>
      <c r="P47" s="183" t="e">
        <f>VLOOKUP(E47,'Customer '!A:D,4,0)</f>
        <v>#N/A</v>
      </c>
      <c r="Q47" s="178" t="s">
        <v>51</v>
      </c>
      <c r="R47" s="178" t="s">
        <v>351</v>
      </c>
      <c r="S47" s="178">
        <v>30</v>
      </c>
      <c r="T47" s="184">
        <v>103174.91000000003</v>
      </c>
      <c r="U47" s="184">
        <v>12043.39</v>
      </c>
      <c r="V47" s="184" t="s">
        <v>281</v>
      </c>
      <c r="W47" s="185">
        <v>2026</v>
      </c>
      <c r="X47" s="183">
        <v>45891</v>
      </c>
      <c r="Y47" s="183"/>
      <c r="Z47" s="183" t="s">
        <v>937</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342</v>
      </c>
      <c r="AR47" s="186"/>
      <c r="AS47" s="187"/>
      <c r="AT47" s="186"/>
      <c r="AU47" s="187"/>
      <c r="AV47" s="186"/>
      <c r="AW47" s="187"/>
      <c r="AX47" s="186"/>
      <c r="AY47" s="187"/>
      <c r="AZ47" s="188" t="str">
        <f t="shared" si="3"/>
        <v>Active</v>
      </c>
      <c r="BA47" s="190"/>
    </row>
    <row r="48" spans="1:53" s="191" customFormat="1" ht="15.6" hidden="1">
      <c r="A48" s="191" t="str">
        <f t="shared" si="1"/>
        <v>2026-KD-KNOX DALLAS SUITENPI</v>
      </c>
      <c r="B48" s="178" t="str">
        <f>VLOOKUP(E48,'Customer '!A:C,3,0)</f>
        <v>NON RH</v>
      </c>
      <c r="C48" s="178" t="s">
        <v>267</v>
      </c>
      <c r="D48" s="178" t="s">
        <v>306</v>
      </c>
      <c r="E48" s="179" t="s">
        <v>122</v>
      </c>
      <c r="F48" s="179" t="str">
        <f>VLOOKUP(E48,'Customer '!A:B,2,0)</f>
        <v>KD</v>
      </c>
      <c r="G48" s="178" t="s">
        <v>127</v>
      </c>
      <c r="H48" s="178" t="str">
        <f t="shared" si="2"/>
        <v>2026-KD-KNOX DALLAS SUITE</v>
      </c>
      <c r="I48" s="178">
        <v>1</v>
      </c>
      <c r="J48" s="180" t="s">
        <v>310</v>
      </c>
      <c r="K48" s="181" t="s">
        <v>291</v>
      </c>
      <c r="L48" s="180" t="s">
        <v>354</v>
      </c>
      <c r="M48" s="182">
        <v>46100</v>
      </c>
      <c r="N48" s="183">
        <v>46053</v>
      </c>
      <c r="O48" s="181"/>
      <c r="P48" s="183" t="e">
        <f>VLOOKUP(E48,'Customer '!A:D,4,0)</f>
        <v>#N/A</v>
      </c>
      <c r="Q48" s="178" t="s">
        <v>51</v>
      </c>
      <c r="R48" s="178" t="s">
        <v>351</v>
      </c>
      <c r="S48" s="178">
        <v>50</v>
      </c>
      <c r="T48" s="184">
        <v>367264.72</v>
      </c>
      <c r="U48" s="209">
        <v>367264.72</v>
      </c>
      <c r="V48" s="184" t="s">
        <v>297</v>
      </c>
      <c r="W48" s="185">
        <v>2026</v>
      </c>
      <c r="X48" s="183">
        <v>46157</v>
      </c>
      <c r="Y48" s="183"/>
      <c r="Z48" s="183" t="s">
        <v>938</v>
      </c>
      <c r="AA48" s="183"/>
      <c r="AB48" s="183"/>
      <c r="AC48" s="183"/>
      <c r="AD48" s="180" t="s">
        <v>322</v>
      </c>
      <c r="AE48" s="181"/>
      <c r="AF48" s="180" t="s">
        <v>56</v>
      </c>
      <c r="AG48" s="181"/>
      <c r="AH48" s="180" t="s">
        <v>56</v>
      </c>
      <c r="AI48" s="181"/>
      <c r="AJ48" s="180" t="s">
        <v>56</v>
      </c>
      <c r="AK48" s="181"/>
      <c r="AL48" s="180" t="s">
        <v>56</v>
      </c>
      <c r="AM48" s="181"/>
      <c r="AN48" s="180" t="s">
        <v>73</v>
      </c>
      <c r="AO48" s="181"/>
      <c r="AP48" s="180" t="s">
        <v>57</v>
      </c>
      <c r="AQ48" s="181" t="s">
        <v>342</v>
      </c>
      <c r="AR48" s="186"/>
      <c r="AS48" s="187"/>
      <c r="AT48" s="186"/>
      <c r="AU48" s="187"/>
      <c r="AV48" s="186"/>
      <c r="AW48" s="187"/>
      <c r="AX48" s="186"/>
      <c r="AY48" s="187"/>
      <c r="AZ48" s="188" t="str">
        <f t="shared" si="3"/>
        <v>Active</v>
      </c>
      <c r="BA48" s="190"/>
    </row>
    <row r="49" spans="1:53" s="191" customFormat="1" ht="15.6" hidden="1">
      <c r="A49" s="191" t="str">
        <f t="shared" si="1"/>
        <v>2026-AHMADIAH-MARRIOTT KHOBARNPI</v>
      </c>
      <c r="B49" s="178" t="str">
        <f>VLOOKUP(E49,'Customer '!A:C,3,0)</f>
        <v>NON RH</v>
      </c>
      <c r="C49" s="178" t="s">
        <v>267</v>
      </c>
      <c r="D49" s="178" t="s">
        <v>323</v>
      </c>
      <c r="E49" s="178" t="s">
        <v>130</v>
      </c>
      <c r="F49" s="179" t="str">
        <f>VLOOKUP(E49,'Customer '!A:B,2,0)</f>
        <v>AHMADIAH</v>
      </c>
      <c r="G49" s="178" t="s">
        <v>131</v>
      </c>
      <c r="H49" s="178" t="str">
        <f t="shared" si="2"/>
        <v>2026-AHMADIAH-MARRIOTT KHOBAR</v>
      </c>
      <c r="I49" s="178">
        <v>1</v>
      </c>
      <c r="J49" s="180" t="s">
        <v>300</v>
      </c>
      <c r="K49" s="181" t="s">
        <v>272</v>
      </c>
      <c r="L49" s="180"/>
      <c r="M49" s="182"/>
      <c r="N49" s="183" t="s">
        <v>292</v>
      </c>
      <c r="O49" s="181"/>
      <c r="P49" s="183" t="e">
        <f>VLOOKUP(E49,'Customer '!A:D,4,0)</f>
        <v>#N/A</v>
      </c>
      <c r="Q49" s="178" t="s">
        <v>132</v>
      </c>
      <c r="R49" s="178" t="s">
        <v>355</v>
      </c>
      <c r="S49" s="178">
        <v>35</v>
      </c>
      <c r="T49" s="184"/>
      <c r="U49" s="184"/>
      <c r="V49" s="185" t="s">
        <v>939</v>
      </c>
      <c r="W49" s="185" t="s">
        <v>939</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6" hidden="1">
      <c r="A50" s="191" t="str">
        <f t="shared" si="1"/>
        <v>2026-MH-MH HOTEL PROJECTNPI</v>
      </c>
      <c r="B50" s="178" t="str">
        <f>VLOOKUP(E50,'Customer '!A:C,3,0)</f>
        <v>KA</v>
      </c>
      <c r="C50" s="178" t="s">
        <v>267</v>
      </c>
      <c r="D50" s="178" t="s">
        <v>341</v>
      </c>
      <c r="E50" s="178" t="s">
        <v>139</v>
      </c>
      <c r="F50" s="179" t="str">
        <f>VLOOKUP(E50,'Customer '!A:B,2,0)</f>
        <v>MH</v>
      </c>
      <c r="G50" s="178" t="s">
        <v>140</v>
      </c>
      <c r="H50" s="178" t="str">
        <f t="shared" si="2"/>
        <v>2026-MH-MH HOTEL PROJECT</v>
      </c>
      <c r="I50" s="178">
        <v>1</v>
      </c>
      <c r="J50" s="180" t="s">
        <v>310</v>
      </c>
      <c r="K50" s="181" t="s">
        <v>272</v>
      </c>
      <c r="L50" s="180" t="s">
        <v>311</v>
      </c>
      <c r="M50" s="182">
        <v>46079</v>
      </c>
      <c r="N50" s="183">
        <v>46066</v>
      </c>
      <c r="O50" s="181"/>
      <c r="P50" s="183" t="e">
        <f>VLOOKUP(E50,'Customer '!A:D,4,0)</f>
        <v>#N/A</v>
      </c>
      <c r="Q50" s="178" t="s">
        <v>51</v>
      </c>
      <c r="R50" s="178" t="s">
        <v>356</v>
      </c>
      <c r="S50" s="178">
        <v>6</v>
      </c>
      <c r="T50" s="184">
        <v>48755</v>
      </c>
      <c r="U50" s="184">
        <v>48755</v>
      </c>
      <c r="V50" s="184" t="s">
        <v>279</v>
      </c>
      <c r="W50" s="185">
        <v>2026</v>
      </c>
      <c r="X50" s="183">
        <v>46183</v>
      </c>
      <c r="Y50" s="183"/>
      <c r="Z50" s="183" t="s">
        <v>922</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6" hidden="1">
      <c r="A51" s="191" t="str">
        <f t="shared" si="1"/>
        <v>2026-MOHI-MOHI APPELLATIONNPI</v>
      </c>
      <c r="B51" s="178" t="str">
        <f>VLOOKUP(E51,'Customer '!A:C,3,0)</f>
        <v>NON RH</v>
      </c>
      <c r="C51" s="178" t="s">
        <v>267</v>
      </c>
      <c r="D51" s="178" t="s">
        <v>290</v>
      </c>
      <c r="E51" s="179" t="s">
        <v>143</v>
      </c>
      <c r="F51" s="179" t="str">
        <f>VLOOKUP(E51,'Customer '!A:B,2,0)</f>
        <v>MOHI</v>
      </c>
      <c r="G51" s="178" t="s">
        <v>144</v>
      </c>
      <c r="H51" s="178" t="str">
        <f t="shared" si="2"/>
        <v>2026-MOHI-MOHI APPELLATION</v>
      </c>
      <c r="I51" s="178">
        <v>0</v>
      </c>
      <c r="J51" s="180" t="s">
        <v>310</v>
      </c>
      <c r="K51" s="181" t="s">
        <v>272</v>
      </c>
      <c r="L51" s="180" t="s">
        <v>311</v>
      </c>
      <c r="M51" s="182">
        <v>45905</v>
      </c>
      <c r="N51" s="183">
        <v>45913</v>
      </c>
      <c r="O51" s="183">
        <v>46000</v>
      </c>
      <c r="P51" s="183" t="str">
        <f>VLOOKUP(E51,'Customer '!A:D,4,0)</f>
        <v>50% deposit, 50% prior shipment</v>
      </c>
      <c r="Q51" s="178" t="s">
        <v>51</v>
      </c>
      <c r="R51" s="178" t="s">
        <v>152</v>
      </c>
      <c r="S51" s="178">
        <v>28</v>
      </c>
      <c r="T51" s="184">
        <v>357775</v>
      </c>
      <c r="U51" s="184">
        <v>357775</v>
      </c>
      <c r="V51" s="184" t="s">
        <v>276</v>
      </c>
      <c r="W51" s="185">
        <v>2026</v>
      </c>
      <c r="X51" s="183" t="s">
        <v>292</v>
      </c>
      <c r="Y51" s="183"/>
      <c r="Z51" s="183" t="s">
        <v>940</v>
      </c>
      <c r="AA51" s="183"/>
      <c r="AB51" s="183" t="s">
        <v>941</v>
      </c>
      <c r="AC51" s="183" t="s">
        <v>942</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6" hidden="1">
      <c r="A52" s="191" t="str">
        <f t="shared" ref="A52" si="5">H52&amp;C52</f>
        <v>2026-MOHI-MOHI APPELLATIONNPI</v>
      </c>
      <c r="B52" s="178" t="str">
        <f>VLOOKUP(E52,'Customer '!A:C,3,0)</f>
        <v>NON RH</v>
      </c>
      <c r="C52" s="178" t="s">
        <v>267</v>
      </c>
      <c r="D52" s="178" t="s">
        <v>290</v>
      </c>
      <c r="E52" s="179" t="s">
        <v>143</v>
      </c>
      <c r="F52" s="179" t="str">
        <f>VLOOKUP(E52,'Customer '!A:B,2,0)</f>
        <v>MOHI</v>
      </c>
      <c r="G52" s="178" t="s">
        <v>144</v>
      </c>
      <c r="H52" s="178" t="str">
        <f t="shared" si="2"/>
        <v>2026-MOHI-MOHI APPELLATION</v>
      </c>
      <c r="I52" s="178">
        <v>0</v>
      </c>
      <c r="J52" s="180" t="s">
        <v>310</v>
      </c>
      <c r="K52" s="181" t="s">
        <v>272</v>
      </c>
      <c r="L52" s="180" t="s">
        <v>354</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800</v>
      </c>
      <c r="AA52" s="183"/>
      <c r="AB52" s="183" t="s">
        <v>800</v>
      </c>
      <c r="AC52" s="183" t="s">
        <v>800</v>
      </c>
      <c r="AD52" s="180" t="s">
        <v>322</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6" hidden="1">
      <c r="A53" s="191" t="str">
        <f t="shared" si="1"/>
        <v>2026-MOHI-MOHI APPELLATIONNPI</v>
      </c>
      <c r="B53" s="178" t="str">
        <f>VLOOKUP(E53,'Customer '!A:C,3,0)</f>
        <v>NON RH</v>
      </c>
      <c r="C53" s="178" t="s">
        <v>267</v>
      </c>
      <c r="D53" s="178" t="s">
        <v>290</v>
      </c>
      <c r="E53" s="179" t="s">
        <v>143</v>
      </c>
      <c r="F53" s="179" t="str">
        <f>VLOOKUP(E53,'Customer '!A:B,2,0)</f>
        <v>MOHI</v>
      </c>
      <c r="G53" s="178" t="s">
        <v>144</v>
      </c>
      <c r="H53" s="178" t="str">
        <f t="shared" si="2"/>
        <v>2026-MOHI-MOHI APPELLATION</v>
      </c>
      <c r="I53" s="178">
        <v>0</v>
      </c>
      <c r="J53" s="180" t="s">
        <v>310</v>
      </c>
      <c r="K53" s="181" t="s">
        <v>272</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800</v>
      </c>
      <c r="AA53" s="183"/>
      <c r="AB53" s="183" t="s">
        <v>800</v>
      </c>
      <c r="AC53" s="183" t="s">
        <v>800</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6" hidden="1">
      <c r="A54" s="191" t="str">
        <f t="shared" si="1"/>
        <v>2026-L&amp;S-RITZ CARLTON COTTON BAYNPI</v>
      </c>
      <c r="B54" s="178" t="str">
        <f>VLOOKUP(E54,'Customer '!A:C,3,0)</f>
        <v>NON RH</v>
      </c>
      <c r="C54" s="178" t="s">
        <v>267</v>
      </c>
      <c r="D54" s="178" t="s">
        <v>164</v>
      </c>
      <c r="E54" s="179" t="s">
        <v>82</v>
      </c>
      <c r="F54" s="179" t="str">
        <f>VLOOKUP(E54,'Customer '!A:B,2,0)</f>
        <v>L&amp;S</v>
      </c>
      <c r="G54" s="178" t="s">
        <v>163</v>
      </c>
      <c r="H54" s="178" t="str">
        <f t="shared" si="2"/>
        <v>2026-L&amp;S-RITZ CARLTON COTTON BAY</v>
      </c>
      <c r="I54" s="178">
        <v>0</v>
      </c>
      <c r="J54" s="180" t="s">
        <v>321</v>
      </c>
      <c r="K54" s="181" t="s">
        <v>272</v>
      </c>
      <c r="L54" s="180" t="s">
        <v>331</v>
      </c>
      <c r="M54" s="182">
        <v>45758</v>
      </c>
      <c r="N54" s="183" t="s">
        <v>292</v>
      </c>
      <c r="O54" s="181"/>
      <c r="P54" s="183" t="str">
        <f>VLOOKUP(E54,'Customer '!A:D,4,0)</f>
        <v>50% deposit, 50% prior shipment</v>
      </c>
      <c r="Q54" s="178" t="s">
        <v>274</v>
      </c>
      <c r="R54" s="178" t="s">
        <v>275</v>
      </c>
      <c r="S54" s="178">
        <v>117</v>
      </c>
      <c r="T54" s="184">
        <v>3134000</v>
      </c>
      <c r="U54" s="193">
        <f>T54/3</f>
        <v>1044666.6666666666</v>
      </c>
      <c r="V54" s="193" t="s">
        <v>312</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6" hidden="1">
      <c r="A55" s="191" t="str">
        <f t="shared" si="1"/>
        <v>2026-L&amp;S-RITZ CARLTON COTTON BAYNPI</v>
      </c>
      <c r="B55" s="178" t="str">
        <f>VLOOKUP(E55,'Customer '!A:C,3,0)</f>
        <v>NON RH</v>
      </c>
      <c r="C55" s="178" t="s">
        <v>267</v>
      </c>
      <c r="D55" s="178" t="s">
        <v>164</v>
      </c>
      <c r="E55" s="179" t="s">
        <v>82</v>
      </c>
      <c r="F55" s="179" t="str">
        <f>VLOOKUP(E55,'Customer '!A:B,2,0)</f>
        <v>L&amp;S</v>
      </c>
      <c r="G55" s="178" t="s">
        <v>163</v>
      </c>
      <c r="H55" s="178" t="str">
        <f t="shared" si="2"/>
        <v>2026-L&amp;S-RITZ CARLTON COTTON BAY</v>
      </c>
      <c r="I55" s="178">
        <v>0</v>
      </c>
      <c r="J55" s="180" t="s">
        <v>321</v>
      </c>
      <c r="K55" s="181" t="s">
        <v>272</v>
      </c>
      <c r="L55" s="180" t="s">
        <v>331</v>
      </c>
      <c r="M55" s="182">
        <v>45758</v>
      </c>
      <c r="N55" s="183" t="s">
        <v>292</v>
      </c>
      <c r="O55" s="181"/>
      <c r="P55" s="183" t="str">
        <f>VLOOKUP(E55,'Customer '!A:D,4,0)</f>
        <v>50% deposit, 50% prior shipment</v>
      </c>
      <c r="Q55" s="178" t="s">
        <v>274</v>
      </c>
      <c r="R55" s="178" t="s">
        <v>275</v>
      </c>
      <c r="S55" s="178">
        <v>117</v>
      </c>
      <c r="T55" s="184">
        <v>3134000</v>
      </c>
      <c r="U55" s="193">
        <f>T55/3</f>
        <v>1044666.6666666666</v>
      </c>
      <c r="V55" s="193" t="s">
        <v>333</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6" hidden="1">
      <c r="A56" s="191" t="str">
        <f t="shared" si="1"/>
        <v>2026-L&amp;S-RITZ CARLTON COTTON BAYNPI</v>
      </c>
      <c r="B56" s="178" t="str">
        <f>VLOOKUP(E56,'Customer '!A:C,3,0)</f>
        <v>NON RH</v>
      </c>
      <c r="C56" s="178" t="s">
        <v>267</v>
      </c>
      <c r="D56" s="178" t="s">
        <v>164</v>
      </c>
      <c r="E56" s="179" t="s">
        <v>82</v>
      </c>
      <c r="F56" s="179" t="str">
        <f>VLOOKUP(E56,'Customer '!A:B,2,0)</f>
        <v>L&amp;S</v>
      </c>
      <c r="G56" s="178" t="s">
        <v>163</v>
      </c>
      <c r="H56" s="178" t="str">
        <f t="shared" si="2"/>
        <v>2026-L&amp;S-RITZ CARLTON COTTON BAY</v>
      </c>
      <c r="I56" s="178">
        <v>0</v>
      </c>
      <c r="J56" s="180" t="s">
        <v>321</v>
      </c>
      <c r="K56" s="181" t="s">
        <v>272</v>
      </c>
      <c r="L56" s="180" t="s">
        <v>331</v>
      </c>
      <c r="M56" s="182">
        <v>45758</v>
      </c>
      <c r="N56" s="183" t="s">
        <v>292</v>
      </c>
      <c r="O56" s="181"/>
      <c r="P56" s="183" t="str">
        <f>VLOOKUP(E56,'Customer '!A:D,4,0)</f>
        <v>50% deposit, 50% prior shipment</v>
      </c>
      <c r="Q56" s="178" t="s">
        <v>274</v>
      </c>
      <c r="R56" s="178" t="s">
        <v>275</v>
      </c>
      <c r="S56" s="178">
        <v>117</v>
      </c>
      <c r="T56" s="184">
        <v>3134000</v>
      </c>
      <c r="U56" s="193">
        <f>T56/3</f>
        <v>1044666.6666666666</v>
      </c>
      <c r="V56" s="193" t="s">
        <v>319</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6" hidden="1">
      <c r="A57" s="191" t="str">
        <f t="shared" si="1"/>
        <v>2026-PLUS CORPORATION-SOHO HOUSE TOKYONPI</v>
      </c>
      <c r="B57" s="178" t="str">
        <f>VLOOKUP(E57,'Customer '!A:C,3,0)</f>
        <v>NON RH</v>
      </c>
      <c r="C57" s="178" t="s">
        <v>267</v>
      </c>
      <c r="D57" s="178" t="s">
        <v>341</v>
      </c>
      <c r="E57" s="179" t="s">
        <v>168</v>
      </c>
      <c r="F57" s="179" t="str">
        <f>VLOOKUP(E57,'Customer '!A:B,2,0)</f>
        <v>PLUS CORPORATION</v>
      </c>
      <c r="G57" s="178" t="s">
        <v>360</v>
      </c>
      <c r="H57" s="178" t="str">
        <f t="shared" si="2"/>
        <v>2026-PLUS CORPORATION-SOHO HOUSE TOKYO</v>
      </c>
      <c r="I57" s="178">
        <v>1</v>
      </c>
      <c r="J57" s="180" t="s">
        <v>271</v>
      </c>
      <c r="K57" s="181" t="s">
        <v>272</v>
      </c>
      <c r="L57" s="180" t="s">
        <v>273</v>
      </c>
      <c r="M57" s="182">
        <v>45948</v>
      </c>
      <c r="N57" s="183">
        <v>46087</v>
      </c>
      <c r="O57" s="181"/>
      <c r="P57" s="183" t="str">
        <f>VLOOKUP(E57,'Customer '!A:D,4,0)</f>
        <v>50% deposit, 50% prior shipment</v>
      </c>
      <c r="Q57" s="178" t="s">
        <v>170</v>
      </c>
      <c r="R57" s="178" t="s">
        <v>361</v>
      </c>
      <c r="S57" s="178">
        <v>48</v>
      </c>
      <c r="T57" s="184">
        <v>24012</v>
      </c>
      <c r="U57" s="184">
        <v>21344</v>
      </c>
      <c r="V57" s="184" t="s">
        <v>325</v>
      </c>
      <c r="W57" s="185">
        <v>2026</v>
      </c>
      <c r="X57" s="183" t="s">
        <v>934</v>
      </c>
      <c r="Y57" s="183"/>
      <c r="Z57" s="183" t="s">
        <v>943</v>
      </c>
      <c r="AA57" s="183"/>
      <c r="AB57" s="183"/>
      <c r="AC57" s="183" t="s">
        <v>943</v>
      </c>
      <c r="AD57" s="180" t="s">
        <v>56</v>
      </c>
      <c r="AE57" s="182">
        <v>45961</v>
      </c>
      <c r="AF57" s="180" t="s">
        <v>56</v>
      </c>
      <c r="AG57" s="182">
        <v>45986</v>
      </c>
      <c r="AH57" s="180" t="s">
        <v>56</v>
      </c>
      <c r="AI57" s="182">
        <v>45986</v>
      </c>
      <c r="AJ57" s="180" t="s">
        <v>56</v>
      </c>
      <c r="AK57" s="182">
        <v>45986</v>
      </c>
      <c r="AL57" s="180" t="s">
        <v>73</v>
      </c>
      <c r="AM57" s="181"/>
      <c r="AN57" s="180" t="s">
        <v>73</v>
      </c>
      <c r="AO57" s="181"/>
      <c r="AP57" s="180" t="s">
        <v>362</v>
      </c>
      <c r="AQ57" s="181"/>
      <c r="AR57" s="186"/>
      <c r="AS57" s="187"/>
      <c r="AT57" s="186"/>
      <c r="AU57" s="187"/>
      <c r="AV57" s="186"/>
      <c r="AW57" s="187"/>
      <c r="AX57" s="186"/>
      <c r="AY57" s="187"/>
      <c r="AZ57" s="188" t="str">
        <f t="shared" si="3"/>
        <v>Complete</v>
      </c>
      <c r="BA57" s="190"/>
    </row>
    <row r="58" spans="1:53" s="191" customFormat="1" ht="15.6" hidden="1">
      <c r="A58" s="191" t="str">
        <f t="shared" si="1"/>
        <v>2026-PLUS CORPORATION-SOHO HOUSE TOKYONPI</v>
      </c>
      <c r="B58" s="178" t="str">
        <f>VLOOKUP(E58,'Customer '!A:C,3,0)</f>
        <v>NON RH</v>
      </c>
      <c r="C58" s="178" t="s">
        <v>267</v>
      </c>
      <c r="D58" s="178" t="s">
        <v>341</v>
      </c>
      <c r="E58" s="179" t="s">
        <v>168</v>
      </c>
      <c r="F58" s="179" t="str">
        <f>VLOOKUP(E58,'Customer '!A:B,2,0)</f>
        <v>PLUS CORPORATION</v>
      </c>
      <c r="G58" s="178" t="s">
        <v>360</v>
      </c>
      <c r="H58" s="178" t="str">
        <f t="shared" si="2"/>
        <v>2026-PLUS CORPORATION-SOHO HOUSE TOKYO</v>
      </c>
      <c r="I58" s="178">
        <v>1</v>
      </c>
      <c r="J58" s="180" t="s">
        <v>271</v>
      </c>
      <c r="K58" s="181" t="s">
        <v>291</v>
      </c>
      <c r="L58" s="180" t="s">
        <v>273</v>
      </c>
      <c r="M58" s="182">
        <v>45719</v>
      </c>
      <c r="N58" s="183">
        <v>46087</v>
      </c>
      <c r="O58" s="181"/>
      <c r="P58" s="183" t="str">
        <f>VLOOKUP(E58,'Customer '!A:D,4,0)</f>
        <v>50% deposit, 50% prior shipment</v>
      </c>
      <c r="Q58" s="178" t="s">
        <v>170</v>
      </c>
      <c r="R58" s="178" t="s">
        <v>361</v>
      </c>
      <c r="S58" s="178">
        <v>48</v>
      </c>
      <c r="T58" s="184">
        <v>24012</v>
      </c>
      <c r="U58" s="184">
        <v>2668</v>
      </c>
      <c r="V58" s="184" t="s">
        <v>276</v>
      </c>
      <c r="W58" s="185">
        <v>2026</v>
      </c>
      <c r="X58" s="183" t="s">
        <v>934</v>
      </c>
      <c r="Y58" s="183"/>
      <c r="Z58" s="183" t="s">
        <v>930</v>
      </c>
      <c r="AA58" s="183"/>
      <c r="AB58" s="183"/>
      <c r="AC58" s="183" t="s">
        <v>930</v>
      </c>
      <c r="AD58" s="180" t="s">
        <v>56</v>
      </c>
      <c r="AE58" s="182">
        <v>45961</v>
      </c>
      <c r="AF58" s="180" t="s">
        <v>73</v>
      </c>
      <c r="AG58" s="182">
        <v>45986</v>
      </c>
      <c r="AH58" s="180" t="s">
        <v>56</v>
      </c>
      <c r="AI58" s="182">
        <v>45986</v>
      </c>
      <c r="AJ58" s="180" t="s">
        <v>56</v>
      </c>
      <c r="AK58" s="182">
        <v>45986</v>
      </c>
      <c r="AL58" s="180" t="s">
        <v>73</v>
      </c>
      <c r="AM58" s="181"/>
      <c r="AN58" s="180" t="s">
        <v>73</v>
      </c>
      <c r="AO58" s="181"/>
      <c r="AP58" s="180" t="s">
        <v>362</v>
      </c>
      <c r="AQ58" s="181"/>
      <c r="AR58" s="186"/>
      <c r="AS58" s="187"/>
      <c r="AT58" s="186"/>
      <c r="AU58" s="187"/>
      <c r="AV58" s="186"/>
      <c r="AW58" s="187"/>
      <c r="AX58" s="186"/>
      <c r="AY58" s="187"/>
      <c r="AZ58" s="188" t="str">
        <f t="shared" si="3"/>
        <v>Complete</v>
      </c>
      <c r="BA58" s="190"/>
    </row>
    <row r="59" spans="1:53" s="191" customFormat="1" ht="15.6" hidden="1">
      <c r="A59" s="191" t="str">
        <f t="shared" si="1"/>
        <v>2026-SPECTRUM-1122 MADISON NPI</v>
      </c>
      <c r="B59" s="178" t="str">
        <f>VLOOKUP(E59,'Customer '!A:C,3,0)</f>
        <v>NON RH</v>
      </c>
      <c r="C59" s="178" t="s">
        <v>267</v>
      </c>
      <c r="D59" s="178" t="s">
        <v>341</v>
      </c>
      <c r="E59" s="178" t="s">
        <v>176</v>
      </c>
      <c r="F59" s="179" t="str">
        <f>VLOOKUP(E59,'Customer '!A:B,2,0)</f>
        <v>SPECTRUM</v>
      </c>
      <c r="G59" s="178" t="s">
        <v>363</v>
      </c>
      <c r="H59" s="178" t="str">
        <f t="shared" si="2"/>
        <v xml:space="preserve">2026-SPECTRUM-1122 MADISON </v>
      </c>
      <c r="I59" s="178">
        <v>1</v>
      </c>
      <c r="J59" s="180" t="s">
        <v>310</v>
      </c>
      <c r="K59" s="181" t="s">
        <v>272</v>
      </c>
      <c r="L59" s="180" t="s">
        <v>311</v>
      </c>
      <c r="M59" s="182">
        <v>46092</v>
      </c>
      <c r="N59" s="183">
        <v>46306</v>
      </c>
      <c r="O59" s="181"/>
      <c r="P59" s="183" t="str">
        <f>VLOOKUP(E59,'Customer '!A:D,4,0)</f>
        <v>50% deposit, 50% prior shipment</v>
      </c>
      <c r="Q59" s="178" t="s">
        <v>51</v>
      </c>
      <c r="R59" s="178" t="s">
        <v>329</v>
      </c>
      <c r="S59" s="178">
        <v>20</v>
      </c>
      <c r="T59" s="184">
        <v>93065.64</v>
      </c>
      <c r="U59" s="184">
        <v>93065.64</v>
      </c>
      <c r="V59" s="184" t="s">
        <v>280</v>
      </c>
      <c r="W59" s="185">
        <v>2026</v>
      </c>
      <c r="X59" s="183" t="s">
        <v>944</v>
      </c>
      <c r="Y59" s="183"/>
      <c r="Z59" s="183" t="s">
        <v>945</v>
      </c>
      <c r="AA59" s="183"/>
      <c r="AB59" s="183"/>
      <c r="AC59" s="183"/>
      <c r="AD59" s="180" t="s">
        <v>56</v>
      </c>
      <c r="AE59" s="182">
        <v>46116</v>
      </c>
      <c r="AF59" s="180" t="s">
        <v>322</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6" hidden="1">
      <c r="A60" s="191" t="str">
        <f t="shared" si="1"/>
        <v>2026-RSC-THẢO ĐIỀN OFFICENPI</v>
      </c>
      <c r="B60" s="178" t="str">
        <f>VLOOKUP(E60,'Customer '!A:C,3,0)</f>
        <v>LOCAL</v>
      </c>
      <c r="C60" s="178" t="s">
        <v>267</v>
      </c>
      <c r="D60" s="178" t="s">
        <v>341</v>
      </c>
      <c r="E60" s="178" t="s">
        <v>364</v>
      </c>
      <c r="F60" s="179" t="str">
        <f>VLOOKUP(E60,'Customer '!A:B,2,0)</f>
        <v>RSC</v>
      </c>
      <c r="G60" s="178" t="s">
        <v>181</v>
      </c>
      <c r="H60" s="178" t="str">
        <f t="shared" si="2"/>
        <v>2026-RSC-THẢO ĐIỀN OFFICE</v>
      </c>
      <c r="I60" s="178">
        <v>1</v>
      </c>
      <c r="J60" s="180" t="s">
        <v>271</v>
      </c>
      <c r="K60" s="181" t="s">
        <v>272</v>
      </c>
      <c r="L60" s="180" t="s">
        <v>273</v>
      </c>
      <c r="M60" s="182"/>
      <c r="N60" s="183" t="s">
        <v>292</v>
      </c>
      <c r="O60" s="181"/>
      <c r="P60" s="183" t="e">
        <f>VLOOKUP(E60,'Customer '!A:D,4,0)</f>
        <v>#N/A</v>
      </c>
      <c r="Q60" s="178" t="s">
        <v>182</v>
      </c>
      <c r="R60" s="178" t="s">
        <v>365</v>
      </c>
      <c r="S60" s="178">
        <v>7</v>
      </c>
      <c r="T60" s="184">
        <v>10003.5</v>
      </c>
      <c r="U60" s="184">
        <v>10003.5</v>
      </c>
      <c r="V60" s="184" t="s">
        <v>325</v>
      </c>
      <c r="W60" s="185">
        <v>2026</v>
      </c>
      <c r="X60" s="183" t="s">
        <v>919</v>
      </c>
      <c r="Y60" s="183"/>
      <c r="Z60" s="183" t="s">
        <v>919</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6" hidden="1">
      <c r="A61" s="191" t="str">
        <f t="shared" si="1"/>
        <v>2026-TRIMA-JRHNPI</v>
      </c>
      <c r="B61" s="178" t="str">
        <f>VLOOKUP(E61,'Customer '!A:C,3,0)</f>
        <v>NON RH</v>
      </c>
      <c r="C61" s="178" t="s">
        <v>267</v>
      </c>
      <c r="D61" s="178" t="s">
        <v>306</v>
      </c>
      <c r="E61" s="178" t="s">
        <v>196</v>
      </c>
      <c r="F61" s="179" t="str">
        <f>VLOOKUP(E61,'Customer '!A:B,2,0)</f>
        <v>TRIMA</v>
      </c>
      <c r="G61" s="178" t="s">
        <v>197</v>
      </c>
      <c r="H61" s="178" t="str">
        <f t="shared" si="2"/>
        <v>2026-TRIMA-JRH</v>
      </c>
      <c r="I61" s="178">
        <v>1</v>
      </c>
      <c r="J61" s="180" t="s">
        <v>310</v>
      </c>
      <c r="K61" s="181" t="s">
        <v>272</v>
      </c>
      <c r="L61" s="180" t="s">
        <v>367</v>
      </c>
      <c r="M61" s="182">
        <v>46084</v>
      </c>
      <c r="N61" s="183">
        <v>46090</v>
      </c>
      <c r="O61" s="181"/>
      <c r="P61" s="183" t="str">
        <f>VLOOKUP(E61,'Customer '!A:D,4,0)</f>
        <v>50% deposit, 50% prior shipment</v>
      </c>
      <c r="Q61" s="178" t="s">
        <v>198</v>
      </c>
      <c r="R61" s="178" t="s">
        <v>366</v>
      </c>
      <c r="S61" s="178">
        <v>4</v>
      </c>
      <c r="T61" s="184">
        <v>1022211</v>
      </c>
      <c r="U61" s="184">
        <v>663452</v>
      </c>
      <c r="V61" s="184" t="s">
        <v>280</v>
      </c>
      <c r="W61" s="185">
        <v>2026</v>
      </c>
      <c r="X61" s="183">
        <v>46234</v>
      </c>
      <c r="Y61" s="183"/>
      <c r="Z61" s="183" t="s">
        <v>149</v>
      </c>
      <c r="AA61" s="183"/>
      <c r="AB61" s="183"/>
      <c r="AC61" s="183"/>
      <c r="AD61" s="180" t="s">
        <v>322</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6" hidden="1">
      <c r="A62" s="191" t="str">
        <f t="shared" si="1"/>
        <v>2026-TRIMA-JRHNPI</v>
      </c>
      <c r="B62" s="178" t="str">
        <f>VLOOKUP(E62,'Customer '!A:C,3,0)</f>
        <v>NON RH</v>
      </c>
      <c r="C62" s="178" t="s">
        <v>267</v>
      </c>
      <c r="D62" s="178" t="s">
        <v>306</v>
      </c>
      <c r="E62" s="178" t="s">
        <v>196</v>
      </c>
      <c r="F62" s="179" t="str">
        <f>VLOOKUP(E62,'Customer '!A:B,2,0)</f>
        <v>TRIMA</v>
      </c>
      <c r="G62" s="178" t="s">
        <v>197</v>
      </c>
      <c r="H62" s="178" t="str">
        <f t="shared" si="2"/>
        <v>2026-TRIMA-JRH</v>
      </c>
      <c r="I62" s="178">
        <v>0</v>
      </c>
      <c r="J62" s="180" t="s">
        <v>310</v>
      </c>
      <c r="K62" s="181" t="s">
        <v>272</v>
      </c>
      <c r="L62" s="180" t="s">
        <v>367</v>
      </c>
      <c r="M62" s="182">
        <v>46084</v>
      </c>
      <c r="N62" s="183">
        <v>46090</v>
      </c>
      <c r="O62" s="181"/>
      <c r="P62" s="183" t="str">
        <f>VLOOKUP(E62,'Customer '!A:D,4,0)</f>
        <v>50% deposit, 50% prior shipment</v>
      </c>
      <c r="Q62" s="178" t="s">
        <v>198</v>
      </c>
      <c r="R62" s="178" t="s">
        <v>366</v>
      </c>
      <c r="S62" s="178">
        <v>4</v>
      </c>
      <c r="T62" s="184">
        <v>1022211</v>
      </c>
      <c r="U62" s="184">
        <v>358759</v>
      </c>
      <c r="V62" s="184" t="s">
        <v>281</v>
      </c>
      <c r="W62" s="185">
        <v>2026</v>
      </c>
      <c r="X62" s="183">
        <v>46234</v>
      </c>
      <c r="Y62" s="183"/>
      <c r="Z62" s="183" t="s">
        <v>149</v>
      </c>
      <c r="AA62" s="183"/>
      <c r="AB62" s="183"/>
      <c r="AC62" s="183"/>
      <c r="AD62" s="180" t="s">
        <v>322</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6" hidden="1">
      <c r="A63" s="191" t="str">
        <f t="shared" si="1"/>
        <v>2026-L&amp;S-ELYSEE HOTELNPD</v>
      </c>
      <c r="B63" s="178" t="str">
        <f>VLOOKUP(E63,'Customer '!A:C,3,0)</f>
        <v>NON RH</v>
      </c>
      <c r="C63" s="178" t="s">
        <v>327</v>
      </c>
      <c r="D63" s="178" t="s">
        <v>164</v>
      </c>
      <c r="E63" s="179" t="s">
        <v>82</v>
      </c>
      <c r="F63" s="179" t="str">
        <f>VLOOKUP(E63,'Customer '!A:B,2,0)</f>
        <v>L&amp;S</v>
      </c>
      <c r="G63" s="178" t="s">
        <v>90</v>
      </c>
      <c r="H63" s="178" t="str">
        <f t="shared" si="2"/>
        <v>2026-L&amp;S-ELYSEE HOTEL</v>
      </c>
      <c r="I63" s="178">
        <v>1</v>
      </c>
      <c r="J63" s="180" t="s">
        <v>310</v>
      </c>
      <c r="K63" s="181" t="s">
        <v>272</v>
      </c>
      <c r="L63" s="180" t="s">
        <v>311</v>
      </c>
      <c r="M63" s="182">
        <v>46027</v>
      </c>
      <c r="N63" s="183">
        <v>46009</v>
      </c>
      <c r="O63" s="181"/>
      <c r="P63" s="183" t="str">
        <f>VLOOKUP(E63,'Customer '!A:D,4,0)</f>
        <v>50% deposit, 50% prior shipment</v>
      </c>
      <c r="Q63" s="178" t="s">
        <v>51</v>
      </c>
      <c r="R63" s="178" t="s">
        <v>329</v>
      </c>
      <c r="S63" s="178">
        <v>5</v>
      </c>
      <c r="T63" s="192">
        <v>1936.89</v>
      </c>
      <c r="U63" s="192">
        <v>1936.89</v>
      </c>
      <c r="V63" s="184" t="s">
        <v>276</v>
      </c>
      <c r="W63" s="185">
        <v>2026</v>
      </c>
      <c r="X63" s="183" t="s">
        <v>292</v>
      </c>
      <c r="Y63" s="183"/>
      <c r="Z63" s="183" t="s">
        <v>941</v>
      </c>
      <c r="AA63" s="183"/>
      <c r="AB63" s="183"/>
      <c r="AC63" s="183"/>
      <c r="AD63" s="180" t="s">
        <v>322</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6">
      <c r="A64" s="191" t="str">
        <f>H64&amp;C64</f>
        <v>2026-BROOKFIELD-PARK HYATT VANCOUVERNPD</v>
      </c>
      <c r="B64" s="178" t="str">
        <f>VLOOKUP(E64,'Customer '!A:C,3,0)</f>
        <v>NON RH</v>
      </c>
      <c r="C64" s="178" t="s">
        <v>327</v>
      </c>
      <c r="D64" s="178" t="s">
        <v>298</v>
      </c>
      <c r="E64" s="179" t="s">
        <v>369</v>
      </c>
      <c r="F64" s="179" t="str">
        <f>VLOOKUP(E64,'Customer '!A:B,2,0)</f>
        <v>BROOKFIELD</v>
      </c>
      <c r="G64" s="178" t="s">
        <v>151</v>
      </c>
      <c r="H64" s="178" t="str">
        <f t="shared" si="2"/>
        <v>2026-BROOKFIELD-PARK HYATT VANCOUVER</v>
      </c>
      <c r="I64" s="178">
        <v>1</v>
      </c>
      <c r="J64" s="180" t="s">
        <v>271</v>
      </c>
      <c r="K64" s="181" t="s">
        <v>272</v>
      </c>
      <c r="L64" s="180" t="s">
        <v>273</v>
      </c>
      <c r="M64" s="182">
        <v>46037</v>
      </c>
      <c r="N64" s="183">
        <v>46055</v>
      </c>
      <c r="O64" s="181"/>
      <c r="P64" s="183" t="str">
        <f>VLOOKUP(E64,'Customer '!A:D,4,0)</f>
        <v>50% deposit, 50% prior shipment</v>
      </c>
      <c r="Q64" s="178" t="s">
        <v>152</v>
      </c>
      <c r="R64" s="178" t="s">
        <v>293</v>
      </c>
      <c r="S64" s="178">
        <v>9</v>
      </c>
      <c r="T64" s="192">
        <v>14470.66</v>
      </c>
      <c r="U64" s="192">
        <v>14470.66</v>
      </c>
      <c r="V64" s="184" t="s">
        <v>276</v>
      </c>
      <c r="W64" s="185">
        <v>2026</v>
      </c>
      <c r="X64" s="183">
        <v>46150</v>
      </c>
      <c r="Y64" s="183"/>
      <c r="Z64" s="183" t="s">
        <v>936</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6">
      <c r="A65" s="191" t="str">
        <f t="shared" si="1"/>
        <v>2026-BROOKFIELD-PARK HYATT VANCOUVERNPI</v>
      </c>
      <c r="B65" s="178" t="str">
        <f>VLOOKUP(E65,'Customer '!A:C,3,0)</f>
        <v>NON RH</v>
      </c>
      <c r="C65" s="178" t="s">
        <v>267</v>
      </c>
      <c r="D65" s="178" t="s">
        <v>298</v>
      </c>
      <c r="E65" s="179" t="s">
        <v>369</v>
      </c>
      <c r="F65" s="179" t="str">
        <f>VLOOKUP(E65,'Customer '!A:B,2,0)</f>
        <v>BROOKFIELD</v>
      </c>
      <c r="G65" s="178" t="s">
        <v>151</v>
      </c>
      <c r="H65" s="178" t="str">
        <f t="shared" si="2"/>
        <v>2026-BROOKFIELD-PARK HYATT VANCOUVER</v>
      </c>
      <c r="I65" s="178">
        <v>1</v>
      </c>
      <c r="J65" s="180" t="s">
        <v>284</v>
      </c>
      <c r="K65" s="181" t="s">
        <v>272</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344</v>
      </c>
      <c r="AE65" s="181"/>
      <c r="AF65" s="180" t="s">
        <v>344</v>
      </c>
      <c r="AG65" s="181"/>
      <c r="AH65" s="180" t="s">
        <v>344</v>
      </c>
      <c r="AI65" s="181"/>
      <c r="AJ65" s="180" t="s">
        <v>344</v>
      </c>
      <c r="AK65" s="181"/>
      <c r="AL65" s="180" t="s">
        <v>344</v>
      </c>
      <c r="AM65" s="181"/>
      <c r="AN65" s="180" t="s">
        <v>344</v>
      </c>
      <c r="AO65" s="181"/>
      <c r="AP65" s="180" t="s">
        <v>344</v>
      </c>
      <c r="AQ65" s="181"/>
      <c r="AR65" s="186"/>
      <c r="AS65" s="187"/>
      <c r="AT65" s="186"/>
      <c r="AU65" s="187"/>
      <c r="AV65" s="186"/>
      <c r="AW65" s="187"/>
      <c r="AX65" s="186"/>
      <c r="AY65" s="187"/>
      <c r="AZ65" s="188" t="str">
        <f t="shared" si="3"/>
        <v>Active</v>
      </c>
      <c r="BA65" s="190"/>
    </row>
    <row r="66" spans="1:53" s="191" customFormat="1" ht="15.6" hidden="1">
      <c r="A66" s="191" t="str">
        <f t="shared" si="1"/>
        <v>2026-FLEETWOOD -W-HOTEL-LAS-VEGASNPD</v>
      </c>
      <c r="B66" s="178" t="str">
        <f>VLOOKUP(E66,'Customer '!A:C,3,0)</f>
        <v>NON RH</v>
      </c>
      <c r="C66" s="178" t="s">
        <v>327</v>
      </c>
      <c r="D66" s="178" t="s">
        <v>164</v>
      </c>
      <c r="E66" s="179" t="s">
        <v>98</v>
      </c>
      <c r="F66" s="179" t="str">
        <f>VLOOKUP(E66,'Customer '!A:B,2,0)</f>
        <v xml:space="preserve">FLEETWOOD </v>
      </c>
      <c r="G66" s="178" t="s">
        <v>188</v>
      </c>
      <c r="H66" s="178" t="str">
        <f t="shared" si="2"/>
        <v>2026-FLEETWOOD -W-HOTEL-LAS-VEGAS</v>
      </c>
      <c r="I66" s="178">
        <v>1</v>
      </c>
      <c r="J66" s="180" t="s">
        <v>271</v>
      </c>
      <c r="K66" s="181" t="s">
        <v>272</v>
      </c>
      <c r="L66" s="180" t="s">
        <v>273</v>
      </c>
      <c r="M66" s="182">
        <v>45939</v>
      </c>
      <c r="N66" s="183">
        <v>46338</v>
      </c>
      <c r="O66" s="181"/>
      <c r="P66" s="183" t="str">
        <f>VLOOKUP(E66,'Customer '!A:D,4,0)</f>
        <v>25% desposit, 75% period shipment</v>
      </c>
      <c r="Q66" s="178" t="s">
        <v>51</v>
      </c>
      <c r="R66" s="178" t="s">
        <v>335</v>
      </c>
      <c r="S66" s="178">
        <v>12</v>
      </c>
      <c r="T66" s="184">
        <v>15271.3</v>
      </c>
      <c r="U66" s="184">
        <v>15271.3</v>
      </c>
      <c r="V66" s="185" t="s">
        <v>325</v>
      </c>
      <c r="W66" s="185">
        <v>2026</v>
      </c>
      <c r="X66" s="183" t="s">
        <v>292</v>
      </c>
      <c r="Y66" s="183"/>
      <c r="Z66" s="183" t="s">
        <v>326</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6" hidden="1">
      <c r="A67" s="191" t="str">
        <f t="shared" si="1"/>
        <v>2026-FLEETWOOD -W-HOTEL-LAS-VEGASNPI</v>
      </c>
      <c r="B67" s="178" t="str">
        <f>VLOOKUP(E67,'Customer '!A:C,3,0)</f>
        <v>NON RH</v>
      </c>
      <c r="C67" s="178" t="s">
        <v>267</v>
      </c>
      <c r="D67" s="178" t="s">
        <v>164</v>
      </c>
      <c r="E67" s="179" t="s">
        <v>98</v>
      </c>
      <c r="F67" s="179" t="str">
        <f>VLOOKUP(E67,'Customer '!A:B,2,0)</f>
        <v xml:space="preserve">FLEETWOOD </v>
      </c>
      <c r="G67" s="178" t="s">
        <v>188</v>
      </c>
      <c r="H67" s="178" t="str">
        <f t="shared" si="2"/>
        <v>2026-FLEETWOOD -W-HOTEL-LAS-VEGAS</v>
      </c>
      <c r="I67" s="178">
        <v>1</v>
      </c>
      <c r="J67" s="180" t="s">
        <v>284</v>
      </c>
      <c r="K67" s="181" t="s">
        <v>272</v>
      </c>
      <c r="L67" s="180" t="s">
        <v>301</v>
      </c>
      <c r="M67" s="182">
        <v>45939</v>
      </c>
      <c r="N67" s="183"/>
      <c r="O67" s="181"/>
      <c r="P67" s="183" t="str">
        <f>VLOOKUP(E67,'Customer '!A:D,4,0)</f>
        <v>25% desposit, 75% period shipment</v>
      </c>
      <c r="Q67" s="178" t="s">
        <v>51</v>
      </c>
      <c r="R67" s="178" t="s">
        <v>335</v>
      </c>
      <c r="S67" s="178">
        <v>12</v>
      </c>
      <c r="T67" s="184">
        <v>3466407</v>
      </c>
      <c r="U67" s="184">
        <v>1155469</v>
      </c>
      <c r="V67" s="184" t="s">
        <v>332</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6" hidden="1">
      <c r="A68" s="191" t="str">
        <f t="shared" ref="A68:A108" si="7">H68&amp;C68</f>
        <v>2026-FLEETWOOD -W-HOTEL-LAS-VEGASNPI</v>
      </c>
      <c r="B68" s="178" t="str">
        <f>VLOOKUP(E68,'Customer '!A:C,3,0)</f>
        <v>NON RH</v>
      </c>
      <c r="C68" s="178" t="s">
        <v>267</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272</v>
      </c>
      <c r="L68" s="180" t="s">
        <v>301</v>
      </c>
      <c r="M68" s="182">
        <v>45939</v>
      </c>
      <c r="N68" s="183"/>
      <c r="O68" s="181"/>
      <c r="P68" s="183" t="str">
        <f>VLOOKUP(E68,'Customer '!A:D,4,0)</f>
        <v>25% desposit, 75% period shipment</v>
      </c>
      <c r="Q68" s="178" t="s">
        <v>51</v>
      </c>
      <c r="R68" s="178" t="s">
        <v>335</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6" hidden="1">
      <c r="A69" s="191" t="str">
        <f t="shared" si="7"/>
        <v>2026-FLEETWOOD -W-HOTEL-LAS-VEGASNPI</v>
      </c>
      <c r="B69" s="178" t="str">
        <f>VLOOKUP(E69,'Customer '!A:C,3,0)</f>
        <v>NON RH</v>
      </c>
      <c r="C69" s="178" t="s">
        <v>267</v>
      </c>
      <c r="D69" s="178" t="s">
        <v>164</v>
      </c>
      <c r="E69" s="179" t="s">
        <v>98</v>
      </c>
      <c r="F69" s="179" t="str">
        <f>VLOOKUP(E69,'Customer '!A:B,2,0)</f>
        <v xml:space="preserve">FLEETWOOD </v>
      </c>
      <c r="G69" s="178" t="s">
        <v>188</v>
      </c>
      <c r="H69" s="178" t="str">
        <f t="shared" si="8"/>
        <v>2026-FLEETWOOD -W-HOTEL-LAS-VEGAS</v>
      </c>
      <c r="I69" s="178">
        <v>0</v>
      </c>
      <c r="J69" s="180" t="s">
        <v>284</v>
      </c>
      <c r="K69" s="181" t="s">
        <v>272</v>
      </c>
      <c r="L69" s="180" t="s">
        <v>301</v>
      </c>
      <c r="M69" s="182">
        <v>45939</v>
      </c>
      <c r="N69" s="183"/>
      <c r="O69" s="181"/>
      <c r="P69" s="183" t="str">
        <f>VLOOKUP(E69,'Customer '!A:D,4,0)</f>
        <v>25% desposit, 75% period shipment</v>
      </c>
      <c r="Q69" s="178" t="s">
        <v>51</v>
      </c>
      <c r="R69" s="178" t="s">
        <v>335</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6" hidden="1">
      <c r="A70" s="191" t="str">
        <f t="shared" si="7"/>
        <v>2026-L&amp;S-HARD ROCK SAN JUANNPD</v>
      </c>
      <c r="B70" s="178" t="str">
        <f>VLOOKUP(E70,'Customer '!A:C,3,0)</f>
        <v>NON RH</v>
      </c>
      <c r="C70" s="178" t="s">
        <v>327</v>
      </c>
      <c r="D70" s="178" t="s">
        <v>341</v>
      </c>
      <c r="E70" s="179" t="s">
        <v>82</v>
      </c>
      <c r="F70" s="179" t="str">
        <f>VLOOKUP(E70,'Customer '!A:B,2,0)</f>
        <v>L&amp;S</v>
      </c>
      <c r="G70" s="178" t="s">
        <v>191</v>
      </c>
      <c r="H70" s="178" t="str">
        <f t="shared" si="8"/>
        <v>2026-L&amp;S-HARD ROCK SAN JUAN</v>
      </c>
      <c r="I70" s="178">
        <v>1</v>
      </c>
      <c r="J70" s="180" t="s">
        <v>310</v>
      </c>
      <c r="K70" s="181" t="s">
        <v>272</v>
      </c>
      <c r="L70" s="180" t="s">
        <v>354</v>
      </c>
      <c r="M70" s="182">
        <v>46141</v>
      </c>
      <c r="N70" s="183">
        <v>46070</v>
      </c>
      <c r="O70" s="181"/>
      <c r="P70" s="183" t="str">
        <f>VLOOKUP(E70,'Customer '!A:D,4,0)</f>
        <v>50% deposit, 50% prior shipment</v>
      </c>
      <c r="Q70" s="178" t="s">
        <v>51</v>
      </c>
      <c r="R70" s="178" t="s">
        <v>373</v>
      </c>
      <c r="S70" s="178">
        <v>7</v>
      </c>
      <c r="T70" s="184">
        <v>6614.04</v>
      </c>
      <c r="U70" s="184">
        <v>6614.04</v>
      </c>
      <c r="V70" s="184" t="s">
        <v>279</v>
      </c>
      <c r="W70" s="185">
        <v>2026</v>
      </c>
      <c r="X70" s="183" t="s">
        <v>946</v>
      </c>
      <c r="Y70" s="183"/>
      <c r="Z70" s="183" t="s">
        <v>946</v>
      </c>
      <c r="AA70" s="183"/>
      <c r="AB70" s="183"/>
      <c r="AC70" s="183"/>
      <c r="AD70" s="180" t="s">
        <v>304</v>
      </c>
      <c r="AE70" s="181"/>
      <c r="AF70" s="180" t="s">
        <v>322</v>
      </c>
      <c r="AG70" s="181"/>
      <c r="AH70" s="180" t="s">
        <v>304</v>
      </c>
      <c r="AI70" s="181"/>
      <c r="AJ70" s="180" t="s">
        <v>322</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6" hidden="1">
      <c r="A71" s="191" t="str">
        <f t="shared" si="7"/>
        <v>2026-L&amp;S-HARD ROCK SAN JUANNPI</v>
      </c>
      <c r="B71" s="178" t="str">
        <f>VLOOKUP(E71,'Customer '!A:C,3,0)</f>
        <v>NON RH</v>
      </c>
      <c r="C71" s="178" t="s">
        <v>267</v>
      </c>
      <c r="D71" s="178" t="s">
        <v>341</v>
      </c>
      <c r="E71" s="179" t="s">
        <v>82</v>
      </c>
      <c r="F71" s="179" t="str">
        <f>VLOOKUP(E71,'Customer '!A:B,2,0)</f>
        <v>L&amp;S</v>
      </c>
      <c r="G71" s="178" t="s">
        <v>191</v>
      </c>
      <c r="H71" s="178" t="str">
        <f t="shared" si="8"/>
        <v>2026-L&amp;S-HARD ROCK SAN JUAN</v>
      </c>
      <c r="I71" s="178">
        <v>1</v>
      </c>
      <c r="J71" s="180" t="s">
        <v>284</v>
      </c>
      <c r="K71" s="181" t="s">
        <v>272</v>
      </c>
      <c r="L71" s="180" t="s">
        <v>354</v>
      </c>
      <c r="M71" s="182"/>
      <c r="N71" s="183"/>
      <c r="O71" s="181"/>
      <c r="P71" s="183" t="str">
        <f>VLOOKUP(E71,'Customer '!A:D,4,0)</f>
        <v>50% deposit, 50% prior shipment</v>
      </c>
      <c r="Q71" s="178" t="s">
        <v>51</v>
      </c>
      <c r="R71" s="178" t="s">
        <v>373</v>
      </c>
      <c r="S71" s="178">
        <v>5</v>
      </c>
      <c r="T71" s="184">
        <v>1500000</v>
      </c>
      <c r="U71" s="184">
        <v>1500000</v>
      </c>
      <c r="V71" s="184" t="s">
        <v>319</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6">
      <c r="A72" s="191" t="str">
        <f t="shared" si="7"/>
        <v>2026-SPECTRUM-OTMB VANITYNPD</v>
      </c>
      <c r="B72" s="178" t="str">
        <f>VLOOKUP(E72,'Customer '!A:C,3,0)</f>
        <v>NON RH</v>
      </c>
      <c r="C72" s="178" t="s">
        <v>327</v>
      </c>
      <c r="D72" s="178" t="s">
        <v>298</v>
      </c>
      <c r="E72" s="178" t="s">
        <v>176</v>
      </c>
      <c r="F72" s="179" t="str">
        <f>VLOOKUP(E72,'Customer '!A:B,2,0)</f>
        <v>SPECTRUM</v>
      </c>
      <c r="G72" s="178" t="s">
        <v>375</v>
      </c>
      <c r="H72" s="178" t="str">
        <f t="shared" si="8"/>
        <v>2026-SPECTRUM-OTMB VANITY</v>
      </c>
      <c r="I72" s="178">
        <v>1</v>
      </c>
      <c r="J72" s="180" t="s">
        <v>310</v>
      </c>
      <c r="K72" s="181" t="s">
        <v>272</v>
      </c>
      <c r="L72" s="180" t="s">
        <v>317</v>
      </c>
      <c r="M72" s="182">
        <v>46091</v>
      </c>
      <c r="N72" s="183">
        <v>46099</v>
      </c>
      <c r="O72" s="181"/>
      <c r="P72" s="183" t="str">
        <f>VLOOKUP(E72,'Customer '!A:D,4,0)</f>
        <v>50% deposit, 50% prior shipment</v>
      </c>
      <c r="Q72" s="178" t="s">
        <v>51</v>
      </c>
      <c r="R72" s="178" t="s">
        <v>329</v>
      </c>
      <c r="S72" s="178">
        <v>4</v>
      </c>
      <c r="T72" s="184">
        <v>4027.4399999999996</v>
      </c>
      <c r="U72" s="184">
        <v>3273</v>
      </c>
      <c r="V72" s="184" t="s">
        <v>276</v>
      </c>
      <c r="W72" s="185">
        <v>2026</v>
      </c>
      <c r="X72" s="183" t="s">
        <v>292</v>
      </c>
      <c r="Y72" s="183"/>
      <c r="Z72" s="183" t="s">
        <v>946</v>
      </c>
      <c r="AA72" s="183"/>
      <c r="AB72" s="183"/>
      <c r="AC72" s="183"/>
      <c r="AD72" s="180" t="s">
        <v>322</v>
      </c>
      <c r="AE72" s="181"/>
      <c r="AF72" s="180" t="s">
        <v>322</v>
      </c>
      <c r="AG72" s="181"/>
      <c r="AH72" s="180" t="s">
        <v>73</v>
      </c>
      <c r="AI72" s="181"/>
      <c r="AJ72" s="180" t="s">
        <v>322</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6">
      <c r="A73" s="191" t="str">
        <f t="shared" si="7"/>
        <v>2026-SPECTRUM-OTMB VANITYNPI</v>
      </c>
      <c r="B73" s="178" t="str">
        <f>VLOOKUP(E73,'Customer '!A:C,3,0)</f>
        <v>NON RH</v>
      </c>
      <c r="C73" s="178" t="s">
        <v>267</v>
      </c>
      <c r="D73" s="178" t="s">
        <v>298</v>
      </c>
      <c r="E73" s="178" t="s">
        <v>176</v>
      </c>
      <c r="F73" s="179" t="str">
        <f>VLOOKUP(E73,'Customer '!A:B,2,0)</f>
        <v>SPECTRUM</v>
      </c>
      <c r="G73" s="178" t="s">
        <v>375</v>
      </c>
      <c r="H73" s="178" t="str">
        <f t="shared" si="8"/>
        <v>2026-SPECTRUM-OTMB VANITY</v>
      </c>
      <c r="I73" s="178">
        <v>1</v>
      </c>
      <c r="J73" s="180" t="s">
        <v>284</v>
      </c>
      <c r="K73" s="181" t="s">
        <v>272</v>
      </c>
      <c r="L73" s="180" t="s">
        <v>380</v>
      </c>
      <c r="M73" s="182"/>
      <c r="N73" s="183" t="s">
        <v>292</v>
      </c>
      <c r="O73" s="181"/>
      <c r="P73" s="183" t="str">
        <f>VLOOKUP(E73,'Customer '!A:D,4,0)</f>
        <v>50% deposit, 50% prior shipment</v>
      </c>
      <c r="Q73" s="178" t="s">
        <v>51</v>
      </c>
      <c r="R73" s="178" t="s">
        <v>329</v>
      </c>
      <c r="S73" s="178">
        <v>4</v>
      </c>
      <c r="T73" s="184">
        <v>179782</v>
      </c>
      <c r="U73" s="184">
        <v>179782</v>
      </c>
      <c r="V73" s="184" t="s">
        <v>303</v>
      </c>
      <c r="W73" s="185">
        <v>2026</v>
      </c>
      <c r="X73" s="183" t="s">
        <v>292</v>
      </c>
      <c r="Y73" s="183"/>
      <c r="Z73" s="183"/>
      <c r="AA73" s="183"/>
      <c r="AB73" s="183"/>
      <c r="AC73" s="183"/>
      <c r="AD73" s="180" t="s">
        <v>344</v>
      </c>
      <c r="AE73" s="181"/>
      <c r="AF73" s="180" t="s">
        <v>344</v>
      </c>
      <c r="AG73" s="181"/>
      <c r="AH73" s="180" t="s">
        <v>73</v>
      </c>
      <c r="AI73" s="181"/>
      <c r="AJ73" s="180" t="s">
        <v>344</v>
      </c>
      <c r="AK73" s="181"/>
      <c r="AL73" s="180" t="s">
        <v>344</v>
      </c>
      <c r="AM73" s="181"/>
      <c r="AN73" s="180" t="s">
        <v>344</v>
      </c>
      <c r="AO73" s="181"/>
      <c r="AP73" s="180" t="s">
        <v>344</v>
      </c>
      <c r="AQ73" s="181"/>
      <c r="AR73" s="186"/>
      <c r="AS73" s="187"/>
      <c r="AT73" s="186"/>
      <c r="AU73" s="187"/>
      <c r="AV73" s="186"/>
      <c r="AW73" s="187"/>
      <c r="AX73" s="186"/>
      <c r="AY73" s="187"/>
      <c r="AZ73" s="188" t="str">
        <f t="shared" si="6"/>
        <v>Active</v>
      </c>
      <c r="BA73" s="190"/>
    </row>
    <row r="74" spans="1:53" s="191" customFormat="1" ht="15.6" hidden="1">
      <c r="A74" s="191" t="str">
        <f t="shared" si="7"/>
        <v>2026-AYALA-KHOBAR HILTON CANOPY HOTELNPD</v>
      </c>
      <c r="B74" s="178" t="str">
        <f>VLOOKUP(E74,'Customer '!A:C,3,0)</f>
        <v>NON RH</v>
      </c>
      <c r="C74" s="178" t="s">
        <v>327</v>
      </c>
      <c r="D74" s="178" t="s">
        <v>341</v>
      </c>
      <c r="E74" s="178" t="s">
        <v>376</v>
      </c>
      <c r="F74" s="179" t="str">
        <f>VLOOKUP(E74,'Customer '!A:B,2,0)</f>
        <v>AYALA</v>
      </c>
      <c r="G74" s="178" t="s">
        <v>377</v>
      </c>
      <c r="H74" s="178" t="str">
        <f t="shared" si="8"/>
        <v>2026-AYALA-KHOBAR HILTON CANOPY HOTEL</v>
      </c>
      <c r="I74" s="178">
        <v>1</v>
      </c>
      <c r="J74" s="180" t="s">
        <v>316</v>
      </c>
      <c r="K74" s="181" t="s">
        <v>272</v>
      </c>
      <c r="L74" s="180" t="s">
        <v>285</v>
      </c>
      <c r="M74" s="182">
        <v>46156</v>
      </c>
      <c r="N74" s="183"/>
      <c r="O74" s="181"/>
      <c r="P74" s="183" t="e">
        <f>VLOOKUP(E74,'Customer '!A:D,4,0)</f>
        <v>#N/A</v>
      </c>
      <c r="Q74" s="178" t="s">
        <v>132</v>
      </c>
      <c r="R74" s="178" t="s">
        <v>355</v>
      </c>
      <c r="S74" s="178"/>
      <c r="T74" s="184">
        <v>7901.24</v>
      </c>
      <c r="U74" s="184">
        <v>7901.24</v>
      </c>
      <c r="V74" s="184" t="s">
        <v>149</v>
      </c>
      <c r="W74" s="185">
        <v>2026</v>
      </c>
      <c r="X74" s="183">
        <v>46241</v>
      </c>
      <c r="Y74" s="183"/>
      <c r="Z74" s="183"/>
      <c r="AA74" s="183"/>
      <c r="AB74" s="183">
        <v>46241</v>
      </c>
      <c r="AC74" s="183">
        <v>46241</v>
      </c>
      <c r="AD74" s="180" t="s">
        <v>344</v>
      </c>
      <c r="AE74" s="181"/>
      <c r="AF74" s="180" t="s">
        <v>344</v>
      </c>
      <c r="AG74" s="181"/>
      <c r="AH74" s="180" t="s">
        <v>344</v>
      </c>
      <c r="AI74" s="181"/>
      <c r="AJ74" s="180" t="s">
        <v>344</v>
      </c>
      <c r="AK74" s="181"/>
      <c r="AL74" s="180" t="s">
        <v>344</v>
      </c>
      <c r="AM74" s="181"/>
      <c r="AN74" s="180" t="s">
        <v>344</v>
      </c>
      <c r="AO74" s="181"/>
      <c r="AP74" s="180" t="s">
        <v>344</v>
      </c>
      <c r="AQ74" s="181"/>
      <c r="AR74" s="186"/>
      <c r="AS74" s="187"/>
      <c r="AT74" s="186"/>
      <c r="AU74" s="187"/>
      <c r="AV74" s="186"/>
      <c r="AW74" s="187"/>
      <c r="AX74" s="186"/>
      <c r="AY74" s="187"/>
      <c r="AZ74" s="188" t="str">
        <f t="shared" si="6"/>
        <v>Active</v>
      </c>
      <c r="BA74" s="190"/>
    </row>
    <row r="75" spans="1:53" s="191" customFormat="1" ht="15.6" hidden="1">
      <c r="A75" s="191" t="str">
        <f t="shared" si="7"/>
        <v>2026-BENJAMIN-HACIENDA HOTEL LISBON PORTUGAL NPI</v>
      </c>
      <c r="B75" s="178" t="str">
        <f>VLOOKUP(E75,'Customer '!A:C,3,0)</f>
        <v>NON RH</v>
      </c>
      <c r="C75" s="178" t="s">
        <v>267</v>
      </c>
      <c r="D75" s="178" t="s">
        <v>149</v>
      </c>
      <c r="E75" s="178" t="s">
        <v>378</v>
      </c>
      <c r="F75" s="179" t="str">
        <f>VLOOKUP(E75,'Customer '!A:B,2,0)</f>
        <v>BENJAMIN</v>
      </c>
      <c r="G75" s="178" t="s">
        <v>379</v>
      </c>
      <c r="H75" s="178" t="str">
        <f t="shared" si="8"/>
        <v xml:space="preserve">2026-BENJAMIN-HACIENDA HOTEL LISBON PORTUGAL </v>
      </c>
      <c r="I75" s="178">
        <v>1</v>
      </c>
      <c r="J75" s="180" t="s">
        <v>284</v>
      </c>
      <c r="K75" s="181" t="s">
        <v>272</v>
      </c>
      <c r="L75" s="180" t="s">
        <v>285</v>
      </c>
      <c r="M75" s="182"/>
      <c r="N75" s="183"/>
      <c r="O75" s="181"/>
      <c r="P75" s="183" t="e">
        <f>VLOOKUP(E75,'Customer '!A:D,4,0)</f>
        <v>#N/A</v>
      </c>
      <c r="Q75" s="178" t="s">
        <v>147</v>
      </c>
      <c r="R75" s="178" t="s">
        <v>314</v>
      </c>
      <c r="S75" s="178"/>
      <c r="T75" s="184">
        <v>596794</v>
      </c>
      <c r="U75" s="184">
        <v>596794</v>
      </c>
      <c r="V75" s="184" t="s">
        <v>319</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6" hidden="1">
      <c r="A76" s="191" t="str">
        <f t="shared" si="7"/>
        <v>2026-RH-FOX HARBORNPI</v>
      </c>
      <c r="B76" s="178" t="str">
        <f>VLOOKUP(E76,'Customer '!A:C,3,0)</f>
        <v>RH</v>
      </c>
      <c r="C76" s="178" t="s">
        <v>267</v>
      </c>
      <c r="D76" s="178" t="s">
        <v>271</v>
      </c>
      <c r="E76" s="179" t="s">
        <v>61</v>
      </c>
      <c r="F76" s="179" t="str">
        <f>VLOOKUP(E76,'Customer '!A:B,2,0)</f>
        <v>RH</v>
      </c>
      <c r="G76" s="178" t="s">
        <v>103</v>
      </c>
      <c r="H76" s="178" t="str">
        <f t="shared" si="8"/>
        <v>2026-RH-FOX HARBOR</v>
      </c>
      <c r="I76" s="178">
        <v>1</v>
      </c>
      <c r="J76" s="180" t="s">
        <v>271</v>
      </c>
      <c r="K76" s="181" t="s">
        <v>272</v>
      </c>
      <c r="L76" s="180" t="s">
        <v>273</v>
      </c>
      <c r="M76" s="182">
        <v>45917</v>
      </c>
      <c r="N76" s="183"/>
      <c r="O76" s="181"/>
      <c r="P76" s="183" t="e">
        <f>VLOOKUP(E76,'Customer '!A:D,4,0)</f>
        <v>#N/A</v>
      </c>
      <c r="Q76" s="178"/>
      <c r="R76" s="178"/>
      <c r="S76" s="178">
        <v>26</v>
      </c>
      <c r="T76" s="184">
        <v>71837</v>
      </c>
      <c r="U76" s="184">
        <v>71837</v>
      </c>
      <c r="V76" s="184" t="s">
        <v>381</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6" hidden="1">
      <c r="A77" s="191" t="str">
        <f t="shared" si="7"/>
        <v>2026-HENDERSON-KNOX HENDERSONNPI</v>
      </c>
      <c r="B77" s="178" t="str">
        <f>VLOOKUP(E77,'Customer '!A:C,3,0)</f>
        <v>NON RH</v>
      </c>
      <c r="C77" s="178" t="s">
        <v>267</v>
      </c>
      <c r="D77" s="178" t="s">
        <v>306</v>
      </c>
      <c r="E77" s="178" t="s">
        <v>893</v>
      </c>
      <c r="F77" s="179" t="str">
        <f>VLOOKUP(E77,'Customer '!A:B,2,0)</f>
        <v>HENDERSON</v>
      </c>
      <c r="G77" s="178" t="s">
        <v>383</v>
      </c>
      <c r="H77" s="178" t="str">
        <f t="shared" si="8"/>
        <v>2026-HENDERSON-KNOX HENDERSON</v>
      </c>
      <c r="I77" s="178">
        <v>1</v>
      </c>
      <c r="J77" s="180" t="s">
        <v>316</v>
      </c>
      <c r="K77" s="181" t="s">
        <v>272</v>
      </c>
      <c r="L77" s="180" t="s">
        <v>317</v>
      </c>
      <c r="M77" s="182">
        <v>46128</v>
      </c>
      <c r="N77" s="183"/>
      <c r="O77" s="181"/>
      <c r="P77" s="183">
        <f>VLOOKUP(E77,'Customer '!A:D,4,0)</f>
        <v>0</v>
      </c>
      <c r="Q77" s="178" t="s">
        <v>51</v>
      </c>
      <c r="R77" s="178" t="s">
        <v>351</v>
      </c>
      <c r="S77" s="178">
        <v>41</v>
      </c>
      <c r="T77" s="184">
        <v>22198</v>
      </c>
      <c r="U77" s="184">
        <v>22198</v>
      </c>
      <c r="V77" s="184" t="s">
        <v>280</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6" hidden="1">
      <c r="A78" s="191" t="str">
        <f t="shared" si="7"/>
        <v>2026-TRIMA-JOIA TIERRA DEL SOLNPI</v>
      </c>
      <c r="B78" s="178" t="str">
        <f>VLOOKUP(E78,'Customer '!A:C,3,0)</f>
        <v>NON RH</v>
      </c>
      <c r="C78" s="178" t="s">
        <v>267</v>
      </c>
      <c r="D78" s="178" t="s">
        <v>149</v>
      </c>
      <c r="E78" s="178" t="s">
        <v>196</v>
      </c>
      <c r="F78" s="179" t="str">
        <f>VLOOKUP(E78,'Customer '!A:B,2,0)</f>
        <v>TRIMA</v>
      </c>
      <c r="G78" s="178" t="s">
        <v>384</v>
      </c>
      <c r="H78" s="178" t="str">
        <f t="shared" si="8"/>
        <v>2026-TRIMA-JOIA TIERRA DEL SOL</v>
      </c>
      <c r="I78" s="178">
        <v>0</v>
      </c>
      <c r="J78" s="180" t="s">
        <v>284</v>
      </c>
      <c r="K78" s="181" t="s">
        <v>272</v>
      </c>
      <c r="L78" s="180" t="s">
        <v>285</v>
      </c>
      <c r="M78" s="182"/>
      <c r="N78" s="183"/>
      <c r="O78" s="181"/>
      <c r="P78" s="183" t="str">
        <f>VLOOKUP(E78,'Customer '!A:D,4,0)</f>
        <v>50% deposit, 50% prior shipment</v>
      </c>
      <c r="Q78" s="178" t="s">
        <v>385</v>
      </c>
      <c r="R78" s="178" t="s">
        <v>386</v>
      </c>
      <c r="S78" s="178"/>
      <c r="T78" s="184">
        <v>1131814</v>
      </c>
      <c r="U78" s="184">
        <v>1131814</v>
      </c>
      <c r="V78" s="184" t="s">
        <v>319</v>
      </c>
      <c r="W78" s="185">
        <v>2027</v>
      </c>
      <c r="X78" s="183"/>
      <c r="Y78" s="183"/>
      <c r="Z78" s="183"/>
      <c r="AA78" s="183"/>
      <c r="AB78" s="183"/>
      <c r="AC78" s="183"/>
      <c r="AD78" s="180" t="s">
        <v>344</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6" hidden="1">
      <c r="A79" s="191" t="str">
        <f t="shared" si="7"/>
        <v>2026-TRIMA-JOIA TIERRA DEL SOLNPI</v>
      </c>
      <c r="B79" s="178" t="str">
        <f>VLOOKUP(E79,'Customer '!A:C,3,0)</f>
        <v>NON RH</v>
      </c>
      <c r="C79" s="178" t="s">
        <v>267</v>
      </c>
      <c r="D79" s="178" t="s">
        <v>149</v>
      </c>
      <c r="E79" s="178" t="s">
        <v>196</v>
      </c>
      <c r="F79" s="179" t="str">
        <f>VLOOKUP(E79,'Customer '!A:B,2,0)</f>
        <v>TRIMA</v>
      </c>
      <c r="G79" s="178" t="s">
        <v>384</v>
      </c>
      <c r="H79" s="178" t="str">
        <f t="shared" si="8"/>
        <v>2026-TRIMA-JOIA TIERRA DEL SOL</v>
      </c>
      <c r="I79" s="178">
        <v>1</v>
      </c>
      <c r="J79" s="180" t="s">
        <v>284</v>
      </c>
      <c r="K79" s="181" t="s">
        <v>272</v>
      </c>
      <c r="L79" s="180" t="s">
        <v>285</v>
      </c>
      <c r="M79" s="182"/>
      <c r="N79" s="183"/>
      <c r="O79" s="181"/>
      <c r="P79" s="183" t="str">
        <f>VLOOKUP(E79,'Customer '!A:D,4,0)</f>
        <v>50% deposit, 50% prior shipment</v>
      </c>
      <c r="Q79" s="178" t="s">
        <v>385</v>
      </c>
      <c r="R79" s="178" t="s">
        <v>386</v>
      </c>
      <c r="S79" s="178"/>
      <c r="T79" s="184">
        <v>1131814</v>
      </c>
      <c r="U79" s="184">
        <v>1131814</v>
      </c>
      <c r="V79" s="184" t="s">
        <v>346</v>
      </c>
      <c r="W79" s="185">
        <v>2027</v>
      </c>
      <c r="X79" s="183"/>
      <c r="Y79" s="183"/>
      <c r="Z79" s="183"/>
      <c r="AA79" s="183"/>
      <c r="AB79" s="183"/>
      <c r="AC79" s="183"/>
      <c r="AD79" s="180" t="s">
        <v>344</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6" hidden="1">
      <c r="A80" s="191" t="str">
        <f t="shared" si="7"/>
        <v>2026-RH-RED SEANPI</v>
      </c>
      <c r="B80" s="178" t="str">
        <f>VLOOKUP(E80,'Customer '!A:C,3,0)</f>
        <v>RH</v>
      </c>
      <c r="C80" s="178" t="s">
        <v>267</v>
      </c>
      <c r="D80" s="178" t="s">
        <v>149</v>
      </c>
      <c r="E80" s="178" t="s">
        <v>61</v>
      </c>
      <c r="F80" s="179" t="str">
        <f>VLOOKUP(E80,'Customer '!A:B,2,0)</f>
        <v>RH</v>
      </c>
      <c r="G80" s="178" t="s">
        <v>387</v>
      </c>
      <c r="H80" s="178" t="str">
        <f t="shared" si="8"/>
        <v>2026-RH-RED SEA</v>
      </c>
      <c r="I80" s="178">
        <v>1</v>
      </c>
      <c r="J80" s="180" t="s">
        <v>284</v>
      </c>
      <c r="K80" s="181" t="s">
        <v>272</v>
      </c>
      <c r="L80" s="180" t="s">
        <v>285</v>
      </c>
      <c r="M80" s="182"/>
      <c r="N80" s="183"/>
      <c r="O80" s="181"/>
      <c r="P80" s="183" t="e">
        <f>VLOOKUP(E80,'Customer '!A:D,4,0)</f>
        <v>#N/A</v>
      </c>
      <c r="Q80" s="178"/>
      <c r="R80" s="178"/>
      <c r="S80" s="178"/>
      <c r="T80" s="184">
        <v>1000000</v>
      </c>
      <c r="U80" s="184">
        <v>1000000</v>
      </c>
      <c r="V80" s="184" t="s">
        <v>319</v>
      </c>
      <c r="W80" s="185">
        <v>2027</v>
      </c>
      <c r="X80" s="183"/>
      <c r="Y80" s="183"/>
      <c r="Z80" s="183"/>
      <c r="AA80" s="183"/>
      <c r="AB80" s="183"/>
      <c r="AC80" s="183"/>
      <c r="AD80" s="180" t="s">
        <v>344</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6" hidden="1">
      <c r="A81" s="191" t="str">
        <f t="shared" si="7"/>
        <v>2026-RH-VICEROY SUGAR BEACH - ASH WOOD VERSIONNPI</v>
      </c>
      <c r="B81" s="178" t="str">
        <f>VLOOKUP(E81,'Customer '!A:C,3,0)</f>
        <v>RH</v>
      </c>
      <c r="C81" s="178" t="s">
        <v>267</v>
      </c>
      <c r="D81" s="178" t="s">
        <v>164</v>
      </c>
      <c r="E81" s="178" t="s">
        <v>61</v>
      </c>
      <c r="F81" s="179" t="str">
        <f>VLOOKUP(E81,'Customer '!A:B,2,0)</f>
        <v>RH</v>
      </c>
      <c r="G81" s="178" t="s">
        <v>388</v>
      </c>
      <c r="H81" s="178" t="str">
        <f t="shared" si="8"/>
        <v>2026-RH-VICEROY SUGAR BEACH - ASH WOOD VERSION</v>
      </c>
      <c r="I81" s="178">
        <v>1</v>
      </c>
      <c r="J81" s="180" t="s">
        <v>310</v>
      </c>
      <c r="K81" s="181" t="s">
        <v>272</v>
      </c>
      <c r="L81" s="180" t="s">
        <v>354</v>
      </c>
      <c r="M81" s="182">
        <v>46104</v>
      </c>
      <c r="N81" s="183">
        <v>46118</v>
      </c>
      <c r="O81" s="181"/>
      <c r="P81" s="183" t="e">
        <f>VLOOKUP(E81,'Customer '!A:D,4,0)</f>
        <v>#N/A</v>
      </c>
      <c r="Q81" s="178" t="s">
        <v>947</v>
      </c>
      <c r="R81" s="178" t="s">
        <v>390</v>
      </c>
      <c r="S81" s="178">
        <v>18</v>
      </c>
      <c r="T81" s="184">
        <v>157676</v>
      </c>
      <c r="U81" s="209">
        <v>157676</v>
      </c>
      <c r="V81" s="184" t="s">
        <v>297</v>
      </c>
      <c r="W81" s="185">
        <v>2026</v>
      </c>
      <c r="X81" s="183" t="s">
        <v>948</v>
      </c>
      <c r="Y81" s="183"/>
      <c r="Z81" s="183" t="s">
        <v>800</v>
      </c>
      <c r="AA81" s="183"/>
      <c r="AB81" s="183" t="s">
        <v>800</v>
      </c>
      <c r="AC81" s="183" t="s">
        <v>800</v>
      </c>
      <c r="AD81" s="180" t="s">
        <v>322</v>
      </c>
      <c r="AE81" s="181"/>
      <c r="AF81" s="180" t="s">
        <v>322</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6" hidden="1">
      <c r="A82" s="191" t="str">
        <f t="shared" si="7"/>
        <v>2026-L&amp;S-SILVERSANDS GRAND ANSENPI</v>
      </c>
      <c r="B82" s="178" t="str">
        <f>VLOOKUP(E82,'Customer '!A:C,3,0)</f>
        <v>NON RH</v>
      </c>
      <c r="C82" s="178" t="s">
        <v>267</v>
      </c>
      <c r="D82" s="178" t="s">
        <v>341</v>
      </c>
      <c r="E82" s="178" t="s">
        <v>82</v>
      </c>
      <c r="F82" s="179" t="str">
        <f>VLOOKUP(E82,'Customer '!A:B,2,0)</f>
        <v>L&amp;S</v>
      </c>
      <c r="G82" s="178" t="s">
        <v>391</v>
      </c>
      <c r="H82" s="178" t="str">
        <f t="shared" si="8"/>
        <v>2026-L&amp;S-SILVERSANDS GRAND ANSE</v>
      </c>
      <c r="I82" s="178">
        <v>1</v>
      </c>
      <c r="J82" s="180" t="s">
        <v>392</v>
      </c>
      <c r="K82" s="181" t="s">
        <v>272</v>
      </c>
      <c r="L82" s="180" t="s">
        <v>285</v>
      </c>
      <c r="M82" s="182"/>
      <c r="N82" s="183"/>
      <c r="O82" s="181"/>
      <c r="P82" s="183" t="str">
        <f>VLOOKUP(E82,'Customer '!A:D,4,0)</f>
        <v>50% deposit, 50% prior shipment</v>
      </c>
      <c r="Q82" s="178" t="s">
        <v>393</v>
      </c>
      <c r="R82" s="178" t="s">
        <v>394</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6" hidden="1">
      <c r="A83" s="191" t="str">
        <f t="shared" si="7"/>
        <v>2026-SPECTRUM-PROJECT 550NPD</v>
      </c>
      <c r="B83" s="178" t="str">
        <f>VLOOKUP(E83,'Customer '!A:C,3,0)</f>
        <v>NON RH</v>
      </c>
      <c r="C83" s="178" t="s">
        <v>327</v>
      </c>
      <c r="D83" s="178" t="s">
        <v>164</v>
      </c>
      <c r="E83" s="178" t="s">
        <v>176</v>
      </c>
      <c r="F83" s="179" t="str">
        <f>VLOOKUP(E83,'Customer '!A:B,2,0)</f>
        <v>SPECTRUM</v>
      </c>
      <c r="G83" s="178" t="s">
        <v>395</v>
      </c>
      <c r="H83" s="178" t="str">
        <f t="shared" si="8"/>
        <v>2026-SPECTRUM-PROJECT 550</v>
      </c>
      <c r="I83" s="178">
        <v>1</v>
      </c>
      <c r="J83" s="180" t="s">
        <v>284</v>
      </c>
      <c r="K83" s="181" t="s">
        <v>272</v>
      </c>
      <c r="L83" s="180" t="s">
        <v>285</v>
      </c>
      <c r="M83" s="182">
        <v>46107</v>
      </c>
      <c r="N83" s="183"/>
      <c r="O83" s="181"/>
      <c r="P83" s="183" t="str">
        <f>VLOOKUP(E83,'Customer '!A:D,4,0)</f>
        <v>50% deposit, 50% prior shipment</v>
      </c>
      <c r="Q83" s="178" t="s">
        <v>51</v>
      </c>
      <c r="R83" s="178" t="s">
        <v>396</v>
      </c>
      <c r="S83" s="178">
        <v>3</v>
      </c>
      <c r="T83" s="184">
        <v>6938.58</v>
      </c>
      <c r="U83" s="184">
        <v>6938.58</v>
      </c>
      <c r="V83" s="184" t="s">
        <v>279</v>
      </c>
      <c r="W83" s="185">
        <v>2026</v>
      </c>
      <c r="X83" s="183"/>
      <c r="Y83" s="183"/>
      <c r="Z83" s="183" t="s">
        <v>927</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6" hidden="1">
      <c r="A84" s="191" t="str">
        <f t="shared" si="7"/>
        <v>2026-SPECTRUM-PROJECT 550NPI</v>
      </c>
      <c r="B84" s="178" t="str">
        <f>VLOOKUP(E84,'Customer '!A:C,3,0)</f>
        <v>NON RH</v>
      </c>
      <c r="C84" s="178" t="s">
        <v>267</v>
      </c>
      <c r="D84" s="178" t="s">
        <v>164</v>
      </c>
      <c r="E84" s="178" t="s">
        <v>176</v>
      </c>
      <c r="F84" s="179" t="str">
        <f>VLOOKUP(E84,'Customer '!A:B,2,0)</f>
        <v>SPECTRUM</v>
      </c>
      <c r="G84" s="178" t="s">
        <v>395</v>
      </c>
      <c r="H84" s="178" t="str">
        <f t="shared" si="8"/>
        <v>2026-SPECTRUM-PROJECT 550</v>
      </c>
      <c r="I84" s="178">
        <v>1</v>
      </c>
      <c r="J84" s="180" t="s">
        <v>284</v>
      </c>
      <c r="K84" s="181" t="s">
        <v>272</v>
      </c>
      <c r="L84" s="180" t="s">
        <v>285</v>
      </c>
      <c r="M84" s="182">
        <v>46107</v>
      </c>
      <c r="N84" s="183"/>
      <c r="O84" s="181"/>
      <c r="P84" s="183" t="str">
        <f>VLOOKUP(E84,'Customer '!A:D,4,0)</f>
        <v>50% deposit, 50% prior shipment</v>
      </c>
      <c r="Q84" s="178" t="s">
        <v>51</v>
      </c>
      <c r="R84" s="178" t="s">
        <v>396</v>
      </c>
      <c r="S84" s="178">
        <v>30</v>
      </c>
      <c r="T84" s="184">
        <v>361028.77</v>
      </c>
      <c r="U84" s="184">
        <v>361028.77</v>
      </c>
      <c r="V84" s="184" t="s">
        <v>312</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6">
      <c r="A85" s="191" t="str">
        <f t="shared" si="7"/>
        <v>2026-FLEETWOOD -AUBERGE HOUSTON MRNPD</v>
      </c>
      <c r="B85" s="178" t="str">
        <f>VLOOKUP(E85,'Customer '!A:C,3,0)</f>
        <v>NON RH</v>
      </c>
      <c r="C85" s="178" t="s">
        <v>327</v>
      </c>
      <c r="D85" s="178" t="s">
        <v>298</v>
      </c>
      <c r="E85" s="178" t="s">
        <v>98</v>
      </c>
      <c r="F85" s="179" t="str">
        <f>VLOOKUP(E85,'Customer '!A:B,2,0)</f>
        <v xml:space="preserve">FLEETWOOD </v>
      </c>
      <c r="G85" s="178" t="s">
        <v>398</v>
      </c>
      <c r="H85" s="178" t="str">
        <f t="shared" si="8"/>
        <v>2026-FLEETWOOD -AUBERGE HOUSTON MR</v>
      </c>
      <c r="I85" s="178">
        <v>1</v>
      </c>
      <c r="J85" s="180" t="s">
        <v>316</v>
      </c>
      <c r="K85" s="181" t="s">
        <v>272</v>
      </c>
      <c r="L85" s="180" t="s">
        <v>317</v>
      </c>
      <c r="M85" s="182">
        <v>46112</v>
      </c>
      <c r="N85" s="183">
        <v>46150</v>
      </c>
      <c r="O85" s="181"/>
      <c r="P85" s="183" t="str">
        <f>VLOOKUP(E85,'Customer '!A:D,4,0)</f>
        <v>25% desposit, 75% period shipment</v>
      </c>
      <c r="Q85" s="178" t="s">
        <v>51</v>
      </c>
      <c r="R85" s="178" t="s">
        <v>351</v>
      </c>
      <c r="S85" s="178">
        <v>4</v>
      </c>
      <c r="T85" s="184">
        <v>12609.460000000001</v>
      </c>
      <c r="U85" s="184">
        <v>15040.19</v>
      </c>
      <c r="V85" s="184" t="s">
        <v>280</v>
      </c>
      <c r="W85" s="185">
        <v>2026</v>
      </c>
      <c r="X85" s="183">
        <v>46223</v>
      </c>
      <c r="Y85" s="183"/>
      <c r="Z85" s="183" t="s">
        <v>945</v>
      </c>
      <c r="AA85" s="183"/>
      <c r="AB85" s="183"/>
      <c r="AC85" s="183"/>
      <c r="AD85" s="180" t="s">
        <v>322</v>
      </c>
      <c r="AE85" s="181"/>
      <c r="AF85" s="180" t="s">
        <v>344</v>
      </c>
      <c r="AG85" s="181"/>
      <c r="AH85" s="180" t="s">
        <v>322</v>
      </c>
      <c r="AI85" s="181"/>
      <c r="AJ85" s="180" t="s">
        <v>344</v>
      </c>
      <c r="AK85" s="181"/>
      <c r="AL85" s="180" t="s">
        <v>72</v>
      </c>
      <c r="AM85" s="181"/>
      <c r="AN85" s="180" t="s">
        <v>322</v>
      </c>
      <c r="AO85" s="181"/>
      <c r="AP85" s="180" t="s">
        <v>342</v>
      </c>
      <c r="AQ85" s="181"/>
      <c r="AR85" s="186"/>
      <c r="AS85" s="187"/>
      <c r="AT85" s="186"/>
      <c r="AU85" s="187"/>
      <c r="AV85" s="186"/>
      <c r="AW85" s="187"/>
      <c r="AX85" s="186"/>
      <c r="AY85" s="187"/>
      <c r="AZ85" s="188" t="str">
        <f t="shared" si="6"/>
        <v>Active</v>
      </c>
      <c r="BA85" s="189"/>
    </row>
    <row r="86" spans="1:53" s="191" customFormat="1" ht="15.6">
      <c r="B86" s="178" t="str">
        <f>VLOOKUP(E86,'Customer '!A:C,3,0)</f>
        <v>NON RH</v>
      </c>
      <c r="C86" s="178" t="s">
        <v>267</v>
      </c>
      <c r="D86" s="178" t="s">
        <v>298</v>
      </c>
      <c r="E86" s="178" t="s">
        <v>98</v>
      </c>
      <c r="F86" s="179" t="str">
        <f>VLOOKUP(E86,'Customer '!A:B,2,0)</f>
        <v xml:space="preserve">FLEETWOOD </v>
      </c>
      <c r="G86" s="178" t="s">
        <v>398</v>
      </c>
      <c r="H86" s="178" t="str">
        <f t="shared" si="8"/>
        <v>2026-FLEETWOOD -AUBERGE HOUSTON MR</v>
      </c>
      <c r="I86" s="178">
        <v>1</v>
      </c>
      <c r="J86" s="180" t="s">
        <v>284</v>
      </c>
      <c r="K86" s="181" t="s">
        <v>272</v>
      </c>
      <c r="L86" s="180" t="s">
        <v>285</v>
      </c>
      <c r="M86" s="182">
        <v>46158</v>
      </c>
      <c r="N86" s="183"/>
      <c r="O86" s="181"/>
      <c r="P86" s="183" t="str">
        <f>VLOOKUP(E86,'Customer '!A:D,4,0)</f>
        <v>25% desposit, 75% period shipment</v>
      </c>
      <c r="Q86" s="178" t="s">
        <v>51</v>
      </c>
      <c r="R86" s="178" t="s">
        <v>351</v>
      </c>
      <c r="S86" s="178">
        <v>16</v>
      </c>
      <c r="T86" s="208">
        <v>707023.48</v>
      </c>
      <c r="U86" s="208">
        <v>707023.48</v>
      </c>
      <c r="V86" s="184"/>
      <c r="W86" s="185"/>
      <c r="X86" s="183"/>
      <c r="Y86" s="183"/>
      <c r="Z86" s="183"/>
      <c r="AA86" s="183"/>
      <c r="AB86" s="183"/>
      <c r="AC86" s="183"/>
      <c r="AD86" s="180" t="s">
        <v>344</v>
      </c>
      <c r="AE86" s="181"/>
      <c r="AF86" s="180" t="s">
        <v>344</v>
      </c>
      <c r="AG86" s="181"/>
      <c r="AH86" s="180" t="s">
        <v>344</v>
      </c>
      <c r="AI86" s="181"/>
      <c r="AJ86" s="180" t="s">
        <v>344</v>
      </c>
      <c r="AK86" s="181"/>
      <c r="AL86" s="180" t="s">
        <v>344</v>
      </c>
      <c r="AM86" s="181"/>
      <c r="AN86" s="180" t="s">
        <v>344</v>
      </c>
      <c r="AO86" s="181"/>
      <c r="AP86" s="180" t="s">
        <v>344</v>
      </c>
      <c r="AQ86" s="181"/>
      <c r="AR86" s="186"/>
      <c r="AS86" s="187"/>
      <c r="AT86" s="186"/>
      <c r="AU86" s="187"/>
      <c r="AV86" s="186"/>
      <c r="AW86" s="187"/>
      <c r="AX86" s="186"/>
      <c r="AY86" s="187"/>
      <c r="AZ86" s="188"/>
      <c r="BA86" s="189"/>
    </row>
    <row r="87" spans="1:53" s="191" customFormat="1" ht="15.6" hidden="1">
      <c r="A87" s="191" t="str">
        <f t="shared" si="7"/>
        <v>2026-RH-AWH TOPNOTCHNPD</v>
      </c>
      <c r="B87" s="178" t="str">
        <f>VLOOKUP(E87,'Customer '!A:C,3,0)</f>
        <v>RH</v>
      </c>
      <c r="C87" s="178" t="s">
        <v>327</v>
      </c>
      <c r="D87" s="178" t="s">
        <v>164</v>
      </c>
      <c r="E87" s="178" t="s">
        <v>61</v>
      </c>
      <c r="F87" s="179" t="str">
        <f>VLOOKUP(E87,'Customer '!A:B,2,0)</f>
        <v>RH</v>
      </c>
      <c r="G87" s="178" t="s">
        <v>399</v>
      </c>
      <c r="H87" s="178" t="str">
        <f t="shared" si="8"/>
        <v>2026-RH-AWH TOPNOTCH</v>
      </c>
      <c r="I87" s="178">
        <v>1</v>
      </c>
      <c r="J87" s="180" t="s">
        <v>284</v>
      </c>
      <c r="K87" s="181" t="s">
        <v>272</v>
      </c>
      <c r="L87" s="180" t="s">
        <v>317</v>
      </c>
      <c r="M87" s="182">
        <v>46120</v>
      </c>
      <c r="N87" s="183"/>
      <c r="O87" s="181"/>
      <c r="P87" s="183" t="e">
        <f>VLOOKUP(E87,'Customer '!A:D,4,0)</f>
        <v>#N/A</v>
      </c>
      <c r="Q87" s="178" t="s">
        <v>51</v>
      </c>
      <c r="R87" s="178" t="s">
        <v>400</v>
      </c>
      <c r="S87" s="178">
        <v>17</v>
      </c>
      <c r="T87" s="184">
        <v>31219.099999999995</v>
      </c>
      <c r="U87" s="184">
        <v>31219.099999999995</v>
      </c>
      <c r="V87" s="184" t="s">
        <v>149</v>
      </c>
      <c r="W87" s="185">
        <v>2026</v>
      </c>
      <c r="X87" s="183"/>
      <c r="Y87" s="183"/>
      <c r="Z87" s="183"/>
      <c r="AA87" s="183"/>
      <c r="AB87" s="183"/>
      <c r="AC87" s="183"/>
      <c r="AD87" s="180" t="s">
        <v>322</v>
      </c>
      <c r="AE87" s="181"/>
      <c r="AF87" s="180" t="s">
        <v>304</v>
      </c>
      <c r="AG87" s="181"/>
      <c r="AH87" s="180" t="s">
        <v>344</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6" hidden="1">
      <c r="A88" s="191" t="str">
        <f t="shared" si="7"/>
        <v>2026-RH-AWH TOPNOTCHNPI</v>
      </c>
      <c r="B88" s="178" t="str">
        <f>VLOOKUP(E88,'Customer '!A:C,3,0)</f>
        <v>RH</v>
      </c>
      <c r="C88" s="178" t="s">
        <v>267</v>
      </c>
      <c r="D88" s="178" t="s">
        <v>164</v>
      </c>
      <c r="E88" s="178" t="s">
        <v>61</v>
      </c>
      <c r="F88" s="179" t="str">
        <f>VLOOKUP(E88,'Customer '!A:B,2,0)</f>
        <v>RH</v>
      </c>
      <c r="G88" s="178" t="s">
        <v>399</v>
      </c>
      <c r="H88" s="178" t="str">
        <f t="shared" si="8"/>
        <v>2026-RH-AWH TOPNOTCH</v>
      </c>
      <c r="I88" s="178">
        <v>1</v>
      </c>
      <c r="J88" s="180" t="s">
        <v>284</v>
      </c>
      <c r="K88" s="181" t="s">
        <v>272</v>
      </c>
      <c r="L88" s="180" t="s">
        <v>285</v>
      </c>
      <c r="M88" s="182">
        <v>46120</v>
      </c>
      <c r="N88" s="183"/>
      <c r="O88" s="181"/>
      <c r="P88" s="183" t="e">
        <f>VLOOKUP(E88,'Customer '!A:D,4,0)</f>
        <v>#N/A</v>
      </c>
      <c r="Q88" s="178" t="s">
        <v>51</v>
      </c>
      <c r="R88" s="178" t="s">
        <v>400</v>
      </c>
      <c r="S88" s="178">
        <v>17</v>
      </c>
      <c r="T88" s="184">
        <v>532175</v>
      </c>
      <c r="U88" s="184">
        <v>532175</v>
      </c>
      <c r="V88" s="184" t="s">
        <v>312</v>
      </c>
      <c r="W88" s="185">
        <v>2026</v>
      </c>
      <c r="X88" s="183"/>
      <c r="Y88" s="183"/>
      <c r="Z88" s="183"/>
      <c r="AA88" s="183"/>
      <c r="AB88" s="183"/>
      <c r="AC88" s="183"/>
      <c r="AD88" s="180" t="s">
        <v>322</v>
      </c>
      <c r="AE88" s="181"/>
      <c r="AF88" s="180" t="s">
        <v>304</v>
      </c>
      <c r="AG88" s="181"/>
      <c r="AH88" s="180" t="s">
        <v>344</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6" hidden="1">
      <c r="A89" s="191" t="str">
        <f t="shared" si="7"/>
        <v>2026-FLEETWOOD -SPANISH BAY CLUB NPI</v>
      </c>
      <c r="B89" s="178" t="str">
        <f>VLOOKUP(E89,'Customer '!A:C,3,0)</f>
        <v>NON RH</v>
      </c>
      <c r="C89" s="178" t="s">
        <v>267</v>
      </c>
      <c r="D89" s="178" t="s">
        <v>341</v>
      </c>
      <c r="E89" s="178" t="s">
        <v>98</v>
      </c>
      <c r="F89" s="179" t="str">
        <f>VLOOKUP(E89,'Customer '!A:B,2,0)</f>
        <v xml:space="preserve">FLEETWOOD </v>
      </c>
      <c r="G89" s="178" t="s">
        <v>401</v>
      </c>
      <c r="H89" s="178" t="str">
        <f t="shared" si="8"/>
        <v xml:space="preserve">2026-FLEETWOOD -SPANISH BAY CLUB </v>
      </c>
      <c r="I89" s="178">
        <v>1</v>
      </c>
      <c r="J89" s="180" t="s">
        <v>316</v>
      </c>
      <c r="K89" s="181" t="s">
        <v>272</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322</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6" hidden="1">
      <c r="A90" s="191" t="str">
        <f t="shared" si="7"/>
        <v>2026-COSMIC REALTY-250 FIFTH AVENUE HOTELNPI</v>
      </c>
      <c r="B90" s="178" t="str">
        <f>VLOOKUP(E90,'Customer '!A:C,3,0)</f>
        <v>NON RH</v>
      </c>
      <c r="C90" s="178" t="s">
        <v>267</v>
      </c>
      <c r="D90" s="178" t="s">
        <v>323</v>
      </c>
      <c r="E90" s="178" t="s">
        <v>48</v>
      </c>
      <c r="F90" s="179" t="str">
        <f>VLOOKUP(E90,'Customer '!A:B,2,0)</f>
        <v>COSMIC REALTY</v>
      </c>
      <c r="G90" s="178" t="s">
        <v>49</v>
      </c>
      <c r="H90" s="178" t="str">
        <f t="shared" si="8"/>
        <v>2026-COSMIC REALTY-250 FIFTH AVENUE HOTEL</v>
      </c>
      <c r="I90" s="178">
        <v>1</v>
      </c>
      <c r="J90" s="180" t="s">
        <v>271</v>
      </c>
      <c r="K90" s="181" t="s">
        <v>272</v>
      </c>
      <c r="L90" s="180" t="s">
        <v>273</v>
      </c>
      <c r="M90" s="182"/>
      <c r="N90" s="183"/>
      <c r="O90" s="181"/>
      <c r="P90" s="183" t="e">
        <f>VLOOKUP(E90,'Customer '!A:D,4,0)</f>
        <v>#N/A</v>
      </c>
      <c r="Q90" s="178" t="s">
        <v>51</v>
      </c>
      <c r="R90" s="178" t="s">
        <v>329</v>
      </c>
      <c r="S90" s="178">
        <v>17</v>
      </c>
      <c r="T90" s="184">
        <v>51127</v>
      </c>
      <c r="U90" s="184">
        <v>51127</v>
      </c>
      <c r="V90" s="184" t="s">
        <v>402</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6" hidden="1">
      <c r="A91" s="191" t="str">
        <f t="shared" si="7"/>
        <v>2026-FLEETWOOD -HWVP PHASE 2NPI</v>
      </c>
      <c r="B91" s="178" t="str">
        <f>VLOOKUP(E91,'Customer '!A:C,3,0)</f>
        <v>NON RH</v>
      </c>
      <c r="C91" s="178" t="s">
        <v>267</v>
      </c>
      <c r="D91" s="178" t="s">
        <v>271</v>
      </c>
      <c r="E91" s="178" t="s">
        <v>98</v>
      </c>
      <c r="F91" s="179" t="str">
        <f>VLOOKUP(E91,'Customer '!A:B,2,0)</f>
        <v xml:space="preserve">FLEETWOOD </v>
      </c>
      <c r="G91" s="178" t="s">
        <v>117</v>
      </c>
      <c r="H91" s="178" t="str">
        <f t="shared" si="8"/>
        <v>2026-FLEETWOOD -HWVP PHASE 2</v>
      </c>
      <c r="I91" s="178">
        <v>1</v>
      </c>
      <c r="J91" s="180" t="s">
        <v>271</v>
      </c>
      <c r="K91" s="181" t="s">
        <v>272</v>
      </c>
      <c r="L91" s="180" t="s">
        <v>273</v>
      </c>
      <c r="M91" s="182"/>
      <c r="N91" s="183"/>
      <c r="O91" s="181"/>
      <c r="P91" s="183" t="str">
        <f>VLOOKUP(E91,'Customer '!A:D,4,0)</f>
        <v>25% desposit, 75% period shipment</v>
      </c>
      <c r="Q91" s="178"/>
      <c r="R91" s="178"/>
      <c r="S91" s="178">
        <v>7</v>
      </c>
      <c r="T91" s="184">
        <v>1601</v>
      </c>
      <c r="U91" s="184">
        <v>1601</v>
      </c>
      <c r="V91" s="184" t="s">
        <v>381</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6" hidden="1">
      <c r="A92" s="191" t="str">
        <f t="shared" si="7"/>
        <v>2026-KD-KNOX DALLASNPI</v>
      </c>
      <c r="B92" s="178" t="str">
        <f>VLOOKUP(E92,'Customer '!A:C,3,0)</f>
        <v>NON RH</v>
      </c>
      <c r="C92" s="178" t="s">
        <v>267</v>
      </c>
      <c r="D92" s="178" t="s">
        <v>271</v>
      </c>
      <c r="E92" s="178" t="s">
        <v>122</v>
      </c>
      <c r="F92" s="179" t="str">
        <f>VLOOKUP(E92,'Customer '!A:B,2,0)</f>
        <v>KD</v>
      </c>
      <c r="G92" s="178" t="s">
        <v>123</v>
      </c>
      <c r="H92" s="178" t="str">
        <f t="shared" si="8"/>
        <v>2026-KD-KNOX DALLAS</v>
      </c>
      <c r="I92" s="178">
        <v>1</v>
      </c>
      <c r="J92" s="180" t="s">
        <v>271</v>
      </c>
      <c r="K92" s="181" t="s">
        <v>272</v>
      </c>
      <c r="L92" s="180" t="s">
        <v>273</v>
      </c>
      <c r="M92" s="182"/>
      <c r="N92" s="183"/>
      <c r="O92" s="181"/>
      <c r="P92" s="183" t="e">
        <f>VLOOKUP(E92,'Customer '!A:D,4,0)</f>
        <v>#N/A</v>
      </c>
      <c r="Q92" s="178"/>
      <c r="R92" s="178"/>
      <c r="S92" s="178">
        <v>30</v>
      </c>
      <c r="T92" s="184">
        <v>362480.93999999994</v>
      </c>
      <c r="U92" s="184">
        <v>362480.93999999994</v>
      </c>
      <c r="V92" s="184" t="s">
        <v>381</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6" hidden="1">
      <c r="A93" s="191" t="str">
        <f t="shared" si="7"/>
        <v>2026-KD-KNOX DALLASNPI</v>
      </c>
      <c r="B93" s="178" t="str">
        <f>VLOOKUP(E93,'Customer '!A:C,3,0)</f>
        <v>NON RH</v>
      </c>
      <c r="C93" s="178" t="s">
        <v>267</v>
      </c>
      <c r="D93" s="178" t="s">
        <v>271</v>
      </c>
      <c r="E93" s="178" t="s">
        <v>122</v>
      </c>
      <c r="F93" s="179" t="str">
        <f>VLOOKUP(E93,'Customer '!A:B,2,0)</f>
        <v>KD</v>
      </c>
      <c r="G93" s="178" t="s">
        <v>123</v>
      </c>
      <c r="H93" s="178" t="str">
        <f t="shared" si="8"/>
        <v>2026-KD-KNOX DALLAS</v>
      </c>
      <c r="I93" s="178">
        <v>1</v>
      </c>
      <c r="J93" s="180" t="s">
        <v>271</v>
      </c>
      <c r="K93" s="181" t="s">
        <v>272</v>
      </c>
      <c r="L93" s="180" t="s">
        <v>273</v>
      </c>
      <c r="M93" s="182"/>
      <c r="N93" s="183"/>
      <c r="O93" s="181"/>
      <c r="P93" s="183" t="e">
        <f>VLOOKUP(E93,'Customer '!A:D,4,0)</f>
        <v>#N/A</v>
      </c>
      <c r="Q93" s="178"/>
      <c r="R93" s="178"/>
      <c r="S93" s="178">
        <v>30</v>
      </c>
      <c r="T93" s="184">
        <v>33400</v>
      </c>
      <c r="U93" s="184">
        <v>33400</v>
      </c>
      <c r="V93" s="184" t="s">
        <v>402</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6" hidden="1">
      <c r="A94" s="191" t="str">
        <f t="shared" si="7"/>
        <v>2026-PLUS CORPORATION-SOHO HOUSE TOKYONPI</v>
      </c>
      <c r="B94" s="178" t="str">
        <f>VLOOKUP(E94,'Customer '!A:C,3,0)</f>
        <v>NON RH</v>
      </c>
      <c r="C94" s="178" t="s">
        <v>267</v>
      </c>
      <c r="D94" s="178" t="s">
        <v>271</v>
      </c>
      <c r="E94" s="178" t="s">
        <v>168</v>
      </c>
      <c r="F94" s="179" t="str">
        <f>VLOOKUP(E94,'Customer '!A:B,2,0)</f>
        <v>PLUS CORPORATION</v>
      </c>
      <c r="G94" s="178" t="s">
        <v>360</v>
      </c>
      <c r="H94" s="178" t="str">
        <f t="shared" si="8"/>
        <v>2026-PLUS CORPORATION-SOHO HOUSE TOKYO</v>
      </c>
      <c r="I94" s="178">
        <v>1</v>
      </c>
      <c r="J94" s="180" t="s">
        <v>271</v>
      </c>
      <c r="K94" s="181" t="s">
        <v>272</v>
      </c>
      <c r="L94" s="180" t="s">
        <v>273</v>
      </c>
      <c r="M94" s="182"/>
      <c r="N94" s="183"/>
      <c r="O94" s="181"/>
      <c r="P94" s="183" t="str">
        <f>VLOOKUP(E94,'Customer '!A:D,4,0)</f>
        <v>50% deposit, 50% prior shipment</v>
      </c>
      <c r="Q94" s="178"/>
      <c r="R94" s="178"/>
      <c r="S94" s="178">
        <v>48</v>
      </c>
      <c r="T94" s="184">
        <v>24407</v>
      </c>
      <c r="U94" s="184">
        <v>24407</v>
      </c>
      <c r="V94" s="184" t="s">
        <v>381</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6" hidden="1">
      <c r="A95" s="191" t="str">
        <f t="shared" si="7"/>
        <v>2026-PLUS CORPORATION-SOHO HOUSE TOKYONPI</v>
      </c>
      <c r="B95" s="178" t="str">
        <f>VLOOKUP(E95,'Customer '!A:C,3,0)</f>
        <v>NON RH</v>
      </c>
      <c r="C95" s="178" t="s">
        <v>267</v>
      </c>
      <c r="D95" s="178" t="s">
        <v>271</v>
      </c>
      <c r="E95" s="178" t="s">
        <v>168</v>
      </c>
      <c r="F95" s="179" t="str">
        <f>VLOOKUP(E95,'Customer '!A:B,2,0)</f>
        <v>PLUS CORPORATION</v>
      </c>
      <c r="G95" s="178" t="s">
        <v>360</v>
      </c>
      <c r="H95" s="178" t="str">
        <f t="shared" si="8"/>
        <v>2026-PLUS CORPORATION-SOHO HOUSE TOKYO</v>
      </c>
      <c r="I95" s="178">
        <v>1</v>
      </c>
      <c r="J95" s="180" t="s">
        <v>271</v>
      </c>
      <c r="K95" s="181" t="s">
        <v>272</v>
      </c>
      <c r="L95" s="180" t="s">
        <v>273</v>
      </c>
      <c r="M95" s="182"/>
      <c r="N95" s="183"/>
      <c r="O95" s="181"/>
      <c r="P95" s="183" t="str">
        <f>VLOOKUP(E95,'Customer '!A:D,4,0)</f>
        <v>50% deposit, 50% prior shipment</v>
      </c>
      <c r="Q95" s="178"/>
      <c r="R95" s="178"/>
      <c r="S95" s="178">
        <v>48</v>
      </c>
      <c r="T95" s="184">
        <v>80520</v>
      </c>
      <c r="U95" s="184">
        <v>80520</v>
      </c>
      <c r="V95" s="184" t="s">
        <v>402</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6" hidden="1">
      <c r="A96" s="191" t="str">
        <f t="shared" si="7"/>
        <v>2026-RH-RH BRANDYWISENPI</v>
      </c>
      <c r="B96" s="178" t="str">
        <f>VLOOKUP(E96,'Customer '!A:C,3,0)</f>
        <v>RH</v>
      </c>
      <c r="C96" s="178" t="s">
        <v>267</v>
      </c>
      <c r="D96" s="178" t="s">
        <v>271</v>
      </c>
      <c r="E96" s="178" t="s">
        <v>61</v>
      </c>
      <c r="F96" s="179" t="str">
        <f>VLOOKUP(E96,'Customer '!A:B,2,0)</f>
        <v>RH</v>
      </c>
      <c r="G96" s="178" t="s">
        <v>949</v>
      </c>
      <c r="H96" s="178" t="str">
        <f t="shared" si="8"/>
        <v>2026-RH-RH BRANDYWISE</v>
      </c>
      <c r="I96" s="178">
        <v>1</v>
      </c>
      <c r="J96" s="180" t="s">
        <v>271</v>
      </c>
      <c r="K96" s="181" t="s">
        <v>272</v>
      </c>
      <c r="L96" s="180" t="s">
        <v>273</v>
      </c>
      <c r="M96" s="182"/>
      <c r="N96" s="183"/>
      <c r="O96" s="181"/>
      <c r="P96" s="183" t="e">
        <f>VLOOKUP(E96,'Customer '!A:D,4,0)</f>
        <v>#N/A</v>
      </c>
      <c r="Q96" s="178"/>
      <c r="R96" s="178"/>
      <c r="S96" s="178">
        <v>2</v>
      </c>
      <c r="T96" s="184">
        <v>5432.2</v>
      </c>
      <c r="U96" s="184">
        <v>5432.2</v>
      </c>
      <c r="V96" s="184" t="s">
        <v>381</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6">
      <c r="A97" s="191" t="str">
        <f t="shared" si="7"/>
        <v>2026-BROOKFIELD-RITZ CARLTON PHILADELPHIANPD</v>
      </c>
      <c r="B97" s="178" t="str">
        <f>VLOOKUP(E97,'Customer '!A:C,3,0)</f>
        <v>NON RH</v>
      </c>
      <c r="C97" s="178" t="s">
        <v>327</v>
      </c>
      <c r="D97" s="178" t="s">
        <v>298</v>
      </c>
      <c r="E97" s="179" t="s">
        <v>369</v>
      </c>
      <c r="F97" s="179" t="str">
        <f>VLOOKUP(E97,'Customer '!A:B,2,0)</f>
        <v>BROOKFIELD</v>
      </c>
      <c r="G97" s="178" t="s">
        <v>404</v>
      </c>
      <c r="H97" s="178" t="str">
        <f t="shared" si="8"/>
        <v>2026-BROOKFIELD-RITZ CARLTON PHILADELPHIA</v>
      </c>
      <c r="I97" s="178">
        <v>1</v>
      </c>
      <c r="J97" s="180" t="s">
        <v>310</v>
      </c>
      <c r="K97" s="181" t="s">
        <v>272</v>
      </c>
      <c r="L97" s="180" t="s">
        <v>317</v>
      </c>
      <c r="M97" s="182">
        <v>46144</v>
      </c>
      <c r="N97" s="183">
        <v>46149</v>
      </c>
      <c r="O97" s="181"/>
      <c r="P97" s="183" t="str">
        <f>VLOOKUP(E97,'Customer '!A:D,4,0)</f>
        <v>50% deposit, 50% prior shipment</v>
      </c>
      <c r="Q97" s="178" t="s">
        <v>51</v>
      </c>
      <c r="R97" s="178" t="s">
        <v>405</v>
      </c>
      <c r="S97" s="178">
        <v>6</v>
      </c>
      <c r="T97" s="184">
        <v>11414.99</v>
      </c>
      <c r="U97" s="184">
        <v>13583.730000000001</v>
      </c>
      <c r="V97" s="184" t="s">
        <v>280</v>
      </c>
      <c r="W97" s="185">
        <v>2026</v>
      </c>
      <c r="X97" s="183"/>
      <c r="Y97" s="183"/>
      <c r="Z97" s="183" t="s">
        <v>922</v>
      </c>
      <c r="AA97" s="183"/>
      <c r="AB97" s="183"/>
      <c r="AC97" s="183"/>
      <c r="AD97" s="180" t="s">
        <v>322</v>
      </c>
      <c r="AE97" s="181"/>
      <c r="AF97" s="180" t="s">
        <v>344</v>
      </c>
      <c r="AG97" s="181"/>
      <c r="AH97" s="180" t="s">
        <v>322</v>
      </c>
      <c r="AI97" s="181"/>
      <c r="AJ97" s="180" t="s">
        <v>344</v>
      </c>
      <c r="AK97" s="181"/>
      <c r="AL97" s="180" t="s">
        <v>73</v>
      </c>
      <c r="AM97" s="181"/>
      <c r="AN97" s="180" t="s">
        <v>322</v>
      </c>
      <c r="AO97" s="181"/>
      <c r="AP97" s="180" t="s">
        <v>342</v>
      </c>
      <c r="AQ97" s="181"/>
      <c r="AR97" s="186"/>
      <c r="AS97" s="187"/>
      <c r="AT97" s="186"/>
      <c r="AU97" s="187"/>
      <c r="AV97" s="186"/>
      <c r="AW97" s="187"/>
      <c r="AX97" s="186"/>
      <c r="AY97" s="187"/>
      <c r="AZ97" s="188" t="str">
        <f t="shared" si="9"/>
        <v>Active</v>
      </c>
      <c r="BA97" s="189"/>
    </row>
    <row r="98" spans="1:53" s="191" customFormat="1" ht="15.6" hidden="1">
      <c r="A98" s="191" t="str">
        <f t="shared" si="7"/>
        <v>2026-RH-CUSTOM MIYU TABLESNPD</v>
      </c>
      <c r="B98" s="178" t="str">
        <f>VLOOKUP(E98,'Customer '!A:C,3,0)</f>
        <v>RH</v>
      </c>
      <c r="C98" s="178" t="s">
        <v>327</v>
      </c>
      <c r="D98" s="178" t="s">
        <v>282</v>
      </c>
      <c r="E98" s="178" t="s">
        <v>61</v>
      </c>
      <c r="F98" s="179" t="str">
        <f>VLOOKUP(E98,'Customer '!A:B,2,0)</f>
        <v>RH</v>
      </c>
      <c r="G98" s="178" t="s">
        <v>407</v>
      </c>
      <c r="H98" s="178" t="str">
        <f t="shared" si="8"/>
        <v>2026-RH-CUSTOM MIYU TABLES</v>
      </c>
      <c r="I98" s="178">
        <v>1</v>
      </c>
      <c r="J98" s="180" t="s">
        <v>284</v>
      </c>
      <c r="K98" s="181" t="s">
        <v>272</v>
      </c>
      <c r="L98" s="180" t="s">
        <v>317</v>
      </c>
      <c r="M98" s="182">
        <v>46128</v>
      </c>
      <c r="N98" s="183"/>
      <c r="O98" s="181"/>
      <c r="P98" s="183" t="e">
        <f>VLOOKUP(E98,'Customer '!A:D,4,0)</f>
        <v>#N/A</v>
      </c>
      <c r="Q98" s="178"/>
      <c r="R98" s="178"/>
      <c r="S98" s="178">
        <v>5</v>
      </c>
      <c r="T98" s="184">
        <v>5617.6</v>
      </c>
      <c r="U98" s="184">
        <v>5617.6</v>
      </c>
      <c r="V98" s="184" t="s">
        <v>280</v>
      </c>
      <c r="W98" s="185">
        <v>2026</v>
      </c>
      <c r="X98" s="183"/>
      <c r="Y98" s="183"/>
      <c r="Z98" s="183" t="s">
        <v>946</v>
      </c>
      <c r="AA98" s="183"/>
      <c r="AB98" s="183"/>
      <c r="AC98" s="183"/>
      <c r="AD98" s="180" t="s">
        <v>322</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6" hidden="1">
      <c r="A99" s="191" t="str">
        <f t="shared" si="7"/>
        <v>2026-RH-GRAND HYATT DENVERNPD</v>
      </c>
      <c r="B99" s="178" t="str">
        <f>VLOOKUP(E99,'Customer '!A:C,3,0)</f>
        <v>RH</v>
      </c>
      <c r="C99" s="178" t="s">
        <v>327</v>
      </c>
      <c r="D99" s="178" t="s">
        <v>306</v>
      </c>
      <c r="E99" s="178" t="s">
        <v>61</v>
      </c>
      <c r="F99" s="179" t="str">
        <f>VLOOKUP(E99,'Customer '!A:B,2,0)</f>
        <v>RH</v>
      </c>
      <c r="G99" s="178" t="s">
        <v>408</v>
      </c>
      <c r="H99" s="178" t="str">
        <f t="shared" si="8"/>
        <v>2026-RH-GRAND HYATT DENVER</v>
      </c>
      <c r="I99" s="178">
        <v>1</v>
      </c>
      <c r="J99" s="180" t="s">
        <v>284</v>
      </c>
      <c r="K99" s="181" t="s">
        <v>272</v>
      </c>
      <c r="L99" s="180" t="s">
        <v>285</v>
      </c>
      <c r="M99" s="182">
        <v>46136</v>
      </c>
      <c r="N99" s="183"/>
      <c r="O99" s="181"/>
      <c r="P99" s="183" t="e">
        <f>VLOOKUP(E99,'Customer '!A:D,4,0)</f>
        <v>#N/A</v>
      </c>
      <c r="Q99" s="178" t="s">
        <v>51</v>
      </c>
      <c r="R99" s="178" t="s">
        <v>409</v>
      </c>
      <c r="S99" s="178">
        <v>2</v>
      </c>
      <c r="T99" s="184">
        <v>5377.22</v>
      </c>
      <c r="U99" s="209">
        <v>5377.22</v>
      </c>
      <c r="V99" s="184" t="s">
        <v>297</v>
      </c>
      <c r="W99" s="185">
        <v>2026</v>
      </c>
      <c r="X99" s="183"/>
      <c r="Y99" s="183"/>
      <c r="Z99" s="183" t="s">
        <v>931</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6" hidden="1">
      <c r="A100" s="191" t="str">
        <f t="shared" si="7"/>
        <v>2026-RH-COMPETITIVE EDGE NPI</v>
      </c>
      <c r="B100" s="178" t="str">
        <f>VLOOKUP(E100,'Customer '!A:C,3,0)</f>
        <v>RH</v>
      </c>
      <c r="C100" s="178" t="s">
        <v>267</v>
      </c>
      <c r="D100" s="178" t="s">
        <v>290</v>
      </c>
      <c r="E100" s="178" t="s">
        <v>61</v>
      </c>
      <c r="F100" s="179" t="str">
        <f>VLOOKUP(E100,'Customer '!A:B,2,0)</f>
        <v>RH</v>
      </c>
      <c r="G100" s="178" t="s">
        <v>410</v>
      </c>
      <c r="H100" s="178" t="str">
        <f t="shared" si="8"/>
        <v xml:space="preserve">2026-RH-COMPETITIVE EDGE </v>
      </c>
      <c r="I100" s="178">
        <v>1</v>
      </c>
      <c r="J100" s="180" t="s">
        <v>284</v>
      </c>
      <c r="K100" s="181" t="s">
        <v>272</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6" hidden="1">
      <c r="A101" s="191" t="str">
        <f t="shared" si="7"/>
        <v>2026-FLEETWOOD -WALDORF ASTORIA DEER VALLEYNPD to NPI</v>
      </c>
      <c r="B101" s="178" t="str">
        <f>VLOOKUP(E101,'Customer '!A:C,3,0)</f>
        <v>NON RH</v>
      </c>
      <c r="C101" s="178" t="s">
        <v>950</v>
      </c>
      <c r="D101" s="178" t="s">
        <v>341</v>
      </c>
      <c r="E101" s="178" t="s">
        <v>98</v>
      </c>
      <c r="F101" s="179" t="str">
        <f>VLOOKUP(E101,'Customer '!A:B,2,0)</f>
        <v xml:space="preserve">FLEETWOOD </v>
      </c>
      <c r="G101" s="178" t="s">
        <v>411</v>
      </c>
      <c r="H101" s="178" t="str">
        <f t="shared" si="8"/>
        <v>2026-FLEETWOOD -WALDORF ASTORIA DEER VALLEY</v>
      </c>
      <c r="I101" s="178">
        <v>1</v>
      </c>
      <c r="J101" s="180" t="s">
        <v>284</v>
      </c>
      <c r="K101" s="181" t="s">
        <v>272</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6" hidden="1">
      <c r="A102" s="191" t="str">
        <f t="shared" si="7"/>
        <v>2026-FLEETWOOD -PEBBLE BEACH CASA PALMERONPI</v>
      </c>
      <c r="B102" s="178" t="str">
        <f>VLOOKUP(E102,'Customer '!A:C,3,0)</f>
        <v>NON RH</v>
      </c>
      <c r="C102" s="178" t="s">
        <v>267</v>
      </c>
      <c r="D102" s="178" t="s">
        <v>341</v>
      </c>
      <c r="E102" s="178" t="s">
        <v>98</v>
      </c>
      <c r="F102" s="179" t="str">
        <f>VLOOKUP(E102,'Customer '!A:B,2,0)</f>
        <v xml:space="preserve">FLEETWOOD </v>
      </c>
      <c r="G102" s="178" t="s">
        <v>412</v>
      </c>
      <c r="H102" s="178" t="str">
        <f t="shared" si="8"/>
        <v>2026-FLEETWOOD -PEBBLE BEACH CASA PALMERO</v>
      </c>
      <c r="I102" s="178">
        <v>1</v>
      </c>
      <c r="J102" s="180" t="s">
        <v>284</v>
      </c>
      <c r="K102" s="181" t="s">
        <v>272</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322</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6" hidden="1">
      <c r="A103" s="191" t="str">
        <f t="shared" si="7"/>
        <v>2026-RH-SUNRIVER RESORT MRNPD</v>
      </c>
      <c r="B103" s="178" t="str">
        <f>VLOOKUP(E103,'Customer '!A:C,3,0)</f>
        <v>RH</v>
      </c>
      <c r="C103" s="178" t="s">
        <v>327</v>
      </c>
      <c r="D103" s="178" t="s">
        <v>282</v>
      </c>
      <c r="E103" s="178" t="s">
        <v>61</v>
      </c>
      <c r="F103" s="179" t="str">
        <f>VLOOKUP(E103,'Customer '!A:B,2,0)</f>
        <v>RH</v>
      </c>
      <c r="G103" s="178" t="s">
        <v>951</v>
      </c>
      <c r="H103" s="178" t="str">
        <f t="shared" si="8"/>
        <v>2026-RH-SUNRIVER RESORT MR</v>
      </c>
      <c r="I103" s="178">
        <v>1</v>
      </c>
      <c r="J103" s="180" t="s">
        <v>284</v>
      </c>
      <c r="K103" s="181" t="s">
        <v>272</v>
      </c>
      <c r="L103" s="180" t="s">
        <v>285</v>
      </c>
      <c r="M103" s="182">
        <v>46144</v>
      </c>
      <c r="N103" s="183"/>
      <c r="O103" s="181"/>
      <c r="P103" s="183" t="e">
        <f>VLOOKUP(E103,'Customer '!A:D,4,0)</f>
        <v>#N/A</v>
      </c>
      <c r="Q103" s="178" t="s">
        <v>51</v>
      </c>
      <c r="R103" s="178" t="s">
        <v>51</v>
      </c>
      <c r="S103" s="178">
        <v>2</v>
      </c>
      <c r="T103" s="184">
        <v>3580</v>
      </c>
      <c r="U103" s="184">
        <v>3580</v>
      </c>
      <c r="V103" s="184" t="s">
        <v>279</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6" hidden="1">
      <c r="A104" s="191" t="str">
        <f t="shared" si="7"/>
        <v>2026-RH-SUNRIVER RESORT MRNPI</v>
      </c>
      <c r="B104" s="178" t="str">
        <f>VLOOKUP(E104,'Customer '!A:C,3,0)</f>
        <v>RH</v>
      </c>
      <c r="C104" s="178" t="s">
        <v>267</v>
      </c>
      <c r="D104" s="178" t="s">
        <v>341</v>
      </c>
      <c r="E104" s="178" t="s">
        <v>61</v>
      </c>
      <c r="F104" s="179" t="str">
        <f>VLOOKUP(E104,'Customer '!A:B,2,0)</f>
        <v>RH</v>
      </c>
      <c r="G104" s="178" t="s">
        <v>951</v>
      </c>
      <c r="H104" s="178" t="str">
        <f t="shared" si="8"/>
        <v>2026-RH-SUNRIVER RESORT MR</v>
      </c>
      <c r="I104" s="178">
        <v>1</v>
      </c>
      <c r="J104" s="180" t="s">
        <v>284</v>
      </c>
      <c r="K104" s="181" t="s">
        <v>272</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6">
      <c r="A105" s="191" t="str">
        <f t="shared" si="7"/>
        <v>2026-BROOKFIELD-RITZ CARLTON PHILADELPHIANPI</v>
      </c>
      <c r="B105" s="178" t="str">
        <f>VLOOKUP(E105,'Customer '!A:C,3,0)</f>
        <v>NON RH</v>
      </c>
      <c r="C105" s="178" t="s">
        <v>267</v>
      </c>
      <c r="D105" s="178" t="s">
        <v>298</v>
      </c>
      <c r="E105" s="179" t="s">
        <v>369</v>
      </c>
      <c r="F105" s="179" t="str">
        <f>VLOOKUP(E105,'Customer '!A:B,2,0)</f>
        <v>BROOKFIELD</v>
      </c>
      <c r="G105" s="178" t="s">
        <v>404</v>
      </c>
      <c r="H105" s="178" t="str">
        <f t="shared" si="8"/>
        <v>2026-BROOKFIELD-RITZ CARLTON PHILADELPHIA</v>
      </c>
      <c r="I105" s="178">
        <v>1</v>
      </c>
      <c r="J105" s="180" t="s">
        <v>284</v>
      </c>
      <c r="K105" s="181" t="s">
        <v>272</v>
      </c>
      <c r="L105" s="180" t="s">
        <v>285</v>
      </c>
      <c r="M105" s="182"/>
      <c r="N105" s="183"/>
      <c r="O105" s="181"/>
      <c r="P105" s="183" t="str">
        <f>VLOOKUP(E105,'Customer '!A:D,4,0)</f>
        <v>50% deposit, 50% prior shipment</v>
      </c>
      <c r="Q105" s="178" t="s">
        <v>51</v>
      </c>
      <c r="R105" s="178" t="s">
        <v>405</v>
      </c>
      <c r="S105" s="178"/>
      <c r="T105" s="184">
        <v>1985002.77</v>
      </c>
      <c r="U105" s="184">
        <f>T105/2</f>
        <v>992501.38500000001</v>
      </c>
      <c r="V105" s="184" t="s">
        <v>312</v>
      </c>
      <c r="W105" s="185">
        <v>2026</v>
      </c>
      <c r="X105" s="183"/>
      <c r="Y105" s="183"/>
      <c r="Z105" s="183"/>
      <c r="AA105" s="183"/>
      <c r="AB105" s="183"/>
      <c r="AC105" s="183"/>
      <c r="AD105" s="180" t="s">
        <v>344</v>
      </c>
      <c r="AE105" s="181"/>
      <c r="AF105" s="180" t="s">
        <v>344</v>
      </c>
      <c r="AG105" s="181"/>
      <c r="AH105" s="180" t="s">
        <v>344</v>
      </c>
      <c r="AI105" s="181"/>
      <c r="AJ105" s="180" t="s">
        <v>344</v>
      </c>
      <c r="AK105" s="181"/>
      <c r="AL105" s="180" t="s">
        <v>73</v>
      </c>
      <c r="AM105" s="181"/>
      <c r="AN105" s="180" t="s">
        <v>344</v>
      </c>
      <c r="AO105" s="181"/>
      <c r="AP105" s="180" t="s">
        <v>344</v>
      </c>
      <c r="AQ105" s="181"/>
      <c r="AR105" s="186"/>
      <c r="AS105" s="187"/>
      <c r="AT105" s="186"/>
      <c r="AU105" s="187"/>
      <c r="AV105" s="186"/>
      <c r="AW105" s="187"/>
      <c r="AX105" s="186"/>
      <c r="AY105" s="187"/>
      <c r="AZ105" s="188" t="str">
        <f>IF(J105="SHIPPED","Complete",IF(J105="VIEWING","Archived","Active"))</f>
        <v>Active</v>
      </c>
      <c r="BA105" s="189"/>
    </row>
    <row r="106" spans="1:53" s="191" customFormat="1" ht="15.6">
      <c r="A106" s="191" t="str">
        <f t="shared" si="7"/>
        <v>2026-BROOKFIELD-RITZ CARLTON PHILADELPHIANPI</v>
      </c>
      <c r="B106" s="178" t="str">
        <f>VLOOKUP(E106,'Customer '!A:C,3,0)</f>
        <v>NON RH</v>
      </c>
      <c r="C106" s="178" t="s">
        <v>267</v>
      </c>
      <c r="D106" s="178" t="s">
        <v>298</v>
      </c>
      <c r="E106" s="179" t="s">
        <v>369</v>
      </c>
      <c r="F106" s="179" t="str">
        <f>VLOOKUP(E106,'Customer '!A:B,2,0)</f>
        <v>BROOKFIELD</v>
      </c>
      <c r="G106" s="178" t="s">
        <v>404</v>
      </c>
      <c r="H106" s="178" t="str">
        <f t="shared" si="8"/>
        <v>2026-BROOKFIELD-RITZ CARLTON PHILADELPHIA</v>
      </c>
      <c r="I106" s="178">
        <v>0</v>
      </c>
      <c r="J106" s="180" t="s">
        <v>284</v>
      </c>
      <c r="K106" s="181" t="s">
        <v>272</v>
      </c>
      <c r="L106" s="180" t="s">
        <v>285</v>
      </c>
      <c r="M106" s="182"/>
      <c r="N106" s="183"/>
      <c r="O106" s="181"/>
      <c r="P106" s="183" t="str">
        <f>VLOOKUP(E106,'Customer '!A:D,4,0)</f>
        <v>50% deposit, 50% prior shipment</v>
      </c>
      <c r="Q106" s="178" t="s">
        <v>51</v>
      </c>
      <c r="R106" s="178" t="s">
        <v>405</v>
      </c>
      <c r="S106" s="178"/>
      <c r="T106" s="184">
        <v>1985002.77</v>
      </c>
      <c r="U106" s="184">
        <f>T106/2</f>
        <v>992501.38500000001</v>
      </c>
      <c r="V106" s="184" t="s">
        <v>333</v>
      </c>
      <c r="W106" s="185">
        <v>2026</v>
      </c>
      <c r="X106" s="183"/>
      <c r="Y106" s="183"/>
      <c r="Z106" s="183"/>
      <c r="AA106" s="183"/>
      <c r="AB106" s="183"/>
      <c r="AC106" s="183"/>
      <c r="AD106" s="180" t="s">
        <v>344</v>
      </c>
      <c r="AE106" s="181"/>
      <c r="AF106" s="180" t="s">
        <v>344</v>
      </c>
      <c r="AG106" s="181"/>
      <c r="AH106" s="180" t="s">
        <v>344</v>
      </c>
      <c r="AI106" s="181"/>
      <c r="AJ106" s="180" t="s">
        <v>344</v>
      </c>
      <c r="AK106" s="181"/>
      <c r="AL106" s="180" t="s">
        <v>73</v>
      </c>
      <c r="AM106" s="181"/>
      <c r="AN106" s="180" t="s">
        <v>344</v>
      </c>
      <c r="AO106" s="181"/>
      <c r="AP106" s="180" t="s">
        <v>344</v>
      </c>
      <c r="AQ106" s="181"/>
      <c r="AR106" s="186"/>
      <c r="AS106" s="187"/>
      <c r="AT106" s="186"/>
      <c r="AU106" s="187"/>
      <c r="AV106" s="186"/>
      <c r="AW106" s="187"/>
      <c r="AX106" s="186"/>
      <c r="AY106" s="187"/>
      <c r="AZ106" s="188" t="str">
        <f>IF(J106="SHIPPED","Complete",IF(J106="VIEWING","Archived","Active"))</f>
        <v>Active</v>
      </c>
      <c r="BA106" s="189"/>
    </row>
    <row r="107" spans="1:53" s="191" customFormat="1" ht="15.6" hidden="1">
      <c r="A107" s="191" t="str">
        <f t="shared" si="7"/>
        <v>2026-AYALA-KHOBAR HILTON CANOPY HOTELNPI</v>
      </c>
      <c r="B107" s="178" t="str">
        <f>VLOOKUP(E107,'Customer '!A:C,3,0)</f>
        <v>NON RH</v>
      </c>
      <c r="C107" s="178" t="s">
        <v>267</v>
      </c>
      <c r="D107" s="178" t="s">
        <v>282</v>
      </c>
      <c r="E107" s="179" t="s">
        <v>376</v>
      </c>
      <c r="F107" s="179" t="str">
        <f>VLOOKUP(E107,'Customer '!A:B,2,0)</f>
        <v>AYALA</v>
      </c>
      <c r="G107" s="178" t="s">
        <v>377</v>
      </c>
      <c r="H107" s="178" t="str">
        <f t="shared" si="8"/>
        <v>2026-AYALA-KHOBAR HILTON CANOPY HOTEL</v>
      </c>
      <c r="I107" s="178">
        <v>1</v>
      </c>
      <c r="J107" s="180" t="s">
        <v>284</v>
      </c>
      <c r="K107" s="181" t="s">
        <v>272</v>
      </c>
      <c r="L107" s="180" t="s">
        <v>285</v>
      </c>
      <c r="M107" s="182">
        <v>46156</v>
      </c>
      <c r="N107" s="183"/>
      <c r="O107" s="181"/>
      <c r="P107" s="183" t="e">
        <f>VLOOKUP(E107,'Customer '!A:D,4,0)</f>
        <v>#N/A</v>
      </c>
      <c r="Q107" s="178" t="s">
        <v>132</v>
      </c>
      <c r="R107" s="178" t="s">
        <v>355</v>
      </c>
      <c r="S107" s="178"/>
      <c r="T107" s="184">
        <v>1318297.6000000001</v>
      </c>
      <c r="U107" s="184">
        <v>1318297.6000000001</v>
      </c>
      <c r="V107" s="184" t="s">
        <v>347</v>
      </c>
      <c r="W107" s="185">
        <v>2027</v>
      </c>
      <c r="X107" s="183"/>
      <c r="Y107" s="183"/>
      <c r="Z107" s="183"/>
      <c r="AA107" s="183"/>
      <c r="AB107" s="183"/>
      <c r="AC107" s="183"/>
      <c r="AD107" s="180" t="s">
        <v>344</v>
      </c>
      <c r="AE107" s="181"/>
      <c r="AF107" s="180" t="s">
        <v>344</v>
      </c>
      <c r="AG107" s="181"/>
      <c r="AH107" s="180" t="s">
        <v>344</v>
      </c>
      <c r="AI107" s="181"/>
      <c r="AJ107" s="180" t="s">
        <v>344</v>
      </c>
      <c r="AK107" s="181"/>
      <c r="AL107" s="180" t="s">
        <v>344</v>
      </c>
      <c r="AM107" s="181"/>
      <c r="AN107" s="180" t="s">
        <v>344</v>
      </c>
      <c r="AO107" s="181"/>
      <c r="AP107" s="180" t="s">
        <v>344</v>
      </c>
      <c r="AQ107" s="181"/>
      <c r="AR107" s="186"/>
      <c r="AS107" s="187"/>
      <c r="AT107" s="186"/>
      <c r="AU107" s="187"/>
      <c r="AV107" s="186"/>
      <c r="AW107" s="187"/>
      <c r="AX107" s="186"/>
      <c r="AY107" s="187"/>
      <c r="AZ107" s="188"/>
      <c r="BA107" s="189"/>
    </row>
    <row r="108" spans="1:53" s="191" customFormat="1" ht="15.6" hidden="1">
      <c r="A108" s="191" t="str">
        <f t="shared" si="7"/>
        <v>2026-TRIMA-ASIATICO RESTAURANT NPI</v>
      </c>
      <c r="B108" s="178" t="str">
        <f>VLOOKUP(E108,'Customer '!A:C,3,0)</f>
        <v>NON RH</v>
      </c>
      <c r="C108" s="178" t="s">
        <v>267</v>
      </c>
      <c r="D108" s="178" t="s">
        <v>290</v>
      </c>
      <c r="E108" s="179" t="s">
        <v>196</v>
      </c>
      <c r="F108" s="179" t="str">
        <f>VLOOKUP(E108,'Customer '!A:B,2,0)</f>
        <v>TRIMA</v>
      </c>
      <c r="G108" s="178" t="s">
        <v>416</v>
      </c>
      <c r="H108" s="178" t="str">
        <f t="shared" si="8"/>
        <v xml:space="preserve">2026-TRIMA-ASIATICO RESTAURANT </v>
      </c>
      <c r="I108" s="178">
        <v>1</v>
      </c>
      <c r="J108" s="180" t="s">
        <v>316</v>
      </c>
      <c r="K108" s="181" t="s">
        <v>272</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281</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73" priority="7" operator="equal">
      <formula>"NO"</formula>
    </cfRule>
    <cfRule type="cellIs" dxfId="72" priority="8" operator="equal">
      <formula>"YES"</formula>
    </cfRule>
  </conditionalFormatting>
  <conditionalFormatting sqref="O11:O50">
    <cfRule type="cellIs" dxfId="71" priority="37" operator="equal">
      <formula>"NO"</formula>
    </cfRule>
    <cfRule type="cellIs" dxfId="70" priority="38" operator="equal">
      <formula>"YES"</formula>
    </cfRule>
  </conditionalFormatting>
  <conditionalFormatting sqref="V47:V48">
    <cfRule type="duplicateValues" dxfId="69"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4"/>
  <cols>
    <col min="1" max="1" width="26.44140625" customWidth="1"/>
    <col min="2" max="2" width="82.44140625" customWidth="1"/>
    <col min="3" max="3" width="18.5546875" bestFit="1" customWidth="1"/>
    <col min="4" max="4" width="70.44140625" customWidth="1"/>
    <col min="5" max="5" width="67.44140625" customWidth="1"/>
  </cols>
  <sheetData>
    <row r="1" spans="1:4">
      <c r="A1" s="118" t="s">
        <v>952</v>
      </c>
      <c r="B1" s="118" t="s">
        <v>953</v>
      </c>
      <c r="C1" s="118" t="s">
        <v>954</v>
      </c>
      <c r="D1" s="118" t="s">
        <v>955</v>
      </c>
    </row>
    <row r="2" spans="1:4">
      <c r="A2" s="119" t="s">
        <v>956</v>
      </c>
      <c r="B2" s="119" t="s">
        <v>722</v>
      </c>
      <c r="C2" s="119" t="s">
        <v>957</v>
      </c>
      <c r="D2" s="119"/>
    </row>
    <row r="3" spans="1:4">
      <c r="A3" s="119" t="s">
        <v>956</v>
      </c>
      <c r="B3" s="119" t="s">
        <v>958</v>
      </c>
      <c r="C3" s="119" t="s">
        <v>957</v>
      </c>
      <c r="D3" s="119"/>
    </row>
    <row r="4" spans="1:4">
      <c r="A4" s="119" t="s">
        <v>956</v>
      </c>
      <c r="B4" s="119" t="s">
        <v>959</v>
      </c>
      <c r="C4" s="119" t="s">
        <v>957</v>
      </c>
      <c r="D4" s="119"/>
    </row>
    <row r="5" spans="1:4">
      <c r="A5" s="119" t="s">
        <v>956</v>
      </c>
      <c r="B5" s="119" t="s">
        <v>960</v>
      </c>
      <c r="C5" s="119" t="s">
        <v>957</v>
      </c>
      <c r="D5" s="119"/>
    </row>
    <row r="6" spans="1:4">
      <c r="A6" s="119" t="s">
        <v>956</v>
      </c>
      <c r="B6" s="119" t="s">
        <v>961</v>
      </c>
      <c r="C6" s="119" t="s">
        <v>957</v>
      </c>
      <c r="D6" s="119"/>
    </row>
    <row r="7" spans="1:4">
      <c r="A7" s="119" t="s">
        <v>956</v>
      </c>
      <c r="B7" s="119" t="s">
        <v>962</v>
      </c>
      <c r="C7" s="119" t="s">
        <v>957</v>
      </c>
      <c r="D7" s="119"/>
    </row>
    <row r="8" spans="1:4">
      <c r="A8" s="120" t="s">
        <v>963</v>
      </c>
      <c r="B8" s="120" t="s">
        <v>964</v>
      </c>
      <c r="C8" s="120" t="s">
        <v>316</v>
      </c>
      <c r="D8" s="120" t="s">
        <v>965</v>
      </c>
    </row>
    <row r="9" spans="1:4">
      <c r="A9" s="120" t="s">
        <v>963</v>
      </c>
      <c r="B9" s="120" t="s">
        <v>966</v>
      </c>
      <c r="C9" s="120" t="s">
        <v>316</v>
      </c>
      <c r="D9" s="120" t="s">
        <v>967</v>
      </c>
    </row>
    <row r="10" spans="1:4">
      <c r="A10" s="120" t="s">
        <v>963</v>
      </c>
      <c r="B10" s="120" t="s">
        <v>968</v>
      </c>
      <c r="C10" s="120" t="s">
        <v>316</v>
      </c>
      <c r="D10" s="120" t="s">
        <v>969</v>
      </c>
    </row>
    <row r="11" spans="1:4">
      <c r="A11" s="120" t="s">
        <v>963</v>
      </c>
      <c r="B11" s="120" t="s">
        <v>970</v>
      </c>
      <c r="C11" s="120" t="s">
        <v>316</v>
      </c>
      <c r="D11" s="120" t="s">
        <v>971</v>
      </c>
    </row>
    <row r="12" spans="1:4" s="121" customFormat="1">
      <c r="A12" s="120" t="s">
        <v>963</v>
      </c>
      <c r="B12" s="120" t="s">
        <v>972</v>
      </c>
      <c r="C12" s="120" t="s">
        <v>316</v>
      </c>
      <c r="D12" s="120" t="s">
        <v>973</v>
      </c>
    </row>
    <row r="13" spans="1:4" s="121" customFormat="1">
      <c r="A13" s="120" t="s">
        <v>963</v>
      </c>
      <c r="B13" s="120" t="s">
        <v>974</v>
      </c>
      <c r="C13" s="120" t="s">
        <v>310</v>
      </c>
      <c r="D13" s="120" t="s">
        <v>975</v>
      </c>
    </row>
    <row r="14" spans="1:4" s="121" customFormat="1">
      <c r="A14" s="120" t="s">
        <v>963</v>
      </c>
      <c r="B14" s="120" t="s">
        <v>976</v>
      </c>
      <c r="C14" s="120" t="s">
        <v>310</v>
      </c>
      <c r="D14" s="120" t="s">
        <v>977</v>
      </c>
    </row>
    <row r="15" spans="1:4" s="121" customFormat="1">
      <c r="A15" s="120" t="s">
        <v>963</v>
      </c>
      <c r="B15" s="120" t="s">
        <v>978</v>
      </c>
      <c r="C15" s="120" t="s">
        <v>310</v>
      </c>
      <c r="D15" s="120" t="s">
        <v>979</v>
      </c>
    </row>
    <row r="16" spans="1:4" s="121" customFormat="1">
      <c r="A16" s="120" t="s">
        <v>963</v>
      </c>
      <c r="B16" s="120" t="s">
        <v>980</v>
      </c>
      <c r="C16" s="120" t="s">
        <v>310</v>
      </c>
      <c r="D16" s="120" t="s">
        <v>981</v>
      </c>
    </row>
    <row r="17" spans="1:4" s="121" customFormat="1">
      <c r="A17" s="120" t="s">
        <v>963</v>
      </c>
      <c r="B17" s="120" t="s">
        <v>982</v>
      </c>
      <c r="C17" s="120" t="s">
        <v>316</v>
      </c>
      <c r="D17" s="120"/>
    </row>
    <row r="18" spans="1:4" s="121" customFormat="1">
      <c r="A18" s="120" t="s">
        <v>963</v>
      </c>
      <c r="B18" s="120" t="s">
        <v>983</v>
      </c>
      <c r="C18" s="120" t="s">
        <v>316</v>
      </c>
      <c r="D18" s="120"/>
    </row>
    <row r="19" spans="1:4" s="121" customFormat="1">
      <c r="A19" s="120" t="s">
        <v>963</v>
      </c>
      <c r="B19" s="120"/>
      <c r="C19" s="120" t="s">
        <v>316</v>
      </c>
      <c r="D19" s="120"/>
    </row>
    <row r="20" spans="1:4">
      <c r="A20" s="119" t="s">
        <v>52</v>
      </c>
      <c r="B20" s="119" t="s">
        <v>984</v>
      </c>
      <c r="C20" s="119" t="s">
        <v>310</v>
      </c>
      <c r="D20" s="119" t="s">
        <v>985</v>
      </c>
    </row>
    <row r="21" spans="1:4">
      <c r="A21" s="119" t="s">
        <v>52</v>
      </c>
      <c r="B21" s="119" t="s">
        <v>986</v>
      </c>
      <c r="C21" s="119" t="s">
        <v>310</v>
      </c>
      <c r="D21" s="119" t="s">
        <v>987</v>
      </c>
    </row>
    <row r="22" spans="1:4">
      <c r="A22" s="119" t="s">
        <v>988</v>
      </c>
      <c r="B22" s="119" t="s">
        <v>989</v>
      </c>
      <c r="C22" s="119" t="s">
        <v>310</v>
      </c>
      <c r="D22" s="119" t="s">
        <v>990</v>
      </c>
    </row>
    <row r="23" spans="1:4">
      <c r="A23" s="119" t="s">
        <v>991</v>
      </c>
      <c r="B23" s="119" t="s">
        <v>992</v>
      </c>
      <c r="C23" s="119" t="s">
        <v>310</v>
      </c>
      <c r="D23" s="119" t="s">
        <v>993</v>
      </c>
    </row>
    <row r="24" spans="1:4">
      <c r="A24" s="119" t="s">
        <v>991</v>
      </c>
      <c r="B24" s="119" t="s">
        <v>994</v>
      </c>
      <c r="C24" s="119" t="s">
        <v>310</v>
      </c>
      <c r="D24" s="119" t="s">
        <v>995</v>
      </c>
    </row>
    <row r="25" spans="1:4">
      <c r="A25" s="119" t="s">
        <v>991</v>
      </c>
      <c r="B25" s="119" t="s">
        <v>185</v>
      </c>
      <c r="C25" s="119" t="s">
        <v>310</v>
      </c>
      <c r="D25" s="119" t="s">
        <v>996</v>
      </c>
    </row>
    <row r="26" spans="1:4">
      <c r="A26" s="119" t="s">
        <v>201</v>
      </c>
      <c r="B26" s="119" t="s">
        <v>997</v>
      </c>
      <c r="C26" s="119" t="s">
        <v>998</v>
      </c>
      <c r="D26" s="119" t="s">
        <v>999</v>
      </c>
    </row>
    <row r="27" spans="1:4">
      <c r="A27" s="119" t="s">
        <v>201</v>
      </c>
      <c r="B27" s="119" t="s">
        <v>1000</v>
      </c>
      <c r="C27" s="119" t="s">
        <v>998</v>
      </c>
      <c r="D27" s="119" t="s">
        <v>999</v>
      </c>
    </row>
    <row r="28" spans="1:4">
      <c r="A28" s="119" t="s">
        <v>201</v>
      </c>
      <c r="B28" s="119" t="s">
        <v>1001</v>
      </c>
      <c r="C28" s="119"/>
      <c r="D28" s="119"/>
    </row>
    <row r="29" spans="1:4">
      <c r="A29" s="119" t="s">
        <v>1002</v>
      </c>
      <c r="B29" s="119" t="s">
        <v>1003</v>
      </c>
      <c r="C29" s="119" t="s">
        <v>316</v>
      </c>
      <c r="D29" s="119" t="s">
        <v>1004</v>
      </c>
    </row>
    <row r="30" spans="1:4">
      <c r="A30" s="119" t="s">
        <v>1002</v>
      </c>
      <c r="B30" s="119"/>
      <c r="C30" s="119" t="s">
        <v>1005</v>
      </c>
      <c r="D30" s="119" t="s">
        <v>1006</v>
      </c>
    </row>
    <row r="31" spans="1:4">
      <c r="A31" s="119" t="s">
        <v>1002</v>
      </c>
      <c r="B31" s="119" t="s">
        <v>1007</v>
      </c>
      <c r="C31" s="119" t="s">
        <v>1005</v>
      </c>
      <c r="D31" s="119" t="s">
        <v>1006</v>
      </c>
    </row>
    <row r="32" spans="1:4">
      <c r="A32" s="119" t="s">
        <v>1002</v>
      </c>
      <c r="B32" s="119" t="s">
        <v>1008</v>
      </c>
      <c r="C32" s="119"/>
      <c r="D32" s="119"/>
    </row>
    <row r="33" spans="1:4">
      <c r="A33" s="119" t="s">
        <v>1002</v>
      </c>
      <c r="B33" s="119" t="s">
        <v>1009</v>
      </c>
      <c r="C33" s="119"/>
      <c r="D33" s="119"/>
    </row>
    <row r="34" spans="1:4">
      <c r="A34" s="119" t="s">
        <v>1002</v>
      </c>
      <c r="B34" s="119" t="s">
        <v>1010</v>
      </c>
      <c r="C34" s="119"/>
      <c r="D34" s="119"/>
    </row>
    <row r="35" spans="1:4">
      <c r="A35" s="119" t="s">
        <v>1002</v>
      </c>
      <c r="B35" s="119" t="s">
        <v>1011</v>
      </c>
      <c r="C35" s="119"/>
      <c r="D35" s="119"/>
    </row>
    <row r="36" spans="1:4">
      <c r="A36" s="119" t="s">
        <v>1012</v>
      </c>
      <c r="B36" s="119" t="s">
        <v>1013</v>
      </c>
      <c r="C36" s="119" t="s">
        <v>1014</v>
      </c>
      <c r="D36" s="119" t="s">
        <v>1015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zoomScale="70" zoomScaleNormal="70" workbookViewId="0">
      <pane xSplit="1" ySplit="2" topLeftCell="B56" activePane="bottomRight" state="frozen"/>
      <selection pane="topRight" activeCell="B1" sqref="B1"/>
      <selection pane="bottomLeft" activeCell="A2" sqref="A2"/>
      <selection pane="bottomRight" activeCell="P69" sqref="P69"/>
    </sheetView>
  </sheetViews>
  <sheetFormatPr defaultColWidth="8.5546875" defaultRowHeight="20.399999999999999" outlineLevelCol="1"/>
  <cols>
    <col min="1" max="2" width="14.44140625" style="39" customWidth="1"/>
    <col min="3" max="3" width="14.5546875" style="39" customWidth="1" outlineLevel="1"/>
    <col min="4" max="5" width="12.5546875" style="39" bestFit="1" customWidth="1"/>
    <col min="6" max="6" width="13.44140625" style="39" bestFit="1" customWidth="1"/>
    <col min="7" max="8" width="17" style="39" customWidth="1"/>
    <col min="9" max="9" width="44.33203125" style="39" customWidth="1"/>
    <col min="10" max="10" width="13.44140625" style="41" customWidth="1"/>
    <col min="11" max="11" width="15.5546875" style="41" customWidth="1"/>
    <col min="12" max="14" width="8.5546875" style="41"/>
    <col min="15" max="16" width="15.6640625" style="41" customWidth="1"/>
    <col min="17" max="16384" width="8.5546875" style="41"/>
  </cols>
  <sheetData>
    <row r="1" spans="1:10">
      <c r="G1" s="40">
        <f>SUM(G4:G55)</f>
        <v>47.733333333333341</v>
      </c>
    </row>
    <row r="2" spans="1:10" s="43" customFormat="1" ht="36" customHeight="1">
      <c r="A2" s="42" t="s">
        <v>1016</v>
      </c>
      <c r="B2" s="42" t="s">
        <v>1017</v>
      </c>
      <c r="C2" s="42" t="s">
        <v>1018</v>
      </c>
      <c r="D2" s="214" t="s">
        <v>1019</v>
      </c>
      <c r="E2" s="42" t="s">
        <v>1020</v>
      </c>
      <c r="F2" s="42" t="s">
        <v>1017</v>
      </c>
      <c r="G2" s="42" t="s">
        <v>1021</v>
      </c>
      <c r="H2" s="42" t="s">
        <v>1022</v>
      </c>
      <c r="I2" s="42" t="s">
        <v>1023</v>
      </c>
    </row>
    <row r="3" spans="1:10">
      <c r="A3" s="44"/>
      <c r="B3" s="44"/>
      <c r="C3" s="45" t="s">
        <v>1024</v>
      </c>
      <c r="D3" s="45"/>
      <c r="E3" s="45" t="s">
        <v>1025</v>
      </c>
      <c r="F3" s="46"/>
      <c r="G3" s="46"/>
      <c r="H3" s="46"/>
      <c r="I3" s="46"/>
    </row>
    <row r="4" spans="1:10">
      <c r="A4" s="44" t="s">
        <v>1026</v>
      </c>
      <c r="B4" s="44" t="s">
        <v>381</v>
      </c>
      <c r="C4" s="47">
        <v>46020</v>
      </c>
      <c r="D4" s="47">
        <f t="shared" ref="D4:D38" si="0">E4-2</f>
        <v>46024</v>
      </c>
      <c r="E4" s="47">
        <f>C4+6</f>
        <v>46026</v>
      </c>
      <c r="F4" s="48" t="s">
        <v>1027</v>
      </c>
      <c r="G4" s="49">
        <f>5/6</f>
        <v>0.83333333333333337</v>
      </c>
      <c r="H4" s="49">
        <f t="shared" ref="H4:H35" si="1">SUMIF(F:F,F4,G:G)</f>
        <v>9.4166666666666679</v>
      </c>
      <c r="I4" s="48" t="s">
        <v>1028</v>
      </c>
    </row>
    <row r="5" spans="1:10">
      <c r="A5" s="44" t="s">
        <v>853</v>
      </c>
      <c r="B5" s="44" t="s">
        <v>381</v>
      </c>
      <c r="C5" s="47">
        <f t="shared" ref="C5:C36" si="2">C4+7</f>
        <v>46027</v>
      </c>
      <c r="D5" s="47">
        <f t="shared" si="0"/>
        <v>46031</v>
      </c>
      <c r="E5" s="47">
        <f t="shared" ref="E5:E36" si="3">E4+7</f>
        <v>46033</v>
      </c>
      <c r="F5" s="48" t="s">
        <v>1027</v>
      </c>
      <c r="G5" s="49">
        <f>6/6</f>
        <v>1</v>
      </c>
      <c r="H5" s="49">
        <f t="shared" si="1"/>
        <v>9.4166666666666679</v>
      </c>
      <c r="I5" s="48"/>
    </row>
    <row r="6" spans="1:10">
      <c r="A6" s="44" t="s">
        <v>1029</v>
      </c>
      <c r="B6" s="44" t="s">
        <v>381</v>
      </c>
      <c r="C6" s="47">
        <f t="shared" si="2"/>
        <v>46034</v>
      </c>
      <c r="D6" s="47">
        <f t="shared" si="0"/>
        <v>46038</v>
      </c>
      <c r="E6" s="47">
        <f t="shared" si="3"/>
        <v>46040</v>
      </c>
      <c r="F6" s="48" t="s">
        <v>1027</v>
      </c>
      <c r="G6" s="49">
        <f>6/6</f>
        <v>1</v>
      </c>
      <c r="H6" s="49">
        <f t="shared" si="1"/>
        <v>9.4166666666666679</v>
      </c>
      <c r="I6" s="48"/>
    </row>
    <row r="7" spans="1:10">
      <c r="A7" s="44" t="s">
        <v>1030</v>
      </c>
      <c r="B7" s="44" t="s">
        <v>381</v>
      </c>
      <c r="C7" s="47">
        <f t="shared" si="2"/>
        <v>46041</v>
      </c>
      <c r="D7" s="47">
        <f t="shared" si="0"/>
        <v>46045</v>
      </c>
      <c r="E7" s="47">
        <f t="shared" si="3"/>
        <v>46047</v>
      </c>
      <c r="F7" s="48" t="s">
        <v>1027</v>
      </c>
      <c r="G7" s="49">
        <f>6/6</f>
        <v>1</v>
      </c>
      <c r="H7" s="49">
        <f t="shared" si="1"/>
        <v>9.4166666666666679</v>
      </c>
      <c r="I7" s="48"/>
    </row>
    <row r="8" spans="1:10">
      <c r="A8" s="44" t="s">
        <v>1031</v>
      </c>
      <c r="B8" s="44" t="s">
        <v>381</v>
      </c>
      <c r="C8" s="47">
        <f t="shared" si="2"/>
        <v>46048</v>
      </c>
      <c r="D8" s="47">
        <f t="shared" si="0"/>
        <v>46052</v>
      </c>
      <c r="E8" s="47">
        <f t="shared" si="3"/>
        <v>46054</v>
      </c>
      <c r="F8" s="48" t="s">
        <v>1027</v>
      </c>
      <c r="G8" s="49">
        <f>6/6</f>
        <v>1</v>
      </c>
      <c r="H8" s="49">
        <f t="shared" si="1"/>
        <v>9.4166666666666679</v>
      </c>
      <c r="I8" s="48"/>
    </row>
    <row r="9" spans="1:10">
      <c r="A9" s="44" t="s">
        <v>1032</v>
      </c>
      <c r="B9" s="44" t="s">
        <v>402</v>
      </c>
      <c r="C9" s="47">
        <f t="shared" si="2"/>
        <v>46055</v>
      </c>
      <c r="D9" s="47">
        <f t="shared" si="0"/>
        <v>46059</v>
      </c>
      <c r="E9" s="47">
        <f t="shared" si="3"/>
        <v>46061</v>
      </c>
      <c r="F9" s="48" t="s">
        <v>1033</v>
      </c>
      <c r="G9" s="49">
        <f>6/6*85%</f>
        <v>0.85</v>
      </c>
      <c r="H9" s="49">
        <f t="shared" si="1"/>
        <v>2.9</v>
      </c>
      <c r="I9" s="48" t="s">
        <v>1034</v>
      </c>
    </row>
    <row r="10" spans="1:10">
      <c r="A10" s="50" t="s">
        <v>1035</v>
      </c>
      <c r="B10" s="50" t="s">
        <v>402</v>
      </c>
      <c r="C10" s="51">
        <f t="shared" si="2"/>
        <v>46062</v>
      </c>
      <c r="D10" s="51">
        <f t="shared" si="0"/>
        <v>46066</v>
      </c>
      <c r="E10" s="51">
        <f t="shared" si="3"/>
        <v>46068</v>
      </c>
      <c r="F10" s="52" t="s">
        <v>1033</v>
      </c>
      <c r="G10" s="53">
        <v>0.3</v>
      </c>
      <c r="H10" s="53">
        <f t="shared" si="1"/>
        <v>2.9</v>
      </c>
      <c r="I10" s="52" t="s">
        <v>1036</v>
      </c>
    </row>
    <row r="11" spans="1:10">
      <c r="A11" s="54" t="s">
        <v>1037</v>
      </c>
      <c r="B11" s="54" t="s">
        <v>402</v>
      </c>
      <c r="C11" s="55">
        <f t="shared" si="2"/>
        <v>46069</v>
      </c>
      <c r="D11" s="55">
        <f t="shared" si="0"/>
        <v>46073</v>
      </c>
      <c r="E11" s="55">
        <f t="shared" si="3"/>
        <v>46075</v>
      </c>
      <c r="F11" s="56" t="s">
        <v>1033</v>
      </c>
      <c r="G11" s="57">
        <v>0</v>
      </c>
      <c r="H11" s="57">
        <f t="shared" si="1"/>
        <v>2.9</v>
      </c>
      <c r="I11" s="56" t="s">
        <v>1038</v>
      </c>
    </row>
    <row r="12" spans="1:10">
      <c r="A12" s="50" t="s">
        <v>1039</v>
      </c>
      <c r="B12" s="50" t="s">
        <v>402</v>
      </c>
      <c r="C12" s="51">
        <f t="shared" si="2"/>
        <v>46076</v>
      </c>
      <c r="D12" s="51">
        <f t="shared" si="0"/>
        <v>46080</v>
      </c>
      <c r="E12" s="51">
        <f t="shared" si="3"/>
        <v>46082</v>
      </c>
      <c r="F12" s="52" t="s">
        <v>1033</v>
      </c>
      <c r="G12" s="53">
        <v>0</v>
      </c>
      <c r="H12" s="53">
        <f t="shared" si="1"/>
        <v>2.9</v>
      </c>
      <c r="I12" s="52" t="s">
        <v>1040</v>
      </c>
      <c r="J12" s="41" t="s">
        <v>1041</v>
      </c>
    </row>
    <row r="13" spans="1:10">
      <c r="A13" s="44" t="s">
        <v>1042</v>
      </c>
      <c r="B13" s="44" t="s">
        <v>325</v>
      </c>
      <c r="C13" s="47">
        <f t="shared" si="2"/>
        <v>46083</v>
      </c>
      <c r="D13" s="47">
        <f t="shared" si="0"/>
        <v>46087</v>
      </c>
      <c r="E13" s="47">
        <f t="shared" si="3"/>
        <v>46089</v>
      </c>
      <c r="F13" s="48" t="s">
        <v>1043</v>
      </c>
      <c r="G13" s="49">
        <f>6/6*85%</f>
        <v>0.85</v>
      </c>
      <c r="H13" s="49">
        <f t="shared" si="1"/>
        <v>7.85</v>
      </c>
      <c r="I13" s="48" t="s">
        <v>1044</v>
      </c>
    </row>
    <row r="14" spans="1:10">
      <c r="A14" s="58" t="s">
        <v>1045</v>
      </c>
      <c r="B14" s="58" t="s">
        <v>325</v>
      </c>
      <c r="C14" s="59">
        <f t="shared" si="2"/>
        <v>46090</v>
      </c>
      <c r="D14" s="59">
        <f t="shared" si="0"/>
        <v>46094</v>
      </c>
      <c r="E14" s="59">
        <f t="shared" si="3"/>
        <v>46096</v>
      </c>
      <c r="F14" s="60" t="s">
        <v>1043</v>
      </c>
      <c r="G14" s="61">
        <f t="shared" ref="G14:G20" si="4">6/6</f>
        <v>1</v>
      </c>
      <c r="H14" s="61">
        <f t="shared" si="1"/>
        <v>7.85</v>
      </c>
      <c r="I14" s="60"/>
    </row>
    <row r="15" spans="1:10">
      <c r="A15" s="44" t="s">
        <v>943</v>
      </c>
      <c r="B15" s="44" t="s">
        <v>325</v>
      </c>
      <c r="C15" s="47">
        <f t="shared" si="2"/>
        <v>46097</v>
      </c>
      <c r="D15" s="47">
        <f t="shared" si="0"/>
        <v>46101</v>
      </c>
      <c r="E15" s="47">
        <f t="shared" si="3"/>
        <v>46103</v>
      </c>
      <c r="F15" s="48" t="s">
        <v>1043</v>
      </c>
      <c r="G15" s="49">
        <f t="shared" si="4"/>
        <v>1</v>
      </c>
      <c r="H15" s="49">
        <f t="shared" si="1"/>
        <v>7.85</v>
      </c>
      <c r="I15" s="48"/>
    </row>
    <row r="16" spans="1:10">
      <c r="A16" s="44" t="s">
        <v>326</v>
      </c>
      <c r="B16" s="44" t="s">
        <v>325</v>
      </c>
      <c r="C16" s="47">
        <f t="shared" si="2"/>
        <v>46104</v>
      </c>
      <c r="D16" s="47">
        <f t="shared" si="0"/>
        <v>46108</v>
      </c>
      <c r="E16" s="47">
        <f t="shared" si="3"/>
        <v>46110</v>
      </c>
      <c r="F16" s="48" t="s">
        <v>1043</v>
      </c>
      <c r="G16" s="49">
        <f t="shared" si="4"/>
        <v>1</v>
      </c>
      <c r="H16" s="49">
        <f t="shared" si="1"/>
        <v>7.85</v>
      </c>
      <c r="I16" s="48"/>
    </row>
    <row r="17" spans="1:10">
      <c r="A17" s="44" t="s">
        <v>919</v>
      </c>
      <c r="B17" s="44" t="s">
        <v>294</v>
      </c>
      <c r="C17" s="47">
        <f t="shared" si="2"/>
        <v>46111</v>
      </c>
      <c r="D17" s="47">
        <f t="shared" si="0"/>
        <v>46115</v>
      </c>
      <c r="E17" s="47">
        <f t="shared" si="3"/>
        <v>46117</v>
      </c>
      <c r="F17" s="48" t="s">
        <v>349</v>
      </c>
      <c r="G17" s="49">
        <f t="shared" si="4"/>
        <v>1</v>
      </c>
      <c r="H17" s="49">
        <f t="shared" si="1"/>
        <v>8.9</v>
      </c>
      <c r="I17" s="48"/>
    </row>
    <row r="18" spans="1:10">
      <c r="A18" s="44" t="s">
        <v>923</v>
      </c>
      <c r="B18" s="44" t="s">
        <v>294</v>
      </c>
      <c r="C18" s="47">
        <f t="shared" si="2"/>
        <v>46118</v>
      </c>
      <c r="D18" s="47">
        <f t="shared" si="0"/>
        <v>46122</v>
      </c>
      <c r="E18" s="47">
        <f t="shared" si="3"/>
        <v>46124</v>
      </c>
      <c r="F18" s="48" t="s">
        <v>349</v>
      </c>
      <c r="G18" s="49">
        <f t="shared" si="4"/>
        <v>1</v>
      </c>
      <c r="H18" s="49">
        <f t="shared" si="1"/>
        <v>8.9</v>
      </c>
      <c r="I18" s="48"/>
    </row>
    <row r="19" spans="1:10">
      <c r="A19" s="44" t="s">
        <v>934</v>
      </c>
      <c r="B19" s="44" t="s">
        <v>294</v>
      </c>
      <c r="C19" s="47">
        <f t="shared" si="2"/>
        <v>46125</v>
      </c>
      <c r="D19" s="47">
        <f t="shared" si="0"/>
        <v>46129</v>
      </c>
      <c r="E19" s="47">
        <f t="shared" si="3"/>
        <v>46131</v>
      </c>
      <c r="F19" s="48" t="s">
        <v>349</v>
      </c>
      <c r="G19" s="49">
        <f t="shared" si="4"/>
        <v>1</v>
      </c>
      <c r="H19" s="49">
        <f t="shared" si="1"/>
        <v>8.9</v>
      </c>
      <c r="I19" s="48"/>
    </row>
    <row r="20" spans="1:10">
      <c r="A20" s="44" t="s">
        <v>1046</v>
      </c>
      <c r="B20" s="44" t="s">
        <v>294</v>
      </c>
      <c r="C20" s="47">
        <f t="shared" si="2"/>
        <v>46132</v>
      </c>
      <c r="D20" s="47">
        <f t="shared" si="0"/>
        <v>46136</v>
      </c>
      <c r="E20" s="47">
        <f t="shared" si="3"/>
        <v>46138</v>
      </c>
      <c r="F20" s="48" t="s">
        <v>349</v>
      </c>
      <c r="G20" s="49">
        <f t="shared" si="4"/>
        <v>1</v>
      </c>
      <c r="H20" s="49">
        <f t="shared" si="1"/>
        <v>8.9</v>
      </c>
      <c r="I20" s="48"/>
    </row>
    <row r="21" spans="1:10" s="67" customFormat="1" ht="40.799999999999997">
      <c r="A21" s="62" t="s">
        <v>930</v>
      </c>
      <c r="B21" s="62" t="s">
        <v>294</v>
      </c>
      <c r="C21" s="63">
        <f t="shared" si="2"/>
        <v>46139</v>
      </c>
      <c r="D21" s="63">
        <f t="shared" si="0"/>
        <v>46143</v>
      </c>
      <c r="E21" s="63">
        <f t="shared" si="3"/>
        <v>46145</v>
      </c>
      <c r="F21" s="64" t="s">
        <v>349</v>
      </c>
      <c r="G21" s="65">
        <v>0.4</v>
      </c>
      <c r="H21" s="65">
        <f t="shared" si="1"/>
        <v>8.9</v>
      </c>
      <c r="I21" s="66" t="s">
        <v>1047</v>
      </c>
    </row>
    <row r="22" spans="1:10">
      <c r="A22" s="44" t="s">
        <v>936</v>
      </c>
      <c r="B22" s="44" t="s">
        <v>276</v>
      </c>
      <c r="C22" s="47">
        <f t="shared" si="2"/>
        <v>46146</v>
      </c>
      <c r="D22" s="47">
        <f t="shared" si="0"/>
        <v>46150</v>
      </c>
      <c r="E22" s="47">
        <f t="shared" si="3"/>
        <v>46152</v>
      </c>
      <c r="F22" s="48" t="s">
        <v>108</v>
      </c>
      <c r="G22" s="49">
        <f t="shared" ref="G22:G38" si="5">6/6</f>
        <v>1</v>
      </c>
      <c r="H22" s="49">
        <f t="shared" si="1"/>
        <v>8</v>
      </c>
      <c r="I22" s="48"/>
      <c r="J22" s="168"/>
    </row>
    <row r="23" spans="1:10">
      <c r="A23" s="44" t="s">
        <v>941</v>
      </c>
      <c r="B23" s="44" t="s">
        <v>276</v>
      </c>
      <c r="C23" s="47">
        <f t="shared" si="2"/>
        <v>46153</v>
      </c>
      <c r="D23" s="47">
        <f t="shared" si="0"/>
        <v>46157</v>
      </c>
      <c r="E23" s="47">
        <f t="shared" si="3"/>
        <v>46159</v>
      </c>
      <c r="F23" s="48" t="s">
        <v>108</v>
      </c>
      <c r="G23" s="49">
        <f t="shared" si="5"/>
        <v>1</v>
      </c>
      <c r="H23" s="49">
        <f t="shared" si="1"/>
        <v>8</v>
      </c>
      <c r="I23" s="48"/>
    </row>
    <row r="24" spans="1:10">
      <c r="A24" s="44" t="s">
        <v>942</v>
      </c>
      <c r="B24" s="44" t="s">
        <v>276</v>
      </c>
      <c r="C24" s="47">
        <f t="shared" si="2"/>
        <v>46160</v>
      </c>
      <c r="D24" s="47">
        <f t="shared" si="0"/>
        <v>46164</v>
      </c>
      <c r="E24" s="47">
        <f t="shared" si="3"/>
        <v>46166</v>
      </c>
      <c r="F24" s="48" t="s">
        <v>108</v>
      </c>
      <c r="G24" s="49">
        <f t="shared" si="5"/>
        <v>1</v>
      </c>
      <c r="H24" s="49">
        <f t="shared" si="1"/>
        <v>8</v>
      </c>
      <c r="I24" s="48"/>
      <c r="J24" s="168"/>
    </row>
    <row r="25" spans="1:10">
      <c r="A25" s="44" t="s">
        <v>917</v>
      </c>
      <c r="B25" s="44" t="s">
        <v>276</v>
      </c>
      <c r="C25" s="47">
        <f t="shared" si="2"/>
        <v>46167</v>
      </c>
      <c r="D25" s="47">
        <f t="shared" si="0"/>
        <v>46171</v>
      </c>
      <c r="E25" s="47">
        <f t="shared" si="3"/>
        <v>46173</v>
      </c>
      <c r="F25" s="48" t="s">
        <v>108</v>
      </c>
      <c r="G25" s="49">
        <f t="shared" si="5"/>
        <v>1</v>
      </c>
      <c r="H25" s="49">
        <f t="shared" si="1"/>
        <v>8</v>
      </c>
      <c r="I25" s="48"/>
    </row>
    <row r="26" spans="1:10">
      <c r="A26" s="44" t="s">
        <v>927</v>
      </c>
      <c r="B26" s="44" t="s">
        <v>279</v>
      </c>
      <c r="C26" s="47">
        <f t="shared" si="2"/>
        <v>46174</v>
      </c>
      <c r="D26" s="47">
        <f t="shared" si="0"/>
        <v>46178</v>
      </c>
      <c r="E26" s="47">
        <f t="shared" si="3"/>
        <v>46180</v>
      </c>
      <c r="F26" s="48" t="s">
        <v>1048</v>
      </c>
      <c r="G26" s="49">
        <f t="shared" si="5"/>
        <v>1</v>
      </c>
      <c r="H26" s="49">
        <f t="shared" si="1"/>
        <v>8</v>
      </c>
      <c r="I26" s="48"/>
    </row>
    <row r="27" spans="1:10">
      <c r="A27" s="44" t="s">
        <v>925</v>
      </c>
      <c r="B27" s="44" t="s">
        <v>279</v>
      </c>
      <c r="C27" s="47">
        <f t="shared" si="2"/>
        <v>46181</v>
      </c>
      <c r="D27" s="47">
        <f t="shared" si="0"/>
        <v>46185</v>
      </c>
      <c r="E27" s="47">
        <f t="shared" si="3"/>
        <v>46187</v>
      </c>
      <c r="F27" s="48" t="s">
        <v>1048</v>
      </c>
      <c r="G27" s="49">
        <f t="shared" si="5"/>
        <v>1</v>
      </c>
      <c r="H27" s="49">
        <f t="shared" si="1"/>
        <v>8</v>
      </c>
      <c r="I27" s="48"/>
      <c r="J27" s="127"/>
    </row>
    <row r="28" spans="1:10">
      <c r="A28" s="44" t="s">
        <v>1049</v>
      </c>
      <c r="B28" s="44" t="s">
        <v>279</v>
      </c>
      <c r="C28" s="47">
        <f t="shared" si="2"/>
        <v>46188</v>
      </c>
      <c r="D28" s="47">
        <f t="shared" si="0"/>
        <v>46192</v>
      </c>
      <c r="E28" s="47">
        <f t="shared" si="3"/>
        <v>46194</v>
      </c>
      <c r="F28" s="48" t="s">
        <v>1048</v>
      </c>
      <c r="G28" s="49">
        <f t="shared" si="5"/>
        <v>1</v>
      </c>
      <c r="H28" s="49">
        <f t="shared" si="1"/>
        <v>8</v>
      </c>
      <c r="I28" s="48"/>
    </row>
    <row r="29" spans="1:10">
      <c r="A29" s="44" t="s">
        <v>944</v>
      </c>
      <c r="B29" s="44" t="s">
        <v>279</v>
      </c>
      <c r="C29" s="47">
        <f t="shared" si="2"/>
        <v>46195</v>
      </c>
      <c r="D29" s="47">
        <f t="shared" si="0"/>
        <v>46199</v>
      </c>
      <c r="E29" s="47">
        <f t="shared" si="3"/>
        <v>46201</v>
      </c>
      <c r="F29" s="48" t="s">
        <v>1048</v>
      </c>
      <c r="G29" s="49">
        <f t="shared" si="5"/>
        <v>1</v>
      </c>
      <c r="H29" s="49">
        <f t="shared" si="1"/>
        <v>8</v>
      </c>
      <c r="I29" s="48"/>
      <c r="J29" s="111"/>
    </row>
    <row r="30" spans="1:10">
      <c r="A30" s="44" t="s">
        <v>946</v>
      </c>
      <c r="B30" s="44" t="s">
        <v>280</v>
      </c>
      <c r="C30" s="47">
        <f t="shared" si="2"/>
        <v>46202</v>
      </c>
      <c r="D30" s="47">
        <f t="shared" si="0"/>
        <v>46206</v>
      </c>
      <c r="E30" s="47">
        <f t="shared" si="3"/>
        <v>46208</v>
      </c>
      <c r="F30" s="48" t="s">
        <v>1050</v>
      </c>
      <c r="G30" s="49">
        <f t="shared" si="5"/>
        <v>1</v>
      </c>
      <c r="H30" s="49">
        <f t="shared" si="1"/>
        <v>10</v>
      </c>
      <c r="I30" s="48"/>
      <c r="J30" s="111"/>
    </row>
    <row r="31" spans="1:10">
      <c r="A31" s="44" t="s">
        <v>1051</v>
      </c>
      <c r="B31" s="44" t="s">
        <v>280</v>
      </c>
      <c r="C31" s="47">
        <f t="shared" si="2"/>
        <v>46209</v>
      </c>
      <c r="D31" s="47">
        <f t="shared" si="0"/>
        <v>46213</v>
      </c>
      <c r="E31" s="47">
        <f t="shared" si="3"/>
        <v>46215</v>
      </c>
      <c r="F31" s="48" t="s">
        <v>1050</v>
      </c>
      <c r="G31" s="49">
        <f t="shared" si="5"/>
        <v>1</v>
      </c>
      <c r="H31" s="49">
        <f t="shared" si="1"/>
        <v>10</v>
      </c>
      <c r="I31" s="48"/>
    </row>
    <row r="32" spans="1:10" s="203" customFormat="1">
      <c r="A32" s="58" t="s">
        <v>922</v>
      </c>
      <c r="B32" s="58" t="s">
        <v>280</v>
      </c>
      <c r="C32" s="59">
        <f t="shared" si="2"/>
        <v>46216</v>
      </c>
      <c r="D32" s="59">
        <f t="shared" si="0"/>
        <v>46220</v>
      </c>
      <c r="E32" s="59">
        <f t="shared" si="3"/>
        <v>46222</v>
      </c>
      <c r="F32" s="60" t="s">
        <v>1050</v>
      </c>
      <c r="G32" s="61">
        <f t="shared" si="5"/>
        <v>1</v>
      </c>
      <c r="H32" s="61">
        <f t="shared" si="1"/>
        <v>10</v>
      </c>
      <c r="I32" s="60"/>
      <c r="J32" s="202"/>
    </row>
    <row r="33" spans="1:16">
      <c r="A33" s="44" t="s">
        <v>945</v>
      </c>
      <c r="B33" s="44" t="s">
        <v>280</v>
      </c>
      <c r="C33" s="47">
        <f t="shared" si="2"/>
        <v>46223</v>
      </c>
      <c r="D33" s="47">
        <f t="shared" si="0"/>
        <v>46227</v>
      </c>
      <c r="E33" s="47">
        <f t="shared" si="3"/>
        <v>46229</v>
      </c>
      <c r="F33" s="48" t="s">
        <v>1050</v>
      </c>
      <c r="G33" s="49">
        <f t="shared" si="5"/>
        <v>1</v>
      </c>
      <c r="H33" s="49">
        <f t="shared" si="1"/>
        <v>10</v>
      </c>
      <c r="I33" s="48"/>
    </row>
    <row r="34" spans="1:16">
      <c r="A34" s="44" t="s">
        <v>931</v>
      </c>
      <c r="B34" s="44" t="s">
        <v>280</v>
      </c>
      <c r="C34" s="47">
        <f t="shared" si="2"/>
        <v>46230</v>
      </c>
      <c r="D34" s="47">
        <f t="shared" si="0"/>
        <v>46234</v>
      </c>
      <c r="E34" s="47">
        <f t="shared" si="3"/>
        <v>46236</v>
      </c>
      <c r="F34" s="48" t="s">
        <v>1050</v>
      </c>
      <c r="G34" s="49">
        <f t="shared" si="5"/>
        <v>1</v>
      </c>
      <c r="H34" s="49">
        <f t="shared" si="1"/>
        <v>10</v>
      </c>
      <c r="I34" s="48"/>
    </row>
    <row r="35" spans="1:16">
      <c r="A35" s="44" t="s">
        <v>928</v>
      </c>
      <c r="B35" s="44" t="s">
        <v>281</v>
      </c>
      <c r="C35" s="47">
        <f t="shared" si="2"/>
        <v>46237</v>
      </c>
      <c r="D35" s="47">
        <f t="shared" si="0"/>
        <v>46241</v>
      </c>
      <c r="E35" s="47">
        <f t="shared" si="3"/>
        <v>46243</v>
      </c>
      <c r="F35" s="48" t="s">
        <v>1052</v>
      </c>
      <c r="G35" s="49">
        <f t="shared" si="5"/>
        <v>1</v>
      </c>
      <c r="H35" s="49">
        <f t="shared" si="1"/>
        <v>8</v>
      </c>
      <c r="I35" s="48"/>
    </row>
    <row r="36" spans="1:16">
      <c r="A36" s="44" t="s">
        <v>1053</v>
      </c>
      <c r="B36" s="44" t="s">
        <v>281</v>
      </c>
      <c r="C36" s="47">
        <f t="shared" si="2"/>
        <v>46244</v>
      </c>
      <c r="D36" s="47">
        <f t="shared" si="0"/>
        <v>46248</v>
      </c>
      <c r="E36" s="47">
        <f t="shared" si="3"/>
        <v>46250</v>
      </c>
      <c r="F36" s="48" t="s">
        <v>1052</v>
      </c>
      <c r="G36" s="49">
        <f t="shared" si="5"/>
        <v>1</v>
      </c>
      <c r="H36" s="49">
        <f t="shared" ref="H36:H56" si="6">SUMIF(F:F,F36,G:G)</f>
        <v>8</v>
      </c>
      <c r="I36" s="48"/>
    </row>
    <row r="37" spans="1:16">
      <c r="A37" s="44" t="s">
        <v>937</v>
      </c>
      <c r="B37" s="44" t="s">
        <v>281</v>
      </c>
      <c r="C37" s="47">
        <f t="shared" ref="C37:C55" si="7">C36+7</f>
        <v>46251</v>
      </c>
      <c r="D37" s="47">
        <f t="shared" si="0"/>
        <v>46255</v>
      </c>
      <c r="E37" s="47">
        <f t="shared" ref="E37:E55" si="8">E36+7</f>
        <v>46257</v>
      </c>
      <c r="F37" s="48" t="s">
        <v>1052</v>
      </c>
      <c r="G37" s="49">
        <f t="shared" si="5"/>
        <v>1</v>
      </c>
      <c r="H37" s="49">
        <f t="shared" si="6"/>
        <v>8</v>
      </c>
      <c r="I37" s="48"/>
    </row>
    <row r="38" spans="1:16">
      <c r="A38" s="44" t="s">
        <v>918</v>
      </c>
      <c r="B38" s="44" t="s">
        <v>281</v>
      </c>
      <c r="C38" s="47">
        <f t="shared" si="7"/>
        <v>46258</v>
      </c>
      <c r="D38" s="47">
        <f t="shared" si="0"/>
        <v>46262</v>
      </c>
      <c r="E38" s="47">
        <f t="shared" si="8"/>
        <v>46264</v>
      </c>
      <c r="F38" s="48" t="s">
        <v>1052</v>
      </c>
      <c r="G38" s="49">
        <f t="shared" si="5"/>
        <v>1</v>
      </c>
      <c r="H38" s="49">
        <f t="shared" si="6"/>
        <v>8</v>
      </c>
      <c r="I38" s="48"/>
    </row>
    <row r="39" spans="1:16">
      <c r="A39" s="50" t="s">
        <v>1054</v>
      </c>
      <c r="B39" s="50" t="s">
        <v>297</v>
      </c>
      <c r="C39" s="51">
        <f t="shared" si="7"/>
        <v>46265</v>
      </c>
      <c r="D39" s="51">
        <f t="shared" ref="D39:D102" si="9">E39-2</f>
        <v>46269</v>
      </c>
      <c r="E39" s="51">
        <f t="shared" si="8"/>
        <v>46271</v>
      </c>
      <c r="F39" s="52" t="s">
        <v>1055</v>
      </c>
      <c r="G39" s="53">
        <f>4/6</f>
        <v>0.66666666666666663</v>
      </c>
      <c r="H39" s="53">
        <f t="shared" si="6"/>
        <v>8.3333333333333321</v>
      </c>
      <c r="I39" s="52" t="s">
        <v>1056</v>
      </c>
      <c r="K39" s="168">
        <f>D45-50</f>
        <v>46261</v>
      </c>
      <c r="O39" s="111">
        <v>46300</v>
      </c>
      <c r="P39" s="111">
        <v>46304</v>
      </c>
    </row>
    <row r="40" spans="1:16">
      <c r="A40" s="44" t="s">
        <v>800</v>
      </c>
      <c r="B40" s="44" t="s">
        <v>297</v>
      </c>
      <c r="C40" s="47">
        <f t="shared" si="7"/>
        <v>46272</v>
      </c>
      <c r="D40" s="47">
        <f t="shared" si="9"/>
        <v>46276</v>
      </c>
      <c r="E40" s="223">
        <f t="shared" si="8"/>
        <v>46278</v>
      </c>
      <c r="F40" s="48" t="s">
        <v>1055</v>
      </c>
      <c r="G40" s="49">
        <f t="shared" ref="G40:G50" si="10">6/6</f>
        <v>1</v>
      </c>
      <c r="H40" s="49">
        <f t="shared" si="6"/>
        <v>8.3333333333333321</v>
      </c>
      <c r="I40" s="48"/>
      <c r="O40" s="111">
        <v>46307</v>
      </c>
      <c r="P40" s="111">
        <v>46311</v>
      </c>
    </row>
    <row r="41" spans="1:16">
      <c r="A41" s="44" t="s">
        <v>1057</v>
      </c>
      <c r="B41" s="44" t="s">
        <v>297</v>
      </c>
      <c r="C41" s="47">
        <f t="shared" si="7"/>
        <v>46279</v>
      </c>
      <c r="D41" s="47">
        <f t="shared" si="9"/>
        <v>46283</v>
      </c>
      <c r="E41" s="47">
        <f t="shared" si="8"/>
        <v>46285</v>
      </c>
      <c r="F41" s="48" t="s">
        <v>1055</v>
      </c>
      <c r="G41" s="49">
        <f t="shared" si="10"/>
        <v>1</v>
      </c>
      <c r="H41" s="49">
        <f t="shared" si="6"/>
        <v>8.3333333333333321</v>
      </c>
      <c r="I41" s="48"/>
      <c r="O41" s="111">
        <v>46314</v>
      </c>
      <c r="P41" s="111">
        <v>46318</v>
      </c>
    </row>
    <row r="42" spans="1:16">
      <c r="A42" s="44" t="s">
        <v>805</v>
      </c>
      <c r="B42" s="44" t="s">
        <v>297</v>
      </c>
      <c r="C42" s="47">
        <f t="shared" si="7"/>
        <v>46286</v>
      </c>
      <c r="D42" s="47">
        <f t="shared" si="9"/>
        <v>46290</v>
      </c>
      <c r="E42" s="47">
        <f t="shared" si="8"/>
        <v>46292</v>
      </c>
      <c r="F42" s="48" t="s">
        <v>1055</v>
      </c>
      <c r="G42" s="49">
        <f t="shared" si="10"/>
        <v>1</v>
      </c>
      <c r="H42" s="49">
        <f t="shared" si="6"/>
        <v>8.3333333333333321</v>
      </c>
      <c r="I42" s="48"/>
      <c r="O42" s="111">
        <v>46321</v>
      </c>
      <c r="P42" s="111">
        <v>46325</v>
      </c>
    </row>
    <row r="43" spans="1:16">
      <c r="A43" s="44" t="s">
        <v>801</v>
      </c>
      <c r="B43" s="44" t="s">
        <v>297</v>
      </c>
      <c r="C43" s="47">
        <f t="shared" si="7"/>
        <v>46293</v>
      </c>
      <c r="D43" s="47">
        <f t="shared" si="9"/>
        <v>46297</v>
      </c>
      <c r="E43" s="47">
        <f t="shared" si="8"/>
        <v>46299</v>
      </c>
      <c r="F43" s="48" t="s">
        <v>1055</v>
      </c>
      <c r="G43" s="49">
        <f t="shared" si="10"/>
        <v>1</v>
      </c>
      <c r="H43" s="49">
        <f t="shared" si="6"/>
        <v>8.3333333333333321</v>
      </c>
      <c r="I43" s="48"/>
      <c r="O43" s="111">
        <v>46328</v>
      </c>
      <c r="P43" s="111">
        <v>46332</v>
      </c>
    </row>
    <row r="44" spans="1:16">
      <c r="A44" s="44" t="s">
        <v>1058</v>
      </c>
      <c r="B44" s="44" t="s">
        <v>303</v>
      </c>
      <c r="C44" s="47">
        <f t="shared" si="7"/>
        <v>46300</v>
      </c>
      <c r="D44" s="47">
        <f t="shared" si="9"/>
        <v>46304</v>
      </c>
      <c r="E44" s="47">
        <f t="shared" si="8"/>
        <v>46306</v>
      </c>
      <c r="F44" s="48" t="s">
        <v>1059</v>
      </c>
      <c r="G44" s="49">
        <f t="shared" si="10"/>
        <v>1</v>
      </c>
      <c r="H44" s="49">
        <f t="shared" si="6"/>
        <v>9</v>
      </c>
      <c r="I44" s="48"/>
      <c r="O44" s="111">
        <v>46335</v>
      </c>
      <c r="P44" s="111">
        <v>46339</v>
      </c>
    </row>
    <row r="45" spans="1:16">
      <c r="A45" s="44" t="s">
        <v>1060</v>
      </c>
      <c r="B45" s="44" t="s">
        <v>303</v>
      </c>
      <c r="C45" s="47">
        <f t="shared" si="7"/>
        <v>46307</v>
      </c>
      <c r="D45" s="47">
        <f t="shared" si="9"/>
        <v>46311</v>
      </c>
      <c r="E45" s="47">
        <f t="shared" si="8"/>
        <v>46313</v>
      </c>
      <c r="F45" s="48" t="s">
        <v>1059</v>
      </c>
      <c r="G45" s="49">
        <f t="shared" si="10"/>
        <v>1</v>
      </c>
      <c r="H45" s="49">
        <f t="shared" si="6"/>
        <v>9</v>
      </c>
      <c r="I45" s="48"/>
      <c r="O45" s="111">
        <v>46342</v>
      </c>
      <c r="P45" s="111">
        <v>46346</v>
      </c>
    </row>
    <row r="46" spans="1:16">
      <c r="A46" s="44" t="s">
        <v>816</v>
      </c>
      <c r="B46" s="44" t="s">
        <v>303</v>
      </c>
      <c r="C46" s="47">
        <f t="shared" si="7"/>
        <v>46314</v>
      </c>
      <c r="D46" s="47">
        <f t="shared" si="9"/>
        <v>46318</v>
      </c>
      <c r="E46" s="47">
        <f t="shared" si="8"/>
        <v>46320</v>
      </c>
      <c r="F46" s="48" t="s">
        <v>1059</v>
      </c>
      <c r="G46" s="49">
        <f t="shared" si="10"/>
        <v>1</v>
      </c>
      <c r="H46" s="49">
        <f t="shared" si="6"/>
        <v>9</v>
      </c>
      <c r="I46" s="48"/>
      <c r="O46" s="111">
        <v>46349</v>
      </c>
      <c r="P46" s="111">
        <v>46353</v>
      </c>
    </row>
    <row r="47" spans="1:16">
      <c r="A47" s="44" t="s">
        <v>815</v>
      </c>
      <c r="B47" s="44" t="s">
        <v>303</v>
      </c>
      <c r="C47" s="47">
        <f t="shared" si="7"/>
        <v>46321</v>
      </c>
      <c r="D47" s="47">
        <f t="shared" si="9"/>
        <v>46325</v>
      </c>
      <c r="E47" s="47">
        <f t="shared" si="8"/>
        <v>46327</v>
      </c>
      <c r="F47" s="48" t="s">
        <v>1059</v>
      </c>
      <c r="G47" s="49">
        <f t="shared" si="10"/>
        <v>1</v>
      </c>
      <c r="H47" s="49">
        <f t="shared" si="6"/>
        <v>9</v>
      </c>
      <c r="I47" s="48"/>
      <c r="O47" s="111">
        <v>46356</v>
      </c>
      <c r="P47" s="111">
        <v>46360</v>
      </c>
    </row>
    <row r="48" spans="1:16">
      <c r="A48" s="44" t="s">
        <v>818</v>
      </c>
      <c r="B48" s="44" t="s">
        <v>312</v>
      </c>
      <c r="C48" s="47">
        <f t="shared" si="7"/>
        <v>46328</v>
      </c>
      <c r="D48" s="47">
        <f t="shared" si="9"/>
        <v>46332</v>
      </c>
      <c r="E48" s="47">
        <f t="shared" si="8"/>
        <v>46334</v>
      </c>
      <c r="F48" s="48" t="s">
        <v>1061</v>
      </c>
      <c r="G48" s="49">
        <f t="shared" si="10"/>
        <v>1</v>
      </c>
      <c r="H48" s="49">
        <f t="shared" si="6"/>
        <v>7.666666666666667</v>
      </c>
      <c r="I48" s="48"/>
      <c r="O48" s="111">
        <v>46363</v>
      </c>
      <c r="P48" s="111">
        <v>46367</v>
      </c>
    </row>
    <row r="49" spans="1:16">
      <c r="A49" s="44" t="s">
        <v>802</v>
      </c>
      <c r="B49" s="44" t="s">
        <v>312</v>
      </c>
      <c r="C49" s="47">
        <f t="shared" si="7"/>
        <v>46335</v>
      </c>
      <c r="D49" s="47">
        <f t="shared" si="9"/>
        <v>46339</v>
      </c>
      <c r="E49" s="47">
        <f t="shared" si="8"/>
        <v>46341</v>
      </c>
      <c r="F49" s="48" t="s">
        <v>1061</v>
      </c>
      <c r="G49" s="49">
        <f t="shared" si="10"/>
        <v>1</v>
      </c>
      <c r="H49" s="49">
        <f t="shared" si="6"/>
        <v>7.666666666666667</v>
      </c>
      <c r="I49" s="48"/>
      <c r="O49" s="111">
        <v>46370</v>
      </c>
      <c r="P49" s="111">
        <v>46374</v>
      </c>
    </row>
    <row r="50" spans="1:16">
      <c r="A50" s="44" t="s">
        <v>806</v>
      </c>
      <c r="B50" s="44" t="s">
        <v>312</v>
      </c>
      <c r="C50" s="47">
        <f t="shared" si="7"/>
        <v>46342</v>
      </c>
      <c r="D50" s="47">
        <f t="shared" si="9"/>
        <v>46346</v>
      </c>
      <c r="E50" s="47">
        <f t="shared" si="8"/>
        <v>46348</v>
      </c>
      <c r="F50" s="48" t="s">
        <v>1061</v>
      </c>
      <c r="G50" s="49">
        <f t="shared" si="10"/>
        <v>1</v>
      </c>
      <c r="H50" s="49">
        <f t="shared" si="6"/>
        <v>7.666666666666667</v>
      </c>
      <c r="I50" s="48"/>
      <c r="O50" s="111">
        <v>46377</v>
      </c>
      <c r="P50" s="111">
        <v>46381</v>
      </c>
    </row>
    <row r="51" spans="1:16">
      <c r="A51" s="50" t="s">
        <v>810</v>
      </c>
      <c r="B51" s="50" t="s">
        <v>312</v>
      </c>
      <c r="C51" s="51">
        <f t="shared" si="7"/>
        <v>46349</v>
      </c>
      <c r="D51" s="51">
        <f t="shared" si="9"/>
        <v>46353</v>
      </c>
      <c r="E51" s="51">
        <f t="shared" si="8"/>
        <v>46355</v>
      </c>
      <c r="F51" s="52" t="s">
        <v>1061</v>
      </c>
      <c r="G51" s="53">
        <f>5/6</f>
        <v>0.83333333333333337</v>
      </c>
      <c r="H51" s="53">
        <f t="shared" si="6"/>
        <v>7.666666666666667</v>
      </c>
      <c r="I51" s="52" t="s">
        <v>1062</v>
      </c>
      <c r="O51" s="111">
        <v>46384</v>
      </c>
      <c r="P51" s="111">
        <v>46388</v>
      </c>
    </row>
    <row r="52" spans="1:16">
      <c r="A52" s="44" t="s">
        <v>803</v>
      </c>
      <c r="B52" s="44" t="s">
        <v>333</v>
      </c>
      <c r="C52" s="47">
        <f t="shared" si="7"/>
        <v>46356</v>
      </c>
      <c r="D52" s="47">
        <f t="shared" si="9"/>
        <v>46360</v>
      </c>
      <c r="E52" s="47">
        <f t="shared" si="8"/>
        <v>46362</v>
      </c>
      <c r="F52" s="48" t="s">
        <v>1063</v>
      </c>
      <c r="G52" s="49">
        <f>6/6</f>
        <v>1</v>
      </c>
      <c r="H52" s="49">
        <f t="shared" si="6"/>
        <v>8</v>
      </c>
      <c r="I52" s="48"/>
      <c r="O52" s="111">
        <v>46391</v>
      </c>
      <c r="P52" s="111">
        <v>46395</v>
      </c>
    </row>
    <row r="53" spans="1:16">
      <c r="A53" s="44" t="s">
        <v>852</v>
      </c>
      <c r="B53" s="44" t="s">
        <v>333</v>
      </c>
      <c r="C53" s="47">
        <f t="shared" si="7"/>
        <v>46363</v>
      </c>
      <c r="D53" s="47">
        <f t="shared" si="9"/>
        <v>46367</v>
      </c>
      <c r="E53" s="47">
        <f t="shared" si="8"/>
        <v>46369</v>
      </c>
      <c r="F53" s="48" t="s">
        <v>1063</v>
      </c>
      <c r="G53" s="49">
        <f>6/6</f>
        <v>1</v>
      </c>
      <c r="H53" s="49">
        <f t="shared" si="6"/>
        <v>8</v>
      </c>
      <c r="I53" s="48"/>
      <c r="O53" s="111">
        <v>46398</v>
      </c>
      <c r="P53" s="111">
        <v>46402</v>
      </c>
    </row>
    <row r="54" spans="1:16">
      <c r="A54" s="44" t="s">
        <v>1064</v>
      </c>
      <c r="B54" s="44" t="s">
        <v>333</v>
      </c>
      <c r="C54" s="47">
        <f t="shared" si="7"/>
        <v>46370</v>
      </c>
      <c r="D54" s="47">
        <f t="shared" si="9"/>
        <v>46374</v>
      </c>
      <c r="E54" s="47">
        <f t="shared" si="8"/>
        <v>46376</v>
      </c>
      <c r="F54" s="48" t="s">
        <v>1063</v>
      </c>
      <c r="G54" s="49">
        <f>6/6</f>
        <v>1</v>
      </c>
      <c r="H54" s="49">
        <f t="shared" si="6"/>
        <v>8</v>
      </c>
      <c r="I54" s="48"/>
      <c r="O54" s="111">
        <v>46405</v>
      </c>
      <c r="P54" s="111">
        <v>46409</v>
      </c>
    </row>
    <row r="55" spans="1:16">
      <c r="A55" s="44" t="s">
        <v>817</v>
      </c>
      <c r="B55" s="44" t="s">
        <v>333</v>
      </c>
      <c r="C55" s="47">
        <f t="shared" si="7"/>
        <v>46377</v>
      </c>
      <c r="D55" s="47">
        <f t="shared" si="9"/>
        <v>46381</v>
      </c>
      <c r="E55" s="47">
        <f t="shared" si="8"/>
        <v>46383</v>
      </c>
      <c r="F55" s="48" t="s">
        <v>1063</v>
      </c>
      <c r="G55" s="49">
        <f>6/6</f>
        <v>1</v>
      </c>
      <c r="H55" s="49">
        <f t="shared" si="6"/>
        <v>8</v>
      </c>
      <c r="I55" s="48"/>
      <c r="O55" s="111">
        <v>46412</v>
      </c>
      <c r="P55" s="111">
        <v>46416</v>
      </c>
    </row>
    <row r="56" spans="1:16" s="203" customFormat="1">
      <c r="A56" s="261" t="s">
        <v>819</v>
      </c>
      <c r="B56" s="261" t="s">
        <v>319</v>
      </c>
      <c r="C56" s="262">
        <v>46384</v>
      </c>
      <c r="D56" s="59">
        <f t="shared" si="9"/>
        <v>46388</v>
      </c>
      <c r="E56" s="262">
        <f>C56+6</f>
        <v>46390</v>
      </c>
      <c r="F56" s="263" t="s">
        <v>1027</v>
      </c>
      <c r="G56" s="264">
        <f>5/6</f>
        <v>0.83333333333333337</v>
      </c>
      <c r="H56" s="264">
        <f t="shared" si="6"/>
        <v>9.4166666666666679</v>
      </c>
      <c r="I56" s="60" t="s">
        <v>1028</v>
      </c>
      <c r="O56" s="202">
        <v>46419</v>
      </c>
      <c r="P56" s="202">
        <v>46423</v>
      </c>
    </row>
    <row r="57" spans="1:16">
      <c r="A57" s="44" t="s">
        <v>831</v>
      </c>
      <c r="B57" s="44" t="s">
        <v>319</v>
      </c>
      <c r="C57" s="47">
        <f>C56+7</f>
        <v>46391</v>
      </c>
      <c r="D57" s="47">
        <f t="shared" si="9"/>
        <v>46395</v>
      </c>
      <c r="E57" s="47">
        <f t="shared" ref="E57:E107" si="11">E56+7</f>
        <v>46397</v>
      </c>
      <c r="F57" s="48" t="s">
        <v>1027</v>
      </c>
      <c r="G57" s="49">
        <v>1</v>
      </c>
      <c r="H57" s="49">
        <v>4.5833333333333339</v>
      </c>
      <c r="I57" s="48"/>
      <c r="O57" s="111">
        <v>46426</v>
      </c>
      <c r="P57" s="111">
        <v>46430</v>
      </c>
    </row>
    <row r="58" spans="1:16">
      <c r="A58" s="44" t="s">
        <v>807</v>
      </c>
      <c r="B58" s="44" t="s">
        <v>319</v>
      </c>
      <c r="C58" s="47">
        <f t="shared" ref="C58:C107" si="12">C57+7</f>
        <v>46398</v>
      </c>
      <c r="D58" s="47">
        <f t="shared" si="9"/>
        <v>46402</v>
      </c>
      <c r="E58" s="47">
        <f t="shared" si="11"/>
        <v>46404</v>
      </c>
      <c r="F58" s="48" t="s">
        <v>1027</v>
      </c>
      <c r="G58" s="49">
        <v>1</v>
      </c>
      <c r="H58" s="49">
        <v>4.5833333333333339</v>
      </c>
      <c r="I58" s="48"/>
      <c r="O58" s="111">
        <v>46433</v>
      </c>
      <c r="P58" s="111">
        <v>46437</v>
      </c>
    </row>
    <row r="59" spans="1:16">
      <c r="A59" s="44" t="s">
        <v>809</v>
      </c>
      <c r="B59" s="44" t="s">
        <v>319</v>
      </c>
      <c r="C59" s="47">
        <f t="shared" si="12"/>
        <v>46405</v>
      </c>
      <c r="D59" s="47">
        <f t="shared" si="9"/>
        <v>46409</v>
      </c>
      <c r="E59" s="47">
        <f t="shared" si="11"/>
        <v>46411</v>
      </c>
      <c r="F59" s="48" t="s">
        <v>1027</v>
      </c>
      <c r="G59" s="49">
        <v>1</v>
      </c>
      <c r="H59" s="49">
        <v>4.5833333333333339</v>
      </c>
      <c r="I59" s="48"/>
      <c r="O59" s="111">
        <v>46440</v>
      </c>
      <c r="P59" s="111">
        <v>46444</v>
      </c>
    </row>
    <row r="60" spans="1:16">
      <c r="A60" s="44" t="s">
        <v>824</v>
      </c>
      <c r="B60" s="44" t="s">
        <v>319</v>
      </c>
      <c r="C60" s="47">
        <f t="shared" si="12"/>
        <v>46412</v>
      </c>
      <c r="D60" s="47">
        <f t="shared" si="9"/>
        <v>46416</v>
      </c>
      <c r="E60" s="47">
        <f t="shared" si="11"/>
        <v>46418</v>
      </c>
      <c r="F60" s="48" t="s">
        <v>1027</v>
      </c>
      <c r="G60" s="49">
        <v>0.75</v>
      </c>
      <c r="H60" s="49">
        <v>4.5833333333333339</v>
      </c>
      <c r="I60" s="48" t="s">
        <v>1034</v>
      </c>
      <c r="O60" s="111">
        <v>46447</v>
      </c>
      <c r="P60" s="111">
        <v>46451</v>
      </c>
    </row>
    <row r="61" spans="1:16">
      <c r="A61" s="266" t="s">
        <v>1065</v>
      </c>
      <c r="B61" s="266" t="s">
        <v>346</v>
      </c>
      <c r="C61" s="267">
        <f t="shared" si="12"/>
        <v>46419</v>
      </c>
      <c r="D61" s="267">
        <f t="shared" si="9"/>
        <v>46423</v>
      </c>
      <c r="E61" s="267">
        <f t="shared" si="11"/>
        <v>46425</v>
      </c>
      <c r="F61" s="268" t="s">
        <v>1033</v>
      </c>
      <c r="G61" s="269">
        <v>0</v>
      </c>
      <c r="H61" s="269">
        <v>1.75</v>
      </c>
      <c r="I61" s="268" t="s">
        <v>1038</v>
      </c>
      <c r="O61" s="111">
        <v>46454</v>
      </c>
      <c r="P61" s="111">
        <v>46458</v>
      </c>
    </row>
    <row r="62" spans="1:16">
      <c r="A62" s="266" t="s">
        <v>1066</v>
      </c>
      <c r="B62" s="266" t="s">
        <v>346</v>
      </c>
      <c r="C62" s="267">
        <f t="shared" si="12"/>
        <v>46426</v>
      </c>
      <c r="D62" s="267">
        <f t="shared" si="9"/>
        <v>46430</v>
      </c>
      <c r="E62" s="267">
        <f t="shared" si="11"/>
        <v>46432</v>
      </c>
      <c r="F62" s="268" t="s">
        <v>1033</v>
      </c>
      <c r="G62" s="269">
        <v>0</v>
      </c>
      <c r="H62" s="269">
        <v>1.75</v>
      </c>
      <c r="I62" s="268" t="s">
        <v>1038</v>
      </c>
      <c r="O62" s="111">
        <v>46461</v>
      </c>
      <c r="P62" s="111">
        <v>46465</v>
      </c>
    </row>
    <row r="63" spans="1:16">
      <c r="A63" s="44" t="s">
        <v>1067</v>
      </c>
      <c r="B63" s="44" t="s">
        <v>346</v>
      </c>
      <c r="C63" s="47">
        <f t="shared" si="12"/>
        <v>46433</v>
      </c>
      <c r="D63" s="47">
        <f t="shared" si="9"/>
        <v>46437</v>
      </c>
      <c r="E63" s="47">
        <f t="shared" si="11"/>
        <v>46439</v>
      </c>
      <c r="F63" s="48" t="s">
        <v>1033</v>
      </c>
      <c r="G63" s="49">
        <v>0.75</v>
      </c>
      <c r="H63" s="49">
        <v>1.75</v>
      </c>
      <c r="I63" s="48" t="s">
        <v>1044</v>
      </c>
    </row>
    <row r="64" spans="1:16">
      <c r="A64" s="44" t="s">
        <v>822</v>
      </c>
      <c r="B64" s="44" t="s">
        <v>346</v>
      </c>
      <c r="C64" s="47">
        <f t="shared" si="12"/>
        <v>46440</v>
      </c>
      <c r="D64" s="47">
        <f t="shared" si="9"/>
        <v>46444</v>
      </c>
      <c r="E64" s="47">
        <f t="shared" si="11"/>
        <v>46446</v>
      </c>
      <c r="F64" s="48" t="s">
        <v>1033</v>
      </c>
      <c r="G64" s="49">
        <v>1</v>
      </c>
      <c r="H64" s="49">
        <v>1.75</v>
      </c>
      <c r="I64" s="48"/>
    </row>
    <row r="65" spans="1:10">
      <c r="A65" s="44" t="s">
        <v>1068</v>
      </c>
      <c r="B65" s="44" t="s">
        <v>347</v>
      </c>
      <c r="C65" s="47">
        <f t="shared" si="12"/>
        <v>46447</v>
      </c>
      <c r="D65" s="47">
        <f t="shared" si="9"/>
        <v>46451</v>
      </c>
      <c r="E65" s="47">
        <f t="shared" si="11"/>
        <v>46453</v>
      </c>
      <c r="F65" s="48" t="s">
        <v>1043</v>
      </c>
      <c r="G65" s="49">
        <v>1</v>
      </c>
      <c r="H65" s="49">
        <v>4</v>
      </c>
      <c r="I65" s="48"/>
    </row>
    <row r="66" spans="1:10">
      <c r="A66" s="44" t="s">
        <v>1069</v>
      </c>
      <c r="B66" s="44" t="s">
        <v>347</v>
      </c>
      <c r="C66" s="47">
        <f t="shared" si="12"/>
        <v>46454</v>
      </c>
      <c r="D66" s="47">
        <f t="shared" si="9"/>
        <v>46458</v>
      </c>
      <c r="E66" s="47">
        <f t="shared" si="11"/>
        <v>46460</v>
      </c>
      <c r="F66" s="48" t="s">
        <v>1043</v>
      </c>
      <c r="G66" s="49">
        <v>1</v>
      </c>
      <c r="H66" s="49">
        <v>4</v>
      </c>
      <c r="I66" s="48"/>
    </row>
    <row r="67" spans="1:10">
      <c r="A67" s="44" t="s">
        <v>823</v>
      </c>
      <c r="B67" s="44" t="s">
        <v>347</v>
      </c>
      <c r="C67" s="47">
        <f t="shared" si="12"/>
        <v>46461</v>
      </c>
      <c r="D67" s="47">
        <f t="shared" si="9"/>
        <v>46465</v>
      </c>
      <c r="E67" s="47">
        <f t="shared" si="11"/>
        <v>46467</v>
      </c>
      <c r="F67" s="48" t="s">
        <v>1043</v>
      </c>
      <c r="G67" s="49">
        <v>1</v>
      </c>
      <c r="H67" s="49">
        <v>4</v>
      </c>
      <c r="I67" s="48"/>
      <c r="J67" s="168">
        <f>E67+50</f>
        <v>46517</v>
      </c>
    </row>
    <row r="68" spans="1:10">
      <c r="A68" s="44" t="s">
        <v>820</v>
      </c>
      <c r="B68" s="44" t="s">
        <v>347</v>
      </c>
      <c r="C68" s="47">
        <f t="shared" si="12"/>
        <v>46468</v>
      </c>
      <c r="D68" s="47">
        <f t="shared" si="9"/>
        <v>46472</v>
      </c>
      <c r="E68" s="47">
        <f t="shared" si="11"/>
        <v>46474</v>
      </c>
      <c r="F68" s="48" t="s">
        <v>1043</v>
      </c>
      <c r="G68" s="49">
        <v>1</v>
      </c>
      <c r="H68" s="49">
        <v>4</v>
      </c>
      <c r="I68" s="48"/>
    </row>
    <row r="69" spans="1:10">
      <c r="A69" s="44" t="s">
        <v>821</v>
      </c>
      <c r="B69" s="44" t="s">
        <v>337</v>
      </c>
      <c r="C69" s="47">
        <f t="shared" si="12"/>
        <v>46475</v>
      </c>
      <c r="D69" s="47">
        <f t="shared" si="9"/>
        <v>46479</v>
      </c>
      <c r="E69" s="47">
        <f t="shared" si="11"/>
        <v>46481</v>
      </c>
      <c r="F69" s="48" t="s">
        <v>349</v>
      </c>
      <c r="G69" s="49">
        <v>1</v>
      </c>
      <c r="H69" s="49">
        <v>4.5</v>
      </c>
      <c r="I69" s="48"/>
    </row>
    <row r="70" spans="1:10">
      <c r="A70" s="44" t="s">
        <v>826</v>
      </c>
      <c r="B70" s="44" t="s">
        <v>337</v>
      </c>
      <c r="C70" s="47">
        <f t="shared" si="12"/>
        <v>46482</v>
      </c>
      <c r="D70" s="47">
        <f t="shared" si="9"/>
        <v>46486</v>
      </c>
      <c r="E70" s="47">
        <f t="shared" si="11"/>
        <v>46488</v>
      </c>
      <c r="F70" s="48" t="s">
        <v>349</v>
      </c>
      <c r="G70" s="49">
        <v>1</v>
      </c>
      <c r="H70" s="49">
        <v>4.5</v>
      </c>
      <c r="I70" s="48"/>
    </row>
    <row r="71" spans="1:10">
      <c r="A71" s="44" t="s">
        <v>827</v>
      </c>
      <c r="B71" s="44" t="s">
        <v>337</v>
      </c>
      <c r="C71" s="47">
        <f t="shared" si="12"/>
        <v>46489</v>
      </c>
      <c r="D71" s="47">
        <f t="shared" si="9"/>
        <v>46493</v>
      </c>
      <c r="E71" s="47">
        <f t="shared" si="11"/>
        <v>46495</v>
      </c>
      <c r="F71" s="48" t="s">
        <v>349</v>
      </c>
      <c r="G71" s="49">
        <v>0.83333333333333337</v>
      </c>
      <c r="H71" s="49">
        <v>4.5</v>
      </c>
      <c r="I71" s="48" t="s">
        <v>1070</v>
      </c>
    </row>
    <row r="72" spans="1:10">
      <c r="A72" s="44" t="s">
        <v>1071</v>
      </c>
      <c r="B72" s="44" t="s">
        <v>337</v>
      </c>
      <c r="C72" s="47">
        <f t="shared" si="12"/>
        <v>46496</v>
      </c>
      <c r="D72" s="47">
        <f t="shared" si="9"/>
        <v>46500</v>
      </c>
      <c r="E72" s="47">
        <f t="shared" si="11"/>
        <v>46502</v>
      </c>
      <c r="F72" s="48" t="s">
        <v>349</v>
      </c>
      <c r="G72" s="49">
        <v>1</v>
      </c>
      <c r="H72" s="49">
        <v>4.5</v>
      </c>
      <c r="I72" s="48"/>
    </row>
    <row r="73" spans="1:10">
      <c r="A73" s="44" t="s">
        <v>1072</v>
      </c>
      <c r="B73" s="44" t="s">
        <v>337</v>
      </c>
      <c r="C73" s="47">
        <f t="shared" si="12"/>
        <v>46503</v>
      </c>
      <c r="D73" s="47">
        <f t="shared" si="9"/>
        <v>46504</v>
      </c>
      <c r="E73" s="260">
        <v>46506</v>
      </c>
      <c r="F73" s="48" t="s">
        <v>349</v>
      </c>
      <c r="G73" s="49">
        <v>0.66666666666666663</v>
      </c>
      <c r="H73" s="49">
        <v>4.5</v>
      </c>
      <c r="I73" s="48" t="s">
        <v>1073</v>
      </c>
    </row>
    <row r="74" spans="1:10">
      <c r="A74" s="44" t="s">
        <v>828</v>
      </c>
      <c r="B74" s="44" t="s">
        <v>332</v>
      </c>
      <c r="C74" s="59">
        <f t="shared" si="12"/>
        <v>46510</v>
      </c>
      <c r="D74" s="59">
        <f t="shared" si="9"/>
        <v>46514</v>
      </c>
      <c r="E74" s="59">
        <v>46516</v>
      </c>
      <c r="F74" s="48" t="s">
        <v>108</v>
      </c>
      <c r="G74" s="49">
        <v>1</v>
      </c>
      <c r="H74" s="49">
        <v>4</v>
      </c>
      <c r="I74" s="48"/>
    </row>
    <row r="75" spans="1:10">
      <c r="A75" s="44" t="s">
        <v>1074</v>
      </c>
      <c r="B75" s="44" t="s">
        <v>332</v>
      </c>
      <c r="C75" s="47">
        <f t="shared" si="12"/>
        <v>46517</v>
      </c>
      <c r="D75" s="47">
        <f t="shared" si="9"/>
        <v>46521</v>
      </c>
      <c r="E75" s="47">
        <f t="shared" si="11"/>
        <v>46523</v>
      </c>
      <c r="F75" s="48" t="s">
        <v>108</v>
      </c>
      <c r="G75" s="49">
        <v>1</v>
      </c>
      <c r="H75" s="49">
        <v>4</v>
      </c>
      <c r="I75" s="48"/>
    </row>
    <row r="76" spans="1:10">
      <c r="A76" s="44" t="s">
        <v>1075</v>
      </c>
      <c r="B76" s="44" t="s">
        <v>332</v>
      </c>
      <c r="C76" s="47">
        <f t="shared" si="12"/>
        <v>46524</v>
      </c>
      <c r="D76" s="47">
        <f t="shared" si="9"/>
        <v>46528</v>
      </c>
      <c r="E76" s="47">
        <f t="shared" si="11"/>
        <v>46530</v>
      </c>
      <c r="F76" s="48" t="s">
        <v>108</v>
      </c>
      <c r="G76" s="49">
        <v>1</v>
      </c>
      <c r="H76" s="49">
        <v>4</v>
      </c>
      <c r="I76" s="48"/>
    </row>
    <row r="77" spans="1:10">
      <c r="A77" s="44" t="s">
        <v>1076</v>
      </c>
      <c r="B77" s="44" t="s">
        <v>332</v>
      </c>
      <c r="C77" s="47">
        <f t="shared" si="12"/>
        <v>46531</v>
      </c>
      <c r="D77" s="47">
        <f t="shared" si="9"/>
        <v>46535</v>
      </c>
      <c r="E77" s="47">
        <f t="shared" si="11"/>
        <v>46537</v>
      </c>
      <c r="F77" s="48" t="s">
        <v>108</v>
      </c>
      <c r="G77" s="49">
        <v>1</v>
      </c>
      <c r="H77" s="49">
        <v>4</v>
      </c>
      <c r="I77" s="48"/>
    </row>
    <row r="78" spans="1:10">
      <c r="A78" s="44" t="s">
        <v>1077</v>
      </c>
      <c r="B78" s="44" t="s">
        <v>286</v>
      </c>
      <c r="C78" s="47">
        <f t="shared" si="12"/>
        <v>46538</v>
      </c>
      <c r="D78" s="47">
        <f t="shared" si="9"/>
        <v>46542</v>
      </c>
      <c r="E78" s="47">
        <f t="shared" si="11"/>
        <v>46544</v>
      </c>
      <c r="F78" s="48" t="s">
        <v>1048</v>
      </c>
      <c r="G78" s="49">
        <v>1</v>
      </c>
      <c r="H78" s="49">
        <v>4</v>
      </c>
      <c r="I78" s="48"/>
    </row>
    <row r="79" spans="1:10">
      <c r="A79" s="44" t="s">
        <v>1078</v>
      </c>
      <c r="B79" s="44" t="s">
        <v>286</v>
      </c>
      <c r="C79" s="47">
        <f t="shared" si="12"/>
        <v>46545</v>
      </c>
      <c r="D79" s="47">
        <f t="shared" si="9"/>
        <v>46549</v>
      </c>
      <c r="E79" s="47">
        <f t="shared" si="11"/>
        <v>46551</v>
      </c>
      <c r="F79" s="48" t="s">
        <v>1048</v>
      </c>
      <c r="G79" s="49">
        <v>1</v>
      </c>
      <c r="H79" s="49">
        <v>4</v>
      </c>
      <c r="I79" s="48"/>
    </row>
    <row r="80" spans="1:10">
      <c r="A80" s="44" t="s">
        <v>1079</v>
      </c>
      <c r="B80" s="44" t="s">
        <v>286</v>
      </c>
      <c r="C80" s="47">
        <f t="shared" si="12"/>
        <v>46552</v>
      </c>
      <c r="D80" s="47">
        <f t="shared" si="9"/>
        <v>46556</v>
      </c>
      <c r="E80" s="47">
        <f t="shared" si="11"/>
        <v>46558</v>
      </c>
      <c r="F80" s="48" t="s">
        <v>1048</v>
      </c>
      <c r="G80" s="49">
        <v>1</v>
      </c>
      <c r="H80" s="49">
        <v>4</v>
      </c>
      <c r="I80" s="48"/>
    </row>
    <row r="81" spans="1:9">
      <c r="A81" s="44" t="s">
        <v>829</v>
      </c>
      <c r="B81" s="44" t="s">
        <v>286</v>
      </c>
      <c r="C81" s="47">
        <f t="shared" si="12"/>
        <v>46559</v>
      </c>
      <c r="D81" s="47">
        <f t="shared" si="9"/>
        <v>46563</v>
      </c>
      <c r="E81" s="47">
        <f t="shared" si="11"/>
        <v>46565</v>
      </c>
      <c r="F81" s="48" t="s">
        <v>1048</v>
      </c>
      <c r="G81" s="49">
        <v>1</v>
      </c>
      <c r="H81" s="49">
        <v>4</v>
      </c>
      <c r="I81" s="48"/>
    </row>
    <row r="82" spans="1:9">
      <c r="A82" s="44" t="s">
        <v>1080</v>
      </c>
      <c r="B82" s="44" t="s">
        <v>288</v>
      </c>
      <c r="C82" s="47">
        <f t="shared" si="12"/>
        <v>46566</v>
      </c>
      <c r="D82" s="47">
        <f t="shared" si="9"/>
        <v>46570</v>
      </c>
      <c r="E82" s="47">
        <f t="shared" si="11"/>
        <v>46572</v>
      </c>
      <c r="F82" s="48" t="s">
        <v>1050</v>
      </c>
      <c r="G82" s="49">
        <v>1</v>
      </c>
      <c r="H82" s="49">
        <v>5</v>
      </c>
      <c r="I82" s="48"/>
    </row>
    <row r="83" spans="1:9">
      <c r="A83" s="44" t="s">
        <v>1081</v>
      </c>
      <c r="B83" s="44" t="s">
        <v>288</v>
      </c>
      <c r="C83" s="47">
        <f t="shared" si="12"/>
        <v>46573</v>
      </c>
      <c r="D83" s="47">
        <f t="shared" si="9"/>
        <v>46577</v>
      </c>
      <c r="E83" s="47">
        <f t="shared" si="11"/>
        <v>46579</v>
      </c>
      <c r="F83" s="48" t="s">
        <v>1050</v>
      </c>
      <c r="G83" s="49">
        <v>1</v>
      </c>
      <c r="H83" s="49">
        <v>5</v>
      </c>
      <c r="I83" s="48"/>
    </row>
    <row r="84" spans="1:9">
      <c r="A84" s="44" t="s">
        <v>1082</v>
      </c>
      <c r="B84" s="44" t="s">
        <v>288</v>
      </c>
      <c r="C84" s="47">
        <f t="shared" si="12"/>
        <v>46580</v>
      </c>
      <c r="D84" s="47">
        <f t="shared" si="9"/>
        <v>46584</v>
      </c>
      <c r="E84" s="47">
        <f t="shared" si="11"/>
        <v>46586</v>
      </c>
      <c r="F84" s="48" t="s">
        <v>1050</v>
      </c>
      <c r="G84" s="49">
        <v>1</v>
      </c>
      <c r="H84" s="49">
        <v>5</v>
      </c>
      <c r="I84" s="48"/>
    </row>
    <row r="85" spans="1:9">
      <c r="A85" s="44" t="s">
        <v>1083</v>
      </c>
      <c r="B85" s="44" t="s">
        <v>288</v>
      </c>
      <c r="C85" s="47">
        <f t="shared" si="12"/>
        <v>46587</v>
      </c>
      <c r="D85" s="47">
        <f t="shared" si="9"/>
        <v>46591</v>
      </c>
      <c r="E85" s="47">
        <f t="shared" si="11"/>
        <v>46593</v>
      </c>
      <c r="F85" s="48" t="s">
        <v>1050</v>
      </c>
      <c r="G85" s="49">
        <v>1</v>
      </c>
      <c r="H85" s="49">
        <v>5</v>
      </c>
      <c r="I85" s="48"/>
    </row>
    <row r="86" spans="1:9">
      <c r="A86" s="44" t="s">
        <v>1084</v>
      </c>
      <c r="B86" s="44" t="s">
        <v>288</v>
      </c>
      <c r="C86" s="47">
        <f t="shared" si="12"/>
        <v>46594</v>
      </c>
      <c r="D86" s="47">
        <f t="shared" si="9"/>
        <v>46598</v>
      </c>
      <c r="E86" s="47">
        <f t="shared" si="11"/>
        <v>46600</v>
      </c>
      <c r="F86" s="48" t="s">
        <v>1050</v>
      </c>
      <c r="G86" s="49">
        <v>1</v>
      </c>
      <c r="H86" s="49">
        <v>5</v>
      </c>
      <c r="I86" s="48"/>
    </row>
    <row r="87" spans="1:9">
      <c r="A87" s="44" t="s">
        <v>1085</v>
      </c>
      <c r="B87" s="44" t="s">
        <v>289</v>
      </c>
      <c r="C87" s="47">
        <f t="shared" si="12"/>
        <v>46601</v>
      </c>
      <c r="D87" s="47">
        <f t="shared" si="9"/>
        <v>46605</v>
      </c>
      <c r="E87" s="47">
        <f t="shared" si="11"/>
        <v>46607</v>
      </c>
      <c r="F87" s="48" t="s">
        <v>1052</v>
      </c>
      <c r="G87" s="49">
        <v>1</v>
      </c>
      <c r="H87" s="49">
        <v>4</v>
      </c>
      <c r="I87" s="48"/>
    </row>
    <row r="88" spans="1:9">
      <c r="A88" s="44" t="s">
        <v>1086</v>
      </c>
      <c r="B88" s="44" t="s">
        <v>289</v>
      </c>
      <c r="C88" s="47">
        <f t="shared" si="12"/>
        <v>46608</v>
      </c>
      <c r="D88" s="47">
        <f t="shared" si="9"/>
        <v>46612</v>
      </c>
      <c r="E88" s="47">
        <f t="shared" si="11"/>
        <v>46614</v>
      </c>
      <c r="F88" s="48" t="s">
        <v>1052</v>
      </c>
      <c r="G88" s="49">
        <v>1</v>
      </c>
      <c r="H88" s="49">
        <v>4</v>
      </c>
      <c r="I88" s="48"/>
    </row>
    <row r="89" spans="1:9">
      <c r="A89" s="44" t="s">
        <v>1087</v>
      </c>
      <c r="B89" s="44" t="s">
        <v>289</v>
      </c>
      <c r="C89" s="47">
        <f t="shared" si="12"/>
        <v>46615</v>
      </c>
      <c r="D89" s="47">
        <f t="shared" si="9"/>
        <v>46619</v>
      </c>
      <c r="E89" s="47">
        <f t="shared" si="11"/>
        <v>46621</v>
      </c>
      <c r="F89" s="48" t="s">
        <v>1052</v>
      </c>
      <c r="G89" s="49">
        <v>1</v>
      </c>
      <c r="H89" s="49">
        <v>4</v>
      </c>
      <c r="I89" s="48"/>
    </row>
    <row r="90" spans="1:9">
      <c r="A90" s="44" t="s">
        <v>1088</v>
      </c>
      <c r="B90" s="44" t="s">
        <v>289</v>
      </c>
      <c r="C90" s="47">
        <f t="shared" si="12"/>
        <v>46622</v>
      </c>
      <c r="D90" s="47">
        <f t="shared" si="9"/>
        <v>46626</v>
      </c>
      <c r="E90" s="47">
        <f t="shared" si="11"/>
        <v>46628</v>
      </c>
      <c r="F90" s="48" t="s">
        <v>1052</v>
      </c>
      <c r="G90" s="49">
        <v>1</v>
      </c>
      <c r="H90" s="49">
        <v>4</v>
      </c>
      <c r="I90" s="48"/>
    </row>
    <row r="91" spans="1:9">
      <c r="A91" s="44" t="s">
        <v>1089</v>
      </c>
      <c r="B91" s="44" t="s">
        <v>374</v>
      </c>
      <c r="C91" s="47">
        <f t="shared" si="12"/>
        <v>46629</v>
      </c>
      <c r="D91" s="47">
        <f t="shared" si="9"/>
        <v>46633</v>
      </c>
      <c r="E91" s="47">
        <f t="shared" si="11"/>
        <v>46635</v>
      </c>
      <c r="F91" s="48" t="s">
        <v>1055</v>
      </c>
      <c r="G91" s="49">
        <v>0.66666666666666663</v>
      </c>
      <c r="H91" s="49">
        <v>3.6666666666666665</v>
      </c>
      <c r="I91" s="48" t="s">
        <v>1056</v>
      </c>
    </row>
    <row r="92" spans="1:9">
      <c r="A92" s="44" t="s">
        <v>1090</v>
      </c>
      <c r="B92" s="44" t="s">
        <v>374</v>
      </c>
      <c r="C92" s="47">
        <f t="shared" si="12"/>
        <v>46636</v>
      </c>
      <c r="D92" s="47">
        <f t="shared" si="9"/>
        <v>46640</v>
      </c>
      <c r="E92" s="47">
        <f t="shared" si="11"/>
        <v>46642</v>
      </c>
      <c r="F92" s="48" t="s">
        <v>1055</v>
      </c>
      <c r="G92" s="49">
        <v>1</v>
      </c>
      <c r="H92" s="49">
        <v>3.6666666666666665</v>
      </c>
      <c r="I92" s="48"/>
    </row>
    <row r="93" spans="1:9">
      <c r="A93" s="44" t="s">
        <v>1091</v>
      </c>
      <c r="B93" s="44" t="s">
        <v>374</v>
      </c>
      <c r="C93" s="47">
        <f t="shared" si="12"/>
        <v>46643</v>
      </c>
      <c r="D93" s="47">
        <f t="shared" si="9"/>
        <v>46647</v>
      </c>
      <c r="E93" s="47">
        <f t="shared" si="11"/>
        <v>46649</v>
      </c>
      <c r="F93" s="48" t="s">
        <v>1055</v>
      </c>
      <c r="G93" s="49">
        <v>1</v>
      </c>
      <c r="H93" s="49">
        <v>3.6666666666666665</v>
      </c>
      <c r="I93" s="48"/>
    </row>
    <row r="94" spans="1:9">
      <c r="A94" s="44" t="s">
        <v>1092</v>
      </c>
      <c r="B94" s="44" t="s">
        <v>374</v>
      </c>
      <c r="C94" s="47">
        <f t="shared" si="12"/>
        <v>46650</v>
      </c>
      <c r="D94" s="47">
        <f t="shared" si="9"/>
        <v>46654</v>
      </c>
      <c r="E94" s="47">
        <f t="shared" si="11"/>
        <v>46656</v>
      </c>
      <c r="F94" s="48" t="s">
        <v>1055</v>
      </c>
      <c r="G94" s="49">
        <v>1</v>
      </c>
      <c r="H94" s="49">
        <v>3.6666666666666665</v>
      </c>
      <c r="I94" s="48"/>
    </row>
    <row r="95" spans="1:9">
      <c r="A95" s="44" t="s">
        <v>1093</v>
      </c>
      <c r="B95" s="44" t="s">
        <v>343</v>
      </c>
      <c r="C95" s="47">
        <f t="shared" si="12"/>
        <v>46657</v>
      </c>
      <c r="D95" s="47">
        <f t="shared" si="9"/>
        <v>46661</v>
      </c>
      <c r="E95" s="47">
        <f t="shared" si="11"/>
        <v>46663</v>
      </c>
      <c r="F95" s="48" t="s">
        <v>1059</v>
      </c>
      <c r="G95" s="49">
        <v>1</v>
      </c>
      <c r="H95" s="49">
        <v>5</v>
      </c>
      <c r="I95" s="48"/>
    </row>
    <row r="96" spans="1:9">
      <c r="A96" s="44" t="s">
        <v>1094</v>
      </c>
      <c r="B96" s="44" t="s">
        <v>343</v>
      </c>
      <c r="C96" s="47">
        <f t="shared" si="12"/>
        <v>46664</v>
      </c>
      <c r="D96" s="47">
        <f t="shared" si="9"/>
        <v>46668</v>
      </c>
      <c r="E96" s="47">
        <f t="shared" si="11"/>
        <v>46670</v>
      </c>
      <c r="F96" s="48" t="s">
        <v>1059</v>
      </c>
      <c r="G96" s="49">
        <v>1</v>
      </c>
      <c r="H96" s="49">
        <v>5</v>
      </c>
      <c r="I96" s="48"/>
    </row>
    <row r="97" spans="1:9">
      <c r="A97" s="44" t="s">
        <v>1095</v>
      </c>
      <c r="B97" s="44" t="s">
        <v>343</v>
      </c>
      <c r="C97" s="47">
        <f t="shared" si="12"/>
        <v>46671</v>
      </c>
      <c r="D97" s="47">
        <f t="shared" si="9"/>
        <v>46675</v>
      </c>
      <c r="E97" s="47">
        <f t="shared" si="11"/>
        <v>46677</v>
      </c>
      <c r="F97" s="48" t="s">
        <v>1059</v>
      </c>
      <c r="G97" s="49">
        <v>1</v>
      </c>
      <c r="H97" s="49">
        <v>5</v>
      </c>
      <c r="I97" s="48"/>
    </row>
    <row r="98" spans="1:9">
      <c r="A98" s="44" t="s">
        <v>1096</v>
      </c>
      <c r="B98" s="44" t="s">
        <v>343</v>
      </c>
      <c r="C98" s="47">
        <f t="shared" si="12"/>
        <v>46678</v>
      </c>
      <c r="D98" s="47">
        <f t="shared" si="9"/>
        <v>46682</v>
      </c>
      <c r="E98" s="47">
        <f t="shared" si="11"/>
        <v>46684</v>
      </c>
      <c r="F98" s="48" t="s">
        <v>1059</v>
      </c>
      <c r="G98" s="49">
        <v>1</v>
      </c>
      <c r="H98" s="49">
        <v>5</v>
      </c>
      <c r="I98" s="48"/>
    </row>
    <row r="99" spans="1:9">
      <c r="A99" s="44" t="s">
        <v>1097</v>
      </c>
      <c r="B99" s="44" t="s">
        <v>343</v>
      </c>
      <c r="C99" s="47">
        <f t="shared" si="12"/>
        <v>46685</v>
      </c>
      <c r="D99" s="47">
        <f t="shared" si="9"/>
        <v>46689</v>
      </c>
      <c r="E99" s="47">
        <f t="shared" si="11"/>
        <v>46691</v>
      </c>
      <c r="F99" s="48" t="s">
        <v>1059</v>
      </c>
      <c r="G99" s="49">
        <v>1</v>
      </c>
      <c r="H99" s="49">
        <v>5</v>
      </c>
      <c r="I99" s="48"/>
    </row>
    <row r="100" spans="1:9">
      <c r="A100" s="44" t="s">
        <v>1098</v>
      </c>
      <c r="B100" s="44" t="s">
        <v>358</v>
      </c>
      <c r="C100" s="47">
        <f t="shared" si="12"/>
        <v>46692</v>
      </c>
      <c r="D100" s="47">
        <f t="shared" si="9"/>
        <v>46696</v>
      </c>
      <c r="E100" s="47">
        <f t="shared" si="11"/>
        <v>46698</v>
      </c>
      <c r="F100" s="48" t="s">
        <v>1061</v>
      </c>
      <c r="G100" s="49">
        <v>1</v>
      </c>
      <c r="H100" s="49">
        <v>3.8333333333333335</v>
      </c>
      <c r="I100" s="48"/>
    </row>
    <row r="101" spans="1:9">
      <c r="A101" s="44" t="s">
        <v>1099</v>
      </c>
      <c r="B101" s="44" t="s">
        <v>358</v>
      </c>
      <c r="C101" s="47">
        <f t="shared" si="12"/>
        <v>46699</v>
      </c>
      <c r="D101" s="47">
        <f t="shared" si="9"/>
        <v>46703</v>
      </c>
      <c r="E101" s="47">
        <f t="shared" si="11"/>
        <v>46705</v>
      </c>
      <c r="F101" s="48" t="s">
        <v>1061</v>
      </c>
      <c r="G101" s="49">
        <v>1</v>
      </c>
      <c r="H101" s="49">
        <v>3.8333333333333335</v>
      </c>
      <c r="I101" s="48"/>
    </row>
    <row r="102" spans="1:9">
      <c r="A102" s="44" t="s">
        <v>1100</v>
      </c>
      <c r="B102" s="44" t="s">
        <v>358</v>
      </c>
      <c r="C102" s="47">
        <f t="shared" si="12"/>
        <v>46706</v>
      </c>
      <c r="D102" s="47">
        <f t="shared" si="9"/>
        <v>46710</v>
      </c>
      <c r="E102" s="47">
        <f t="shared" si="11"/>
        <v>46712</v>
      </c>
      <c r="F102" s="48" t="s">
        <v>1061</v>
      </c>
      <c r="G102" s="49">
        <v>1</v>
      </c>
      <c r="H102" s="49">
        <v>3.8333333333333335</v>
      </c>
      <c r="I102" s="48"/>
    </row>
    <row r="103" spans="1:9">
      <c r="A103" s="44" t="s">
        <v>1101</v>
      </c>
      <c r="B103" s="44" t="s">
        <v>358</v>
      </c>
      <c r="C103" s="47">
        <f t="shared" si="12"/>
        <v>46713</v>
      </c>
      <c r="D103" s="47">
        <f t="shared" ref="D103:D107" si="13">E103-2</f>
        <v>46717</v>
      </c>
      <c r="E103" s="47">
        <f t="shared" si="11"/>
        <v>46719</v>
      </c>
      <c r="F103" s="48" t="s">
        <v>1061</v>
      </c>
      <c r="G103" s="49">
        <v>0.83333333333333337</v>
      </c>
      <c r="H103" s="49">
        <v>3.8333333333333335</v>
      </c>
      <c r="I103" s="48" t="s">
        <v>1102</v>
      </c>
    </row>
    <row r="104" spans="1:9">
      <c r="A104" s="44" t="s">
        <v>1103</v>
      </c>
      <c r="B104" s="44" t="s">
        <v>359</v>
      </c>
      <c r="C104" s="47">
        <f t="shared" si="12"/>
        <v>46720</v>
      </c>
      <c r="D104" s="47">
        <f t="shared" si="13"/>
        <v>46724</v>
      </c>
      <c r="E104" s="47">
        <f t="shared" si="11"/>
        <v>46726</v>
      </c>
      <c r="F104" s="48" t="s">
        <v>1063</v>
      </c>
      <c r="G104" s="49">
        <v>1</v>
      </c>
      <c r="H104" s="49">
        <v>4</v>
      </c>
      <c r="I104" s="48"/>
    </row>
    <row r="105" spans="1:9">
      <c r="A105" s="44" t="s">
        <v>1104</v>
      </c>
      <c r="B105" s="44" t="s">
        <v>359</v>
      </c>
      <c r="C105" s="47">
        <f t="shared" si="12"/>
        <v>46727</v>
      </c>
      <c r="D105" s="47">
        <f t="shared" si="13"/>
        <v>46731</v>
      </c>
      <c r="E105" s="47">
        <f t="shared" si="11"/>
        <v>46733</v>
      </c>
      <c r="F105" s="48" t="s">
        <v>1063</v>
      </c>
      <c r="G105" s="49">
        <v>1</v>
      </c>
      <c r="H105" s="49">
        <v>4</v>
      </c>
      <c r="I105" s="48"/>
    </row>
    <row r="106" spans="1:9">
      <c r="A106" s="44" t="s">
        <v>1105</v>
      </c>
      <c r="B106" s="44" t="s">
        <v>359</v>
      </c>
      <c r="C106" s="47">
        <f t="shared" si="12"/>
        <v>46734</v>
      </c>
      <c r="D106" s="47">
        <f t="shared" si="13"/>
        <v>46738</v>
      </c>
      <c r="E106" s="47">
        <f t="shared" si="11"/>
        <v>46740</v>
      </c>
      <c r="F106" s="48" t="s">
        <v>1063</v>
      </c>
      <c r="G106" s="49">
        <v>1</v>
      </c>
      <c r="H106" s="49">
        <v>4</v>
      </c>
      <c r="I106" s="48"/>
    </row>
    <row r="107" spans="1:9">
      <c r="A107" s="44" t="s">
        <v>1106</v>
      </c>
      <c r="B107" s="44" t="s">
        <v>359</v>
      </c>
      <c r="C107" s="47">
        <f t="shared" si="12"/>
        <v>46741</v>
      </c>
      <c r="D107" s="47">
        <f t="shared" si="13"/>
        <v>46745</v>
      </c>
      <c r="E107" s="47">
        <f t="shared" si="11"/>
        <v>46747</v>
      </c>
      <c r="F107" s="48" t="s">
        <v>1063</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FAB41-0179-4653-AA21-28A702C702EF}">
  <dimension ref="A1:S60"/>
  <sheetViews>
    <sheetView topLeftCell="A17" zoomScale="55" zoomScaleNormal="55" workbookViewId="0">
      <selection activeCell="A42" sqref="A42:XFD42"/>
    </sheetView>
  </sheetViews>
  <sheetFormatPr defaultRowHeight="14.4"/>
  <cols>
    <col min="1" max="1" width="48.33203125" bestFit="1" customWidth="1"/>
    <col min="2" max="2" width="13.33203125" bestFit="1" customWidth="1"/>
    <col min="3" max="3" width="31.33203125" bestFit="1" customWidth="1"/>
    <col min="4" max="4" width="9.6640625" bestFit="1" customWidth="1"/>
    <col min="5" max="5" width="12.6640625" bestFit="1" customWidth="1"/>
    <col min="6" max="6" width="16.33203125" bestFit="1" customWidth="1"/>
    <col min="7" max="7" width="13.33203125" bestFit="1" customWidth="1"/>
    <col min="8" max="8" width="21.5546875" bestFit="1" customWidth="1"/>
    <col min="9" max="9" width="18" bestFit="1" customWidth="1"/>
    <col min="11" max="11" width="7.33203125" bestFit="1" customWidth="1"/>
    <col min="12" max="12" width="8.5546875" customWidth="1"/>
    <col min="13" max="13" width="9.6640625" bestFit="1" customWidth="1"/>
    <col min="14" max="14" width="10.33203125" customWidth="1"/>
  </cols>
  <sheetData>
    <row r="1" spans="1:19" ht="34.200000000000003" customHeight="1">
      <c r="A1" s="350" t="s">
        <v>749</v>
      </c>
      <c r="B1" s="351"/>
      <c r="C1" s="351"/>
      <c r="D1" s="351"/>
      <c r="E1" s="351"/>
      <c r="F1" s="351"/>
      <c r="G1" s="351"/>
      <c r="H1" s="351"/>
      <c r="I1" s="351"/>
      <c r="J1" s="351"/>
      <c r="K1" s="351"/>
      <c r="L1" s="351"/>
      <c r="M1" s="351"/>
      <c r="N1" s="351"/>
      <c r="O1" s="351"/>
      <c r="P1" s="351"/>
      <c r="Q1" s="351"/>
      <c r="R1" s="351"/>
      <c r="S1" s="351"/>
    </row>
    <row r="2" spans="1:19" ht="22.2" customHeight="1">
      <c r="A2" s="352" t="s">
        <v>750</v>
      </c>
      <c r="B2" s="353"/>
      <c r="C2" s="353"/>
      <c r="D2" s="353"/>
      <c r="E2" s="353"/>
      <c r="F2" s="353"/>
      <c r="G2" s="353"/>
      <c r="H2" s="353"/>
      <c r="I2" s="353"/>
      <c r="J2" s="353"/>
      <c r="K2" s="353"/>
      <c r="L2" s="353"/>
      <c r="M2" s="353"/>
      <c r="N2" s="353"/>
      <c r="O2" s="353"/>
      <c r="P2" s="353"/>
      <c r="Q2" s="353"/>
      <c r="R2" s="353"/>
      <c r="S2" s="353"/>
    </row>
    <row r="3" spans="1:19" ht="42" customHeight="1">
      <c r="A3" s="354" t="s">
        <v>1635</v>
      </c>
      <c r="B3" s="355"/>
      <c r="C3" s="355"/>
      <c r="D3" s="355"/>
      <c r="E3" s="355"/>
      <c r="F3" s="355"/>
      <c r="G3" s="355"/>
      <c r="H3" s="355"/>
      <c r="I3" s="355"/>
      <c r="J3" s="355"/>
      <c r="K3" s="355"/>
      <c r="L3" s="355"/>
      <c r="M3" s="355"/>
      <c r="N3" s="355"/>
      <c r="O3" s="355"/>
      <c r="P3" s="355"/>
      <c r="Q3" s="355"/>
      <c r="R3" s="355"/>
      <c r="S3" s="355"/>
    </row>
    <row r="4" spans="1:19">
      <c r="A4" s="304"/>
      <c r="B4" s="304"/>
      <c r="C4" s="304"/>
      <c r="D4" s="304"/>
      <c r="E4" s="304"/>
      <c r="F4" s="304"/>
      <c r="G4" s="304"/>
      <c r="H4" s="304"/>
      <c r="I4" s="304"/>
      <c r="J4" s="304"/>
      <c r="K4" s="304"/>
      <c r="L4" s="304"/>
      <c r="M4" s="304"/>
      <c r="N4" s="304"/>
      <c r="O4" s="304"/>
      <c r="P4" s="304"/>
      <c r="Q4" s="304"/>
      <c r="R4" s="304"/>
      <c r="S4" s="304"/>
    </row>
    <row r="5" spans="1:19">
      <c r="A5" s="356" t="s">
        <v>751</v>
      </c>
      <c r="B5" s="357"/>
      <c r="C5" s="304"/>
      <c r="D5" s="356" t="s">
        <v>752</v>
      </c>
      <c r="E5" s="357"/>
      <c r="F5" s="304"/>
      <c r="G5" s="356" t="s">
        <v>753</v>
      </c>
      <c r="H5" s="357"/>
      <c r="I5" s="304"/>
      <c r="J5" s="356" t="s">
        <v>1633</v>
      </c>
      <c r="K5" s="357"/>
      <c r="L5" s="304"/>
      <c r="M5" s="356" t="s">
        <v>754</v>
      </c>
      <c r="N5" s="357"/>
      <c r="O5" s="304"/>
      <c r="P5" s="361" t="s">
        <v>1632</v>
      </c>
      <c r="Q5" s="362"/>
      <c r="R5" s="362"/>
      <c r="S5" s="362"/>
    </row>
    <row r="6" spans="1:19">
      <c r="A6" s="358">
        <f>ROWS(NPDConversionDetail[Project Name (Short)])</f>
        <v>36</v>
      </c>
      <c r="B6" s="357"/>
      <c r="C6" s="304"/>
      <c r="D6" s="358">
        <f>COUNTIF(NPDConversionDetail[Outcome],"Won")</f>
        <v>13</v>
      </c>
      <c r="E6" s="357"/>
      <c r="F6" s="304"/>
      <c r="G6" s="358">
        <f>COUNTIF(NPDConversionDetail[Outcome],"In Progress")</f>
        <v>14</v>
      </c>
      <c r="H6" s="357"/>
      <c r="I6" s="304"/>
      <c r="J6" s="358">
        <f>COUNTIF(NPDConversionDetail[Outcome],"Lost")</f>
        <v>9</v>
      </c>
      <c r="K6" s="357"/>
      <c r="L6" s="304"/>
      <c r="M6" s="360">
        <f>D6/A6</f>
        <v>0.3611111111111111</v>
      </c>
      <c r="N6" s="357"/>
      <c r="O6" s="304"/>
      <c r="P6" s="363">
        <f>SUMIF(NPDConversionDetail[Outcome],"Won",NPDConversionDetail[Total NPI Break Value])</f>
        <v>8274432.71</v>
      </c>
      <c r="Q6" s="357"/>
      <c r="R6" s="357"/>
      <c r="S6" s="357"/>
    </row>
    <row r="7" spans="1:19">
      <c r="A7" s="359"/>
      <c r="B7" s="359"/>
      <c r="C7" s="304"/>
      <c r="D7" s="359"/>
      <c r="E7" s="359"/>
      <c r="F7" s="304"/>
      <c r="G7" s="359"/>
      <c r="H7" s="359"/>
      <c r="I7" s="308"/>
      <c r="J7" s="359"/>
      <c r="K7" s="359"/>
      <c r="L7" s="308"/>
      <c r="M7" s="359"/>
      <c r="N7" s="359"/>
      <c r="O7" s="304"/>
      <c r="P7" s="359"/>
      <c r="Q7" s="359"/>
      <c r="R7" s="359"/>
      <c r="S7" s="359"/>
    </row>
    <row r="8" spans="1:19">
      <c r="A8" s="304"/>
      <c r="B8" s="304"/>
      <c r="C8" s="304"/>
      <c r="D8" s="304"/>
      <c r="E8" s="304"/>
      <c r="F8" s="304"/>
      <c r="G8" s="304"/>
      <c r="H8" s="304"/>
      <c r="I8" s="304"/>
      <c r="J8" s="304"/>
      <c r="K8" s="304"/>
      <c r="L8" s="304"/>
      <c r="M8" s="304"/>
      <c r="N8" s="304"/>
      <c r="O8" s="304"/>
      <c r="P8" s="304"/>
      <c r="Q8" s="304"/>
      <c r="R8" s="304"/>
      <c r="S8" s="304"/>
    </row>
    <row r="9" spans="1:19">
      <c r="A9" s="304"/>
      <c r="B9" s="304"/>
      <c r="C9" s="304"/>
      <c r="D9" s="304"/>
      <c r="E9" s="304"/>
      <c r="F9" s="304"/>
      <c r="G9" s="304"/>
      <c r="H9" s="304"/>
      <c r="I9" s="304"/>
      <c r="J9" s="304"/>
      <c r="K9" s="304"/>
      <c r="L9" s="304"/>
      <c r="M9" s="304"/>
      <c r="N9" s="304"/>
      <c r="O9" s="304"/>
      <c r="P9" s="304"/>
      <c r="Q9" s="304"/>
      <c r="R9" s="304"/>
      <c r="S9" s="304"/>
    </row>
    <row r="10" spans="1:19">
      <c r="A10" s="305" t="s">
        <v>755</v>
      </c>
      <c r="B10" s="305" t="s">
        <v>756</v>
      </c>
      <c r="C10" s="305" t="s">
        <v>757</v>
      </c>
      <c r="D10" s="304"/>
      <c r="E10" s="304"/>
      <c r="F10" s="304"/>
      <c r="G10" s="304"/>
      <c r="H10" s="304"/>
      <c r="I10" s="304"/>
      <c r="J10" s="304"/>
      <c r="K10" s="304"/>
      <c r="L10" s="304"/>
      <c r="M10" s="304"/>
      <c r="N10" s="304"/>
      <c r="O10" s="304"/>
      <c r="P10" s="304"/>
      <c r="Q10" s="304"/>
      <c r="R10" s="304"/>
      <c r="S10" s="304"/>
    </row>
    <row r="11" spans="1:19">
      <c r="A11" s="304" t="s">
        <v>758</v>
      </c>
      <c r="B11" s="304">
        <f>COUNTIF(NPDConversionDetail[Outcome],A11)</f>
        <v>13</v>
      </c>
      <c r="C11" s="306">
        <f>SUMIF(NPDConversionDetail[Outcome],A11,NPDConversionDetail[NPD Prototype Value])</f>
        <v>152126.19999999998</v>
      </c>
      <c r="D11" s="304"/>
      <c r="E11" s="304"/>
      <c r="F11" s="304"/>
      <c r="G11" s="304"/>
      <c r="H11" s="304"/>
      <c r="I11" s="304"/>
      <c r="J11" s="304"/>
      <c r="K11" s="304"/>
      <c r="L11" s="304"/>
      <c r="M11" s="304"/>
      <c r="N11" s="304"/>
      <c r="O11" s="304"/>
      <c r="P11" s="304"/>
      <c r="Q11" s="304"/>
      <c r="R11" s="304"/>
      <c r="S11" s="304"/>
    </row>
    <row r="12" spans="1:19">
      <c r="A12" s="304" t="s">
        <v>304</v>
      </c>
      <c r="B12" s="304">
        <f>COUNTIF(NPDConversionDetail[Outcome],A12)</f>
        <v>14</v>
      </c>
      <c r="C12" s="306">
        <f>SUMIF(NPDConversionDetail[Outcome],A12,NPDConversionDetail[NPD Prototype Value])</f>
        <v>94131.330000000016</v>
      </c>
      <c r="D12" s="304"/>
      <c r="E12" s="304"/>
      <c r="F12" s="304"/>
      <c r="G12" s="304"/>
      <c r="H12" s="304"/>
      <c r="I12" s="304"/>
      <c r="J12" s="304"/>
      <c r="K12" s="304"/>
      <c r="L12" s="304"/>
      <c r="M12" s="304"/>
      <c r="N12" s="304"/>
      <c r="O12" s="304"/>
      <c r="P12" s="304"/>
      <c r="Q12" s="304"/>
      <c r="R12" s="304"/>
      <c r="S12" s="304"/>
    </row>
    <row r="13" spans="1:19">
      <c r="A13" s="304" t="s">
        <v>1634</v>
      </c>
      <c r="B13" s="304">
        <f>COUNTIF(NPDConversionDetail[Outcome],A13)</f>
        <v>9</v>
      </c>
      <c r="C13" s="306">
        <f>SUMIF(NPDConversionDetail[Outcome],A13,NPDConversionDetail[NPD Prototype Value])</f>
        <v>89070.38</v>
      </c>
      <c r="D13" s="304"/>
      <c r="E13" s="304"/>
      <c r="F13" s="304"/>
      <c r="G13" s="304"/>
      <c r="H13" s="304"/>
      <c r="I13" s="304"/>
      <c r="J13" s="304"/>
      <c r="K13" s="304"/>
      <c r="L13" s="304"/>
      <c r="M13" s="304"/>
      <c r="N13" s="304"/>
      <c r="O13" s="304"/>
      <c r="P13" s="304"/>
      <c r="Q13" s="304"/>
      <c r="R13" s="304"/>
      <c r="S13" s="304"/>
    </row>
    <row r="14" spans="1:19">
      <c r="A14" s="304"/>
      <c r="B14" s="304"/>
      <c r="C14" s="304"/>
      <c r="D14" s="304"/>
      <c r="E14" s="304"/>
      <c r="F14" s="304"/>
      <c r="G14" s="304"/>
      <c r="H14" s="304"/>
      <c r="I14" s="304"/>
      <c r="J14" s="304"/>
      <c r="K14" s="304"/>
      <c r="L14" s="304"/>
      <c r="M14" s="304"/>
      <c r="N14" s="304"/>
      <c r="O14" s="304"/>
      <c r="P14" s="304"/>
      <c r="Q14" s="304"/>
      <c r="R14" s="304"/>
      <c r="S14" s="304"/>
    </row>
    <row r="15" spans="1:19">
      <c r="A15" s="348" t="s">
        <v>759</v>
      </c>
      <c r="B15" s="349"/>
      <c r="C15" s="349"/>
      <c r="D15" s="349"/>
      <c r="E15" s="349"/>
      <c r="F15" s="349"/>
      <c r="G15" s="349"/>
      <c r="H15" s="349"/>
      <c r="I15" s="349"/>
      <c r="J15" s="304"/>
      <c r="K15" s="304"/>
      <c r="L15" s="304"/>
      <c r="M15" s="304"/>
      <c r="N15" s="304"/>
      <c r="O15" s="304"/>
      <c r="P15" s="304"/>
      <c r="Q15" s="304"/>
      <c r="R15" s="304"/>
      <c r="S15" s="304"/>
    </row>
    <row r="16" spans="1:19">
      <c r="A16" s="304"/>
      <c r="B16" s="304"/>
      <c r="C16" s="304"/>
      <c r="D16" s="304"/>
      <c r="E16" s="304"/>
      <c r="F16" s="304"/>
      <c r="G16" s="304"/>
      <c r="H16" s="304"/>
      <c r="I16" s="304"/>
      <c r="J16" s="304"/>
      <c r="K16" s="304"/>
      <c r="L16" s="304"/>
      <c r="M16" s="304"/>
      <c r="N16" s="304"/>
      <c r="O16" s="304"/>
      <c r="P16" s="304"/>
      <c r="Q16" s="304"/>
      <c r="R16" s="304"/>
      <c r="S16" s="304"/>
    </row>
    <row r="17" spans="1:19" ht="28.8">
      <c r="A17" s="307" t="s">
        <v>760</v>
      </c>
      <c r="B17" s="307" t="s">
        <v>761</v>
      </c>
      <c r="C17" s="307" t="s">
        <v>762</v>
      </c>
      <c r="D17" s="307" t="s">
        <v>7</v>
      </c>
      <c r="E17" s="307" t="s">
        <v>763</v>
      </c>
      <c r="F17" s="307" t="s">
        <v>764</v>
      </c>
      <c r="G17" s="307" t="s">
        <v>755</v>
      </c>
      <c r="H17" s="307" t="s">
        <v>757</v>
      </c>
      <c r="I17" s="307" t="s">
        <v>1631</v>
      </c>
      <c r="J17" s="304"/>
      <c r="K17" s="304"/>
      <c r="L17" s="304"/>
      <c r="M17" s="304"/>
      <c r="N17" s="304"/>
      <c r="O17" s="304"/>
      <c r="P17" s="304"/>
      <c r="Q17" s="304"/>
      <c r="R17" s="304"/>
      <c r="S17" s="304"/>
    </row>
    <row r="18" spans="1:19">
      <c r="A18" s="304" t="s">
        <v>476</v>
      </c>
      <c r="B18" s="304" t="s">
        <v>46</v>
      </c>
      <c r="C18" s="304" t="s">
        <v>430</v>
      </c>
      <c r="D18" s="304" t="s">
        <v>427</v>
      </c>
      <c r="E18" s="304" t="str" cm="1">
        <f t="array" ref="E18">IFERROR(_xlfn.TEXTJOIN(", ",TRUE,_xlfn.UNIQUE(_xlfn._xlws.FILTER(DetailTracker[STATUS],(TRIM(DetailTracker[PROJECT NAME (SHORT)])=TRIM(A18))*(DetailTracker[STAGE]="NPD")*(DetailTracker[STATUS]&lt;&gt;"REJECTED")*(DetailTracker[STATUS]&lt;&gt;"REJECT")))),"")</f>
        <v>CANCELLED</v>
      </c>
      <c r="F18" s="304" t="str" cm="1">
        <f t="array" ref="F18">IFERROR(_xlfn.TEXTJOIN(", ",TRUE,_xlfn.UNIQUE(_xlfn._xlws.FILTER(DetailTracker[STATUS],(TRIM(DetailTracker[PROJECT NAME (SHORT)])=TRIM(A18))*(DetailTracker[STAGE]="NPI")))),"No NPI yet")</f>
        <v>REMOVED</v>
      </c>
      <c r="G18" s="304" t="str">
        <f t="shared" ref="G18:G53" si="0">_xlfn.LET(_xlpm.n,UPPER(F18),_xlpm.d,UPPER(E18),_xlpm.fail,OR(ISNUMBER(SEARCH("DROPPED",_xlpm.n&amp;","&amp;_xlpm.d)),ISNUMBER(SEARCH("CANCELLED",_xlpm.n&amp;","&amp;_xlpm.d))),_xlpm.win,OR(ISNUMBER(SEARCH("FC",_xlpm.n)),ISNUMBER(SEARCH("NOR",_xlpm.n)),ISNUMBER(SEARCH("OB",_xlpm.n)),ISNUMBER(SEARCH("SHIPPED",_xlpm.n))),IF(_xlpm.fail,"Lost",IF(_xlpm.win,"Won","In Progress")))</f>
        <v>Lost</v>
      </c>
      <c r="H18" s="309" cm="1">
        <f t="array" ref="H18">IFERROR(SUM(_xlfn._xlws.FILTER(DetailTracker[PROJECT BREAK VALUE],(TRIM(DetailTracker[PROJECT NAME (SHORT)])=TRIM(A18))*(DetailTracker[STAGE]="NPD")*(DetailTracker[STATUS]&lt;&gt;"REJECTED")*(DetailTracker[STATUS]&lt;&gt;"REJECT"))),0)</f>
        <v>11993</v>
      </c>
      <c r="I18" s="309" cm="1">
        <f t="array" ref="I18">IFERROR(SUM(_xlfn._xlws.FILTER(DetailTracker[PROJECT BREAK VALUE],(TRIM(DetailTracker[PROJECT NAME (SHORT)])=TRIM(A18))*(DetailTracker[STAGE]="NPI"))),0)</f>
        <v>3000000</v>
      </c>
      <c r="J18" s="304"/>
      <c r="K18" s="304"/>
      <c r="L18" s="304"/>
      <c r="M18" s="304"/>
      <c r="N18" s="304"/>
      <c r="O18" s="304"/>
      <c r="P18" s="304"/>
      <c r="Q18" s="304"/>
      <c r="R18" s="304"/>
      <c r="S18" s="304"/>
    </row>
    <row r="19" spans="1:19">
      <c r="A19" s="304" t="s">
        <v>74</v>
      </c>
      <c r="B19" s="304" t="s">
        <v>59</v>
      </c>
      <c r="C19" s="304" t="s">
        <v>61</v>
      </c>
      <c r="D19" s="304" t="s">
        <v>298</v>
      </c>
      <c r="E19" s="304" t="str" cm="1">
        <f t="array" ref="E19">IFERROR(_xlfn.TEXTJOIN(", ",TRUE,_xlfn.UNIQUE(_xlfn._xlws.FILTER(DetailTracker[STATUS],(TRIM(DetailTracker[PROJECT NAME (SHORT)])=TRIM(A19))*(DetailTracker[STAGE]="NPD")*(DetailTracker[STATUS]&lt;&gt;"REJECTED")*(DetailTracker[STATUS]&lt;&gt;"REJECT")))),"")</f>
        <v>SHIPPED</v>
      </c>
      <c r="F19" s="304" t="str" cm="1">
        <f t="array" ref="F19">IFERROR(_xlfn.TEXTJOIN(", ",TRUE,_xlfn.UNIQUE(_xlfn._xlws.FILTER(DetailTracker[STATUS],(TRIM(DetailTracker[PROJECT NAME (SHORT)])=TRIM(A19))*(DetailTracker[STAGE]="NPI")))),"No NPI yet")</f>
        <v>FC</v>
      </c>
      <c r="G19" s="304" t="str">
        <f t="shared" si="0"/>
        <v>Won</v>
      </c>
      <c r="H19" s="309" cm="1">
        <f t="array" ref="H19">IFERROR(SUM(_xlfn._xlws.FILTER(DetailTracker[PROJECT BREAK VALUE],(TRIM(DetailTracker[PROJECT NAME (SHORT)])=TRIM(A19))*(DetailTracker[STAGE]="NPD")*(DetailTracker[STATUS]&lt;&gt;"REJECTED")*(DetailTracker[STATUS]&lt;&gt;"REJECT"))),0)</f>
        <v>12000.06</v>
      </c>
      <c r="I19" s="309" cm="1">
        <f t="array" ref="I19">IFERROR(SUM(_xlfn._xlws.FILTER(DetailTracker[PROJECT BREAK VALUE],(TRIM(DetailTracker[PROJECT NAME (SHORT)])=TRIM(A19))*(DetailTracker[STAGE]="NPI"))),0)</f>
        <v>143556.08999999997</v>
      </c>
      <c r="J19" s="304"/>
      <c r="K19" s="304"/>
      <c r="L19" s="304"/>
      <c r="M19" s="304"/>
      <c r="N19" s="304"/>
      <c r="O19" s="304"/>
      <c r="P19" s="304"/>
      <c r="Q19" s="304"/>
      <c r="R19" s="304"/>
      <c r="S19" s="304"/>
    </row>
    <row r="20" spans="1:19">
      <c r="A20" s="304" t="s">
        <v>765</v>
      </c>
      <c r="B20" s="304" t="s">
        <v>59</v>
      </c>
      <c r="C20" s="304" t="s">
        <v>61</v>
      </c>
      <c r="D20" s="304" t="s">
        <v>308</v>
      </c>
      <c r="E20" s="304" t="str" cm="1">
        <f t="array" ref="E20">IFERROR(_xlfn.TEXTJOIN(", ",TRUE,_xlfn.UNIQUE(_xlfn._xlws.FILTER(DetailTracker[STATUS],(TRIM(DetailTracker[PROJECT NAME (SHORT)])=TRIM(A20))*(DetailTracker[STAGE]="NPD")*(DetailTracker[STATUS]&lt;&gt;"REJECTED")*(DetailTracker[STATUS]&lt;&gt;"REJECT")))),"")</f>
        <v>OB</v>
      </c>
      <c r="F20" s="304" t="str" cm="1">
        <f t="array" ref="F20">IFERROR(_xlfn.TEXTJOIN(", ",TRUE,_xlfn.UNIQUE(_xlfn._xlws.FILTER(DetailTracker[STATUS],(TRIM(DetailTracker[PROJECT NAME (SHORT)])=TRIM(A20))*(DetailTracker[STAGE]="NPI")))),"No NPI yet")</f>
        <v>FC</v>
      </c>
      <c r="G20" s="304" t="str">
        <f t="shared" si="0"/>
        <v>Won</v>
      </c>
      <c r="H20" s="309" cm="1">
        <f t="array" ref="H20">IFERROR(SUM(_xlfn._xlws.FILTER(DetailTracker[PROJECT BREAK VALUE],(TRIM(DetailTracker[PROJECT NAME (SHORT)])=TRIM(A20))*(DetailTracker[STAGE]="NPD")*(DetailTracker[STATUS]&lt;&gt;"REJECTED")*(DetailTracker[STATUS]&lt;&gt;"REJECT"))),0)</f>
        <v>33810.54</v>
      </c>
      <c r="I20" s="309" cm="1">
        <f t="array" ref="I20">IFERROR(SUM(_xlfn._xlws.FILTER(DetailTracker[PROJECT BREAK VALUE],(TRIM(DetailTracker[PROJECT NAME (SHORT)])=TRIM(A20))*(DetailTracker[STAGE]="NPI"))),0)</f>
        <v>299970.28999999998</v>
      </c>
      <c r="J20" s="304"/>
      <c r="K20" s="304"/>
      <c r="L20" s="304"/>
      <c r="M20" s="304"/>
      <c r="N20" s="304"/>
      <c r="O20" s="304"/>
      <c r="P20" s="304"/>
      <c r="Q20" s="304"/>
      <c r="R20" s="304"/>
      <c r="S20" s="304"/>
    </row>
    <row r="21" spans="1:19">
      <c r="A21" s="304" t="s">
        <v>90</v>
      </c>
      <c r="B21" s="304" t="s">
        <v>46</v>
      </c>
      <c r="C21" s="304" t="s">
        <v>82</v>
      </c>
      <c r="D21" s="304" t="s">
        <v>341</v>
      </c>
      <c r="E21" s="304" t="str" cm="1">
        <f t="array" ref="E21">IFERROR(_xlfn.TEXTJOIN(", ",TRUE,_xlfn.UNIQUE(_xlfn._xlws.FILTER(DetailTracker[STATUS],(TRIM(DetailTracker[PROJECT NAME (SHORT)])=TRIM(A21))*(DetailTracker[STAGE]="NPD")*(DetailTracker[STATUS]&lt;&gt;"REJECTED")*(DetailTracker[STATUS]&lt;&gt;"REJECT")))),"")</f>
        <v>SHIPPED</v>
      </c>
      <c r="F21" s="304" t="str" cm="1">
        <f t="array" ref="F21">IFERROR(_xlfn.TEXTJOIN(", ",TRUE,_xlfn.UNIQUE(_xlfn._xlws.FILTER(DetailTracker[STATUS],(TRIM(DetailTracker[PROJECT NAME (SHORT)])=TRIM(A21))*(DetailTracker[STAGE]="NPI")))),"No NPI yet")</f>
        <v>SHIPPED</v>
      </c>
      <c r="G21" s="304" t="str">
        <f t="shared" si="0"/>
        <v>Won</v>
      </c>
      <c r="H21" s="309" cm="1">
        <f t="array" ref="H21">IFERROR(SUM(_xlfn._xlws.FILTER(DetailTracker[PROJECT BREAK VALUE],(TRIM(DetailTracker[PROJECT NAME (SHORT)])=TRIM(A21))*(DetailTracker[STAGE]="NPD")*(DetailTracker[STATUS]&lt;&gt;"REJECTED")*(DetailTracker[STATUS]&lt;&gt;"REJECT"))),0)</f>
        <v>3015.9900000000002</v>
      </c>
      <c r="I21" s="309" cm="1">
        <f t="array" ref="I21">IFERROR(SUM(_xlfn._xlws.FILTER(DetailTracker[PROJECT BREAK VALUE],(TRIM(DetailTracker[PROJECT NAME (SHORT)])=TRIM(A21))*(DetailTracker[STAGE]="NPI"))),0)</f>
        <v>169944.84000000003</v>
      </c>
      <c r="J21" s="304"/>
      <c r="K21" s="304"/>
      <c r="L21" s="304"/>
      <c r="M21" s="304"/>
      <c r="N21" s="304"/>
      <c r="O21" s="304"/>
      <c r="P21" s="304"/>
      <c r="Q21" s="304"/>
      <c r="R21" s="304"/>
      <c r="S21" s="304"/>
    </row>
    <row r="22" spans="1:19">
      <c r="A22" s="304" t="s">
        <v>444</v>
      </c>
      <c r="B22" s="304" t="s">
        <v>59</v>
      </c>
      <c r="C22" s="304" t="s">
        <v>61</v>
      </c>
      <c r="D22" s="304" t="s">
        <v>298</v>
      </c>
      <c r="E22" s="304" t="str" cm="1">
        <f t="array" ref="E22">IFERROR(_xlfn.TEXTJOIN(", ",TRUE,_xlfn.UNIQUE(_xlfn._xlws.FILTER(DetailTracker[STATUS],(TRIM(DetailTracker[PROJECT NAME (SHORT)])=TRIM(A22))*(DetailTracker[STAGE]="NPD")*(DetailTracker[STATUS]&lt;&gt;"REJECTED")*(DetailTracker[STATUS]&lt;&gt;"REJECT")))),"")</f>
        <v>OB</v>
      </c>
      <c r="F22" s="304" t="str" cm="1">
        <f t="array" ref="F22">IFERROR(_xlfn.TEXTJOIN(", ",TRUE,_xlfn.UNIQUE(_xlfn._xlws.FILTER(DetailTracker[STATUS],(TRIM(DetailTracker[PROJECT NAME (SHORT)])=TRIM(A22))*(DetailTracker[STAGE]="NPI")))),"No NPI yet")</f>
        <v>FC</v>
      </c>
      <c r="G22" s="304" t="str">
        <f t="shared" si="0"/>
        <v>Won</v>
      </c>
      <c r="H22" s="309" cm="1">
        <f t="array" ref="H22">IFERROR(SUM(_xlfn._xlws.FILTER(DetailTracker[PROJECT BREAK VALUE],(TRIM(DetailTracker[PROJECT NAME (SHORT)])=TRIM(A22))*(DetailTracker[STAGE]="NPD")*(DetailTracker[STATUS]&lt;&gt;"REJECTED")*(DetailTracker[STATUS]&lt;&gt;"REJECT"))),0)</f>
        <v>32385.58</v>
      </c>
      <c r="I22" s="309" cm="1">
        <f t="array" ref="I22">IFERROR(SUM(_xlfn._xlws.FILTER(DetailTracker[PROJECT BREAK VALUE],(TRIM(DetailTracker[PROJECT NAME (SHORT)])=TRIM(A22))*(DetailTracker[STAGE]="NPI"))),0)</f>
        <v>543005</v>
      </c>
      <c r="J22" s="304"/>
      <c r="K22" s="304"/>
      <c r="L22" s="304"/>
      <c r="M22" s="304"/>
      <c r="N22" s="304"/>
      <c r="O22" s="304"/>
      <c r="P22" s="304"/>
      <c r="Q22" s="304"/>
      <c r="R22" s="304"/>
      <c r="S22" s="304"/>
    </row>
    <row r="23" spans="1:19">
      <c r="A23" s="304" t="s">
        <v>766</v>
      </c>
      <c r="B23" s="304" t="s">
        <v>46</v>
      </c>
      <c r="C23" s="304" t="s">
        <v>378</v>
      </c>
      <c r="D23" s="304" t="s">
        <v>282</v>
      </c>
      <c r="E23" s="304" t="str" cm="1">
        <f t="array" ref="E23">IFERROR(_xlfn.TEXTJOIN(", ",TRUE,_xlfn.UNIQUE(_xlfn._xlws.FILTER(DetailTracker[STATUS],(TRIM(DetailTracker[PROJECT NAME (SHORT)])=TRIM(A23))*(DetailTracker[STAGE]="NPD")*(DetailTracker[STATUS]&lt;&gt;"REJECTED")*(DetailTracker[STATUS]&lt;&gt;"REJECT")))),"")</f>
        <v>OB</v>
      </c>
      <c r="F23" s="304" t="str" cm="1">
        <f t="array" ref="F23">IFERROR(_xlfn.TEXTJOIN(", ",TRUE,_xlfn.UNIQUE(_xlfn._xlws.FILTER(DetailTracker[STATUS],(TRIM(DetailTracker[PROJECT NAME (SHORT)])=TRIM(A23))*(DetailTracker[STAGE]="NPI")))),"No NPI yet")</f>
        <v>FC</v>
      </c>
      <c r="G23" s="304" t="str">
        <f t="shared" si="0"/>
        <v>Won</v>
      </c>
      <c r="H23" s="309" cm="1">
        <f t="array" ref="H23">IFERROR(SUM(_xlfn._xlws.FILTER(DetailTracker[PROJECT BREAK VALUE],(TRIM(DetailTracker[PROJECT NAME (SHORT)])=TRIM(A23))*(DetailTracker[STAGE]="NPD")*(DetailTracker[STATUS]&lt;&gt;"REJECTED")*(DetailTracker[STATUS]&lt;&gt;"REJECT"))),0)</f>
        <v>32000</v>
      </c>
      <c r="I23" s="309" cm="1">
        <f t="array" ref="I23">IFERROR(SUM(_xlfn._xlws.FILTER(DetailTracker[PROJECT BREAK VALUE],(TRIM(DetailTracker[PROJECT NAME (SHORT)])=TRIM(A23))*(DetailTracker[STAGE]="NPI"))),0)</f>
        <v>596794</v>
      </c>
      <c r="J23" s="304"/>
      <c r="K23" s="304"/>
      <c r="L23" s="304"/>
      <c r="M23" s="304"/>
      <c r="N23" s="304"/>
      <c r="O23" s="304"/>
      <c r="P23" s="304"/>
      <c r="Q23" s="304"/>
      <c r="R23" s="304"/>
      <c r="S23" s="304"/>
    </row>
    <row r="24" spans="1:19">
      <c r="A24" s="304" t="s">
        <v>377</v>
      </c>
      <c r="B24" s="304" t="s">
        <v>46</v>
      </c>
      <c r="C24" s="304" t="s">
        <v>376</v>
      </c>
      <c r="D24" s="304" t="s">
        <v>282</v>
      </c>
      <c r="E24" s="304" t="str" cm="1">
        <f t="array" ref="E24">IFERROR(_xlfn.TEXTJOIN(", ",TRUE,_xlfn.UNIQUE(_xlfn._xlws.FILTER(DetailTracker[STATUS],(TRIM(DetailTracker[PROJECT NAME (SHORT)])=TRIM(A24))*(DetailTracker[STAGE]="NPD")*(DetailTracker[STATUS]&lt;&gt;"REJECTED")*(DetailTracker[STATUS]&lt;&gt;"REJECT")))),"")</f>
        <v>SHIPPED</v>
      </c>
      <c r="F24" s="304" t="str" cm="1">
        <f t="array" ref="F24">IFERROR(_xlfn.TEXTJOIN(", ",TRUE,_xlfn.UNIQUE(_xlfn._xlws.FILTER(DetailTracker[STATUS],(TRIM(DetailTracker[PROJECT NAME (SHORT)])=TRIM(A24))*(DetailTracker[STAGE]="NPI")))),"No NPI yet")</f>
        <v>FC</v>
      </c>
      <c r="G24" s="304" t="str">
        <f t="shared" si="0"/>
        <v>Won</v>
      </c>
      <c r="H24" s="309" cm="1">
        <f t="array" ref="H24">IFERROR(SUM(_xlfn._xlws.FILTER(DetailTracker[PROJECT BREAK VALUE],(TRIM(DetailTracker[PROJECT NAME (SHORT)])=TRIM(A24))*(DetailTracker[STAGE]="NPD")*(DetailTracker[STATUS]&lt;&gt;"REJECTED")*(DetailTracker[STATUS]&lt;&gt;"REJECT"))),0)</f>
        <v>7901.24</v>
      </c>
      <c r="I24" s="309" cm="1">
        <f t="array" ref="I24">IFERROR(SUM(_xlfn._xlws.FILTER(DetailTracker[PROJECT BREAK VALUE],(TRIM(DetailTracker[PROJECT NAME (SHORT)])=TRIM(A24))*(DetailTracker[STAGE]="NPI"))),0)</f>
        <v>897832</v>
      </c>
      <c r="J24" s="304"/>
      <c r="K24" s="304"/>
      <c r="L24" s="304"/>
      <c r="M24" s="304"/>
      <c r="N24" s="304"/>
      <c r="O24" s="304"/>
      <c r="P24" s="304"/>
      <c r="Q24" s="304"/>
      <c r="R24" s="304"/>
      <c r="S24" s="304"/>
    </row>
    <row r="25" spans="1:19">
      <c r="A25" s="304" t="s">
        <v>454</v>
      </c>
      <c r="B25" s="304" t="s">
        <v>46</v>
      </c>
      <c r="C25" s="304" t="s">
        <v>453</v>
      </c>
      <c r="D25" s="304" t="s">
        <v>352</v>
      </c>
      <c r="E25" s="304" t="str" cm="1">
        <f t="array" ref="E25">IFERROR(_xlfn.TEXTJOIN(", ",TRUE,_xlfn.UNIQUE(_xlfn._xlws.FILTER(DetailTracker[STATUS],(TRIM(DetailTracker[PROJECT NAME (SHORT)])=TRIM(A25))*(DetailTracker[STAGE]="NPD")*(DetailTracker[STATUS]&lt;&gt;"REJECTED")*(DetailTracker[STATUS]&lt;&gt;"REJECT")))),"")</f>
        <v>OB</v>
      </c>
      <c r="F25" s="304" t="str" cm="1">
        <f t="array" ref="F25">IFERROR(_xlfn.TEXTJOIN(", ",TRUE,_xlfn.UNIQUE(_xlfn._xlws.FILTER(DetailTracker[STATUS],(TRIM(DetailTracker[PROJECT NAME (SHORT)])=TRIM(A25))*(DetailTracker[STAGE]="NPI")))),"No NPI yet")</f>
        <v>FC</v>
      </c>
      <c r="G25" s="304" t="str">
        <f t="shared" si="0"/>
        <v>Won</v>
      </c>
      <c r="H25" s="309" cm="1">
        <f t="array" ref="H25">IFERROR(SUM(_xlfn._xlws.FILTER(DetailTracker[PROJECT BREAK VALUE],(TRIM(DetailTracker[PROJECT NAME (SHORT)])=TRIM(A25))*(DetailTracker[STAGE]="NPD")*(DetailTracker[STATUS]&lt;&gt;"REJECTED")*(DetailTracker[STATUS]&lt;&gt;"REJECT"))),0)</f>
        <v>2230.98</v>
      </c>
      <c r="I25" s="309" cm="1">
        <f t="array" ref="I25">IFERROR(SUM(_xlfn._xlws.FILTER(DetailTracker[PROJECT BREAK VALUE],(TRIM(DetailTracker[PROJECT NAME (SHORT)])=TRIM(A25))*(DetailTracker[STAGE]="NPI"))),0)</f>
        <v>210727.22</v>
      </c>
      <c r="J25" s="304"/>
      <c r="K25" s="304"/>
      <c r="L25" s="304"/>
      <c r="M25" s="304"/>
      <c r="N25" s="304"/>
      <c r="O25" s="304"/>
      <c r="P25" s="304"/>
      <c r="Q25" s="304"/>
      <c r="R25" s="304"/>
      <c r="S25" s="304"/>
    </row>
    <row r="26" spans="1:19">
      <c r="A26" s="304" t="s">
        <v>375</v>
      </c>
      <c r="B26" s="304" t="s">
        <v>46</v>
      </c>
      <c r="C26" s="304" t="s">
        <v>203</v>
      </c>
      <c r="D26" s="304" t="s">
        <v>298</v>
      </c>
      <c r="E26" s="304" t="str" cm="1">
        <f t="array" ref="E26">IFERROR(_xlfn.TEXTJOIN(", ",TRUE,_xlfn.UNIQUE(_xlfn._xlws.FILTER(DetailTracker[STATUS],(TRIM(DetailTracker[PROJECT NAME (SHORT)])=TRIM(A26))*(DetailTracker[STAGE]="NPD")*(DetailTracker[STATUS]&lt;&gt;"REJECTED")*(DetailTracker[STATUS]&lt;&gt;"REJECT")))),"")</f>
        <v>SHIPPED</v>
      </c>
      <c r="F26" s="304" t="str" cm="1">
        <f t="array" ref="F26">IFERROR(_xlfn.TEXTJOIN(", ",TRUE,_xlfn.UNIQUE(_xlfn._xlws.FILTER(DetailTracker[STATUS],(TRIM(DetailTracker[PROJECT NAME (SHORT)])=TRIM(A26))*(DetailTracker[STAGE]="NPI")))),"No NPI yet")</f>
        <v>FC</v>
      </c>
      <c r="G26" s="304" t="str">
        <f t="shared" si="0"/>
        <v>Won</v>
      </c>
      <c r="H26" s="309" cm="1">
        <f t="array" ref="H26">IFERROR(SUM(_xlfn._xlws.FILTER(DetailTracker[PROJECT BREAK VALUE],(TRIM(DetailTracker[PROJECT NAME (SHORT)])=TRIM(A26))*(DetailTracker[STAGE]="NPD")*(DetailTracker[STATUS]&lt;&gt;"REJECTED")*(DetailTracker[STATUS]&lt;&gt;"REJECT"))),0)</f>
        <v>3273</v>
      </c>
      <c r="I26" s="309" cm="1">
        <f t="array" ref="I26">IFERROR(SUM(_xlfn._xlws.FILTER(DetailTracker[PROJECT BREAK VALUE],(TRIM(DetailTracker[PROJECT NAME (SHORT)])=TRIM(A26))*(DetailTracker[STAGE]="NPI"))),0)</f>
        <v>179782</v>
      </c>
      <c r="J26" s="304"/>
      <c r="K26" s="304"/>
      <c r="L26" s="304"/>
      <c r="M26" s="304"/>
      <c r="N26" s="304"/>
      <c r="O26" s="304"/>
      <c r="P26" s="304"/>
      <c r="Q26" s="304"/>
      <c r="R26" s="304"/>
      <c r="S26" s="304"/>
    </row>
    <row r="27" spans="1:19">
      <c r="A27" s="304" t="s">
        <v>395</v>
      </c>
      <c r="B27" s="304" t="s">
        <v>46</v>
      </c>
      <c r="C27" s="304" t="s">
        <v>203</v>
      </c>
      <c r="D27" s="304" t="s">
        <v>298</v>
      </c>
      <c r="E27" s="304" t="str" cm="1">
        <f t="array" ref="E27">IFERROR(_xlfn.TEXTJOIN(", ",TRUE,_xlfn.UNIQUE(_xlfn._xlws.FILTER(DetailTracker[STATUS],(TRIM(DetailTracker[PROJECT NAME (SHORT)])=TRIM(A27))*(DetailTracker[STAGE]="NPD")*(DetailTracker[STATUS]&lt;&gt;"REJECTED")*(DetailTracker[STATUS]&lt;&gt;"REJECT")))),"")</f>
        <v>SHIPPED</v>
      </c>
      <c r="F27" s="304" t="str" cm="1">
        <f t="array" ref="F27">IFERROR(_xlfn.TEXTJOIN(", ",TRUE,_xlfn.UNIQUE(_xlfn._xlws.FILTER(DetailTracker[STATUS],(TRIM(DetailTracker[PROJECT NAME (SHORT)])=TRIM(A27))*(DetailTracker[STAGE]="NPI")))),"No NPI yet")</f>
        <v>FC</v>
      </c>
      <c r="G27" s="304" t="str">
        <f t="shared" si="0"/>
        <v>Won</v>
      </c>
      <c r="H27" s="309" cm="1">
        <f t="array" ref="H27">IFERROR(SUM(_xlfn._xlws.FILTER(DetailTracker[PROJECT BREAK VALUE],(TRIM(DetailTracker[PROJECT NAME (SHORT)])=TRIM(A27))*(DetailTracker[STAGE]="NPD")*(DetailTracker[STATUS]&lt;&gt;"REJECTED")*(DetailTracker[STATUS]&lt;&gt;"REJECT"))),0)</f>
        <v>6938.58</v>
      </c>
      <c r="I27" s="309" cm="1">
        <f t="array" ref="I27">IFERROR(SUM(_xlfn._xlws.FILTER(DetailTracker[PROJECT BREAK VALUE],(TRIM(DetailTracker[PROJECT NAME (SHORT)])=TRIM(A27))*(DetailTracker[STAGE]="NPI"))),0)</f>
        <v>343070</v>
      </c>
      <c r="J27" s="304"/>
      <c r="K27" s="304"/>
      <c r="L27" s="304"/>
      <c r="M27" s="304"/>
      <c r="N27" s="304"/>
      <c r="O27" s="304"/>
      <c r="P27" s="304"/>
      <c r="Q27" s="304"/>
      <c r="R27" s="304"/>
      <c r="S27" s="304"/>
    </row>
    <row r="28" spans="1:19">
      <c r="A28" s="304" t="s">
        <v>489</v>
      </c>
      <c r="B28" s="304" t="s">
        <v>46</v>
      </c>
      <c r="C28" s="304" t="s">
        <v>203</v>
      </c>
      <c r="D28" s="304" t="s">
        <v>352</v>
      </c>
      <c r="E28" s="304" t="str" cm="1">
        <f t="array" ref="E28">IFERROR(_xlfn.TEXTJOIN(", ",TRUE,_xlfn.UNIQUE(_xlfn._xlws.FILTER(DetailTracker[STATUS],(TRIM(DetailTracker[PROJECT NAME (SHORT)])=TRIM(A28))*(DetailTracker[STAGE]="NPD")*(DetailTracker[STATUS]&lt;&gt;"REJECTED")*(DetailTracker[STATUS]&lt;&gt;"REJECT")))),"")</f>
        <v>FC</v>
      </c>
      <c r="F28" s="304" t="str" cm="1">
        <f t="array" ref="F28">IFERROR(_xlfn.TEXTJOIN(", ",TRUE,_xlfn.UNIQUE(_xlfn._xlws.FILTER(DetailTracker[STATUS],(TRIM(DetailTracker[PROJECT NAME (SHORT)])=TRIM(A28))*(DetailTracker[STAGE]="NPI")))),"No NPI yet")</f>
        <v>No NPI yet</v>
      </c>
      <c r="G28" s="304" t="str">
        <f t="shared" si="0"/>
        <v>In Progress</v>
      </c>
      <c r="H28" s="309" cm="1">
        <f t="array" ref="H28">IFERROR(SUM(_xlfn._xlws.FILTER(DetailTracker[PROJECT BREAK VALUE],(TRIM(DetailTracker[PROJECT NAME (SHORT)])=TRIM(A28))*(DetailTracker[STAGE]="NPD")*(DetailTracker[STATUS]&lt;&gt;"REJECTED")*(DetailTracker[STATUS]&lt;&gt;"REJECT"))),0)</f>
        <v>730.3</v>
      </c>
      <c r="I28" s="309" cm="1">
        <f t="array" ref="I28">IFERROR(SUM(_xlfn._xlws.FILTER(DetailTracker[PROJECT BREAK VALUE],(TRIM(DetailTracker[PROJECT NAME (SHORT)])=TRIM(A28))*(DetailTracker[STAGE]="NPI"))),0)</f>
        <v>0</v>
      </c>
      <c r="J28" s="304"/>
      <c r="K28" s="304"/>
      <c r="L28" s="304"/>
      <c r="M28" s="304"/>
      <c r="N28" s="304"/>
      <c r="O28" s="304"/>
      <c r="P28" s="304"/>
      <c r="Q28" s="304"/>
      <c r="R28" s="304"/>
      <c r="S28" s="304"/>
    </row>
    <row r="29" spans="1:19">
      <c r="A29" s="304" t="s">
        <v>160</v>
      </c>
      <c r="B29" s="304" t="s">
        <v>59</v>
      </c>
      <c r="C29" s="304" t="s">
        <v>61</v>
      </c>
      <c r="D29" s="304" t="s">
        <v>328</v>
      </c>
      <c r="E29" s="304" t="str" cm="1">
        <f t="array" ref="E29">IFERROR(_xlfn.TEXTJOIN(", ",TRUE,_xlfn.UNIQUE(_xlfn._xlws.FILTER(DetailTracker[STATUS],(TRIM(DetailTracker[PROJECT NAME (SHORT)])=TRIM(A29))*(DetailTracker[STAGE]="NPD")*(DetailTracker[STATUS]&lt;&gt;"REJECTED")*(DetailTracker[STATUS]&lt;&gt;"REJECT")))),"")</f>
        <v>SHIPPED</v>
      </c>
      <c r="F29" s="304" t="str" cm="1">
        <f t="array" ref="F29">IFERROR(_xlfn.TEXTJOIN(", ",TRUE,_xlfn.UNIQUE(_xlfn._xlws.FILTER(DetailTracker[STATUS],(TRIM(DetailTracker[PROJECT NAME (SHORT)])=TRIM(A29))*(DetailTracker[STAGE]="NPI")))),"No NPI yet")</f>
        <v>FC</v>
      </c>
      <c r="G29" s="304" t="str">
        <f t="shared" si="0"/>
        <v>Won</v>
      </c>
      <c r="H29" s="309" cm="1">
        <f t="array" ref="H29">IFERROR(SUM(_xlfn._xlws.FILTER(DetailTracker[PROJECT BREAK VALUE],(TRIM(DetailTracker[PROJECT NAME (SHORT)])=TRIM(A29))*(DetailTracker[STAGE]="NPD")*(DetailTracker[STATUS]&lt;&gt;"REJECTED")*(DetailTracker[STATUS]&lt;&gt;"REJECT"))),0)</f>
        <v>1234.8599999999999</v>
      </c>
      <c r="I29" s="309" cm="1">
        <f t="array" ref="I29">IFERROR(SUM(_xlfn._xlws.FILTER(DetailTracker[PROJECT BREAK VALUE],(TRIM(DetailTracker[PROJECT NAME (SHORT)])=TRIM(A29))*(DetailTracker[STAGE]="NPI"))),0)</f>
        <v>1074318.51</v>
      </c>
      <c r="J29" s="304"/>
      <c r="K29" s="304"/>
      <c r="L29" s="304"/>
      <c r="M29" s="304"/>
      <c r="N29" s="304"/>
      <c r="O29" s="304"/>
      <c r="P29" s="304"/>
      <c r="Q29" s="304"/>
      <c r="R29" s="304"/>
      <c r="S29" s="304"/>
    </row>
    <row r="30" spans="1:19">
      <c r="A30" s="304" t="s">
        <v>165</v>
      </c>
      <c r="B30" s="304" t="s">
        <v>59</v>
      </c>
      <c r="C30" s="304" t="s">
        <v>61</v>
      </c>
      <c r="D30" s="304" t="s">
        <v>282</v>
      </c>
      <c r="E30" s="304" t="str" cm="1">
        <f t="array" ref="E30">IFERROR(_xlfn.TEXTJOIN(", ",TRUE,_xlfn.UNIQUE(_xlfn._xlws.FILTER(DetailTracker[STATUS],(TRIM(DetailTracker[PROJECT NAME (SHORT)])=TRIM(A30))*(DetailTracker[STAGE]="NPD")*(DetailTracker[STATUS]&lt;&gt;"REJECTED")*(DetailTracker[STATUS]&lt;&gt;"REJECT")))),"")</f>
        <v>SHIPPED</v>
      </c>
      <c r="F30" s="304" t="str" cm="1">
        <f t="array" ref="F30">IFERROR(_xlfn.TEXTJOIN(", ",TRUE,_xlfn.UNIQUE(_xlfn._xlws.FILTER(DetailTracker[STATUS],(TRIM(DetailTracker[PROJECT NAME (SHORT)])=TRIM(A30))*(DetailTracker[STAGE]="NPI")))),"No NPI yet")</f>
        <v>OB</v>
      </c>
      <c r="G30" s="304" t="str">
        <f t="shared" si="0"/>
        <v>Won</v>
      </c>
      <c r="H30" s="309" cm="1">
        <f t="array" ref="H30">IFERROR(SUM(_xlfn._xlws.FILTER(DetailTracker[PROJECT BREAK VALUE],(TRIM(DetailTracker[PROJECT NAME (SHORT)])=TRIM(A30))*(DetailTracker[STAGE]="NPD")*(DetailTracker[STATUS]&lt;&gt;"REJECTED")*(DetailTracker[STATUS]&lt;&gt;"REJECT"))),0)</f>
        <v>1046.75</v>
      </c>
      <c r="I30" s="309" cm="1">
        <f t="array" ref="I30">IFERROR(SUM(_xlfn._xlws.FILTER(DetailTracker[PROJECT BREAK VALUE],(TRIM(DetailTracker[PROJECT NAME (SHORT)])=TRIM(A30))*(DetailTracker[STAGE]="NPI"))),0)</f>
        <v>311473.76000000007</v>
      </c>
      <c r="J30" s="304"/>
      <c r="K30" s="304"/>
      <c r="L30" s="304"/>
      <c r="M30" s="304"/>
      <c r="N30" s="304"/>
      <c r="O30" s="304"/>
      <c r="P30" s="304"/>
      <c r="Q30" s="304"/>
      <c r="R30" s="304"/>
      <c r="S30" s="304"/>
    </row>
    <row r="31" spans="1:19">
      <c r="A31" s="304" t="s">
        <v>767</v>
      </c>
      <c r="B31" s="304" t="s">
        <v>59</v>
      </c>
      <c r="C31" s="304" t="s">
        <v>61</v>
      </c>
      <c r="D31" s="304" t="s">
        <v>282</v>
      </c>
      <c r="E31" s="304" t="str" cm="1">
        <f t="array" ref="E31">IFERROR(_xlfn.TEXTJOIN(", ",TRUE,_xlfn.UNIQUE(_xlfn._xlws.FILTER(DetailTracker[STATUS],(TRIM(DetailTracker[PROJECT NAME (SHORT)])=TRIM(A31))*(DetailTracker[STAGE]="NPD")*(DetailTracker[STATUS]&lt;&gt;"REJECTED")*(DetailTracker[STATUS]&lt;&gt;"REJECT")))),"")</f>
        <v>SHIPPED</v>
      </c>
      <c r="F31" s="304" t="str" cm="1">
        <f t="array" ref="F31">IFERROR(_xlfn.TEXTJOIN(", ",TRUE,_xlfn.UNIQUE(_xlfn._xlws.FILTER(DetailTracker[STATUS],(TRIM(DetailTracker[PROJECT NAME (SHORT)])=TRIM(A31))*(DetailTracker[STAGE]="NPI")))),"No NPI yet")</f>
        <v>OB</v>
      </c>
      <c r="G31" s="304" t="str">
        <f t="shared" si="0"/>
        <v>Won</v>
      </c>
      <c r="H31" s="309" cm="1">
        <f t="array" ref="H31">IFERROR(SUM(_xlfn._xlws.FILTER(DetailTracker[PROJECT BREAK VALUE],(TRIM(DetailTracker[PROJECT NAME (SHORT)])=TRIM(A31))*(DetailTracker[STAGE]="NPD")*(DetailTracker[STATUS]&lt;&gt;"REJECTED")*(DetailTracker[STATUS]&lt;&gt;"REJECT"))),0)</f>
        <v>1017.32</v>
      </c>
      <c r="I31" s="309" cm="1">
        <f t="array" ref="I31">IFERROR(SUM(_xlfn._xlws.FILTER(DetailTracker[PROJECT BREAK VALUE],(TRIM(DetailTracker[PROJECT NAME (SHORT)])=TRIM(A31))*(DetailTracker[STAGE]="NPI"))),0)</f>
        <v>37552</v>
      </c>
      <c r="J31" s="304"/>
      <c r="K31" s="304"/>
      <c r="L31" s="304"/>
      <c r="M31" s="304"/>
      <c r="N31" s="304"/>
      <c r="O31" s="304"/>
      <c r="P31" s="304"/>
      <c r="Q31" s="304"/>
      <c r="R31" s="304"/>
      <c r="S31" s="304"/>
    </row>
    <row r="32" spans="1:19">
      <c r="A32" s="304" t="s">
        <v>188</v>
      </c>
      <c r="B32" s="304" t="s">
        <v>46</v>
      </c>
      <c r="C32" s="304" t="s">
        <v>98</v>
      </c>
      <c r="D32" s="304" t="s">
        <v>1630</v>
      </c>
      <c r="E32" s="304" t="str" cm="1">
        <f t="array" ref="E32">IFERROR(_xlfn.TEXTJOIN(", ",TRUE,_xlfn.UNIQUE(_xlfn._xlws.FILTER(DetailTracker[STATUS],(TRIM(DetailTracker[PROJECT NAME (SHORT)])=TRIM(A32))*(DetailTracker[STAGE]="NPD")*(DetailTracker[STATUS]&lt;&gt;"REJECTED")*(DetailTracker[STATUS]&lt;&gt;"REJECT")))),"")</f>
        <v>SHIPPED</v>
      </c>
      <c r="F32" s="304" t="str" cm="1">
        <f t="array" ref="F32">IFERROR(_xlfn.TEXTJOIN(", ",TRUE,_xlfn.UNIQUE(_xlfn._xlws.FILTER(DetailTracker[STATUS],(TRIM(DetailTracker[PROJECT NAME (SHORT)])=TRIM(A32))*(DetailTracker[STAGE]="NPI")))),"No NPI yet")</f>
        <v>FC</v>
      </c>
      <c r="G32" s="304" t="str">
        <f t="shared" si="0"/>
        <v>Won</v>
      </c>
      <c r="H32" s="309" cm="1">
        <f t="array" ref="H32">IFERROR(SUM(_xlfn._xlws.FILTER(DetailTracker[PROJECT BREAK VALUE],(TRIM(DetailTracker[PROJECT NAME (SHORT)])=TRIM(A32))*(DetailTracker[STAGE]="NPD")*(DetailTracker[STATUS]&lt;&gt;"REJECTED")*(DetailTracker[STATUS]&lt;&gt;"REJECT"))),0)</f>
        <v>15271.3</v>
      </c>
      <c r="I32" s="309" cm="1">
        <f t="array" ref="I32">IFERROR(SUM(_xlfn._xlws.FILTER(DetailTracker[PROJECT BREAK VALUE],(TRIM(DetailTracker[PROJECT NAME (SHORT)])=TRIM(A32))*(DetailTracker[STAGE]="NPI"))),0)</f>
        <v>3466407</v>
      </c>
      <c r="J32" s="304"/>
      <c r="K32" s="304"/>
      <c r="L32" s="304"/>
      <c r="M32" s="304"/>
      <c r="N32" s="304"/>
      <c r="O32" s="304"/>
      <c r="P32" s="304"/>
      <c r="Q32" s="304"/>
      <c r="R32" s="304"/>
      <c r="S32" s="304"/>
    </row>
    <row r="33" spans="1:19">
      <c r="A33" s="304" t="s">
        <v>477</v>
      </c>
      <c r="B33" s="304" t="s">
        <v>46</v>
      </c>
      <c r="C33" s="304" t="s">
        <v>430</v>
      </c>
      <c r="D33" s="304" t="s">
        <v>427</v>
      </c>
      <c r="E33" s="304" t="str" cm="1">
        <f t="array" ref="E33">IFERROR(_xlfn.TEXTJOIN(", ",TRUE,_xlfn.UNIQUE(_xlfn._xlws.FILTER(DetailTracker[STATUS],(TRIM(DetailTracker[PROJECT NAME (SHORT)])=TRIM(A33))*(DetailTracker[STAGE]="NPD")*(DetailTracker[STATUS]&lt;&gt;"REJECTED")*(DetailTracker[STATUS]&lt;&gt;"REJECT")))),"")</f>
        <v>CANCELLED</v>
      </c>
      <c r="F33" s="304" t="str" cm="1">
        <f t="array" ref="F33">IFERROR(_xlfn.TEXTJOIN(", ",TRUE,_xlfn.UNIQUE(_xlfn._xlws.FILTER(DetailTracker[STATUS],(TRIM(DetailTracker[PROJECT NAME (SHORT)])=TRIM(A33))*(DetailTracker[STAGE]="NPI")))),"No NPI yet")</f>
        <v>No NPI yet</v>
      </c>
      <c r="G33" s="304" t="str">
        <f t="shared" si="0"/>
        <v>Lost</v>
      </c>
      <c r="H33" s="309" cm="1">
        <f t="array" ref="H33">IFERROR(SUM(_xlfn._xlws.FILTER(DetailTracker[PROJECT BREAK VALUE],(TRIM(DetailTracker[PROJECT NAME (SHORT)])=TRIM(A33))*(DetailTracker[STAGE]="NPD")*(DetailTracker[STATUS]&lt;&gt;"REJECTED")*(DetailTracker[STATUS]&lt;&gt;"REJECT"))),0)</f>
        <v>4270.1200000000008</v>
      </c>
      <c r="I33" s="309" cm="1">
        <f t="array" ref="I33">IFERROR(SUM(_xlfn._xlws.FILTER(DetailTracker[PROJECT BREAK VALUE],(TRIM(DetailTracker[PROJECT NAME (SHORT)])=TRIM(A33))*(DetailTracker[STAGE]="NPI"))),0)</f>
        <v>0</v>
      </c>
      <c r="J33" s="304"/>
      <c r="K33" s="304"/>
      <c r="L33" s="304"/>
      <c r="M33" s="304"/>
      <c r="N33" s="304"/>
      <c r="O33" s="304"/>
      <c r="P33" s="304"/>
      <c r="Q33" s="304"/>
      <c r="R33" s="304"/>
      <c r="S33" s="304"/>
    </row>
    <row r="34" spans="1:19">
      <c r="A34" s="304" t="s">
        <v>473</v>
      </c>
      <c r="B34" s="304" t="s">
        <v>46</v>
      </c>
      <c r="C34" s="304" t="s">
        <v>430</v>
      </c>
      <c r="D34" s="304" t="s">
        <v>427</v>
      </c>
      <c r="E34" s="304" t="str" cm="1">
        <f t="array" ref="E34">IFERROR(_xlfn.TEXTJOIN(", ",TRUE,_xlfn.UNIQUE(_xlfn._xlws.FILTER(DetailTracker[STATUS],(TRIM(DetailTracker[PROJECT NAME (SHORT)])=TRIM(A34))*(DetailTracker[STAGE]="NPD")*(DetailTracker[STATUS]&lt;&gt;"REJECTED")*(DetailTracker[STATUS]&lt;&gt;"REJECT")))),"")</f>
        <v>CANCELLED</v>
      </c>
      <c r="F34" s="304" t="str" cm="1">
        <f t="array" ref="F34">IFERROR(_xlfn.TEXTJOIN(", ",TRUE,_xlfn.UNIQUE(_xlfn._xlws.FILTER(DetailTracker[STATUS],(TRIM(DetailTracker[PROJECT NAME (SHORT)])=TRIM(A34))*(DetailTracker[STAGE]="NPI")))),"No NPI yet")</f>
        <v>No NPI yet</v>
      </c>
      <c r="G34" s="304" t="str">
        <f t="shared" si="0"/>
        <v>Lost</v>
      </c>
      <c r="H34" s="309" cm="1">
        <f t="array" ref="H34">IFERROR(SUM(_xlfn._xlws.FILTER(DetailTracker[PROJECT BREAK VALUE],(TRIM(DetailTracker[PROJECT NAME (SHORT)])=TRIM(A34))*(DetailTracker[STAGE]="NPD")*(DetailTracker[STATUS]&lt;&gt;"REJECTED")*(DetailTracker[STATUS]&lt;&gt;"REJECT"))),0)</f>
        <v>17279</v>
      </c>
      <c r="I34" s="309" cm="1">
        <f t="array" ref="I34">IFERROR(SUM(_xlfn._xlws.FILTER(DetailTracker[PROJECT BREAK VALUE],(TRIM(DetailTracker[PROJECT NAME (SHORT)])=TRIM(A34))*(DetailTracker[STAGE]="NPI"))),0)</f>
        <v>0</v>
      </c>
      <c r="J34" s="304"/>
      <c r="K34" s="304"/>
      <c r="L34" s="304"/>
      <c r="M34" s="304"/>
      <c r="N34" s="304"/>
      <c r="O34" s="304"/>
      <c r="P34" s="304"/>
      <c r="Q34" s="304"/>
      <c r="R34" s="304"/>
      <c r="S34" s="304"/>
    </row>
    <row r="35" spans="1:19">
      <c r="A35" s="304" t="s">
        <v>399</v>
      </c>
      <c r="B35" s="304" t="s">
        <v>59</v>
      </c>
      <c r="C35" s="304" t="s">
        <v>61</v>
      </c>
      <c r="D35" s="304" t="s">
        <v>308</v>
      </c>
      <c r="E35" s="304" t="str" cm="1">
        <f t="array" ref="E35">IFERROR(_xlfn.TEXTJOIN(", ",TRUE,_xlfn.UNIQUE(_xlfn._xlws.FILTER(DetailTracker[STATUS],(TRIM(DetailTracker[PROJECT NAME (SHORT)])=TRIM(A35))*(DetailTracker[STAGE]="NPD")*(DetailTracker[STATUS]&lt;&gt;"REJECTED")*(DetailTracker[STATUS]&lt;&gt;"REJECT")))),"")</f>
        <v>ON HOLD</v>
      </c>
      <c r="F35" s="304" t="str" cm="1">
        <f t="array" ref="F35">IFERROR(_xlfn.TEXTJOIN(", ",TRUE,_xlfn.UNIQUE(_xlfn._xlws.FILTER(DetailTracker[STATUS],(TRIM(DetailTracker[PROJECT NAME (SHORT)])=TRIM(A35))*(DetailTracker[STAGE]="NPI")))),"No NPI yet")</f>
        <v>ON HOLD</v>
      </c>
      <c r="G35" s="304" t="str">
        <f t="shared" si="0"/>
        <v>In Progress</v>
      </c>
      <c r="H35" s="309" cm="1">
        <f t="array" ref="H35">IFERROR(SUM(_xlfn._xlws.FILTER(DetailTracker[PROJECT BREAK VALUE],(TRIM(DetailTracker[PROJECT NAME (SHORT)])=TRIM(A35))*(DetailTracker[STAGE]="NPD")*(DetailTracker[STATUS]&lt;&gt;"REJECTED")*(DetailTracker[STATUS]&lt;&gt;"REJECT"))),0)</f>
        <v>31219.1</v>
      </c>
      <c r="I35" s="309" cm="1">
        <f t="array" ref="I35">IFERROR(SUM(_xlfn._xlws.FILTER(DetailTracker[PROJECT BREAK VALUE],(TRIM(DetailTracker[PROJECT NAME (SHORT)])=TRIM(A35))*(DetailTracker[STAGE]="NPI"))),0)</f>
        <v>532175</v>
      </c>
      <c r="J35" s="304"/>
      <c r="K35" s="304"/>
      <c r="L35" s="304"/>
      <c r="M35" s="304"/>
      <c r="N35" s="304"/>
      <c r="O35" s="304"/>
      <c r="P35" s="304"/>
      <c r="Q35" s="304"/>
      <c r="R35" s="304"/>
      <c r="S35" s="304"/>
    </row>
    <row r="36" spans="1:19">
      <c r="A36" s="304" t="s">
        <v>448</v>
      </c>
      <c r="B36" s="304" t="s">
        <v>46</v>
      </c>
      <c r="C36" s="304" t="s">
        <v>98</v>
      </c>
      <c r="D36" s="304" t="s">
        <v>341</v>
      </c>
      <c r="E36" s="304" t="str" cm="1">
        <f t="array" ref="E36">IFERROR(_xlfn.TEXTJOIN(", ",TRUE,_xlfn.UNIQUE(_xlfn._xlws.FILTER(DetailTracker[STATUS],(TRIM(DetailTracker[PROJECT NAME (SHORT)])=TRIM(A36))*(DetailTracker[STAGE]="NPD")*(DetailTracker[STATUS]&lt;&gt;"REJECTED")*(DetailTracker[STATUS]&lt;&gt;"REJECT")))),"")</f>
        <v>SHIPPED</v>
      </c>
      <c r="F36" s="304" t="str" cm="1">
        <f t="array" ref="F36">IFERROR(_xlfn.TEXTJOIN(", ",TRUE,_xlfn.UNIQUE(_xlfn._xlws.FILTER(DetailTracker[STATUS],(TRIM(DetailTracker[PROJECT NAME (SHORT)])=TRIM(A36))*(DetailTracker[STAGE]="NPI")))),"No NPI yet")</f>
        <v>No NPI yet</v>
      </c>
      <c r="G36" s="304" t="str">
        <f t="shared" si="0"/>
        <v>In Progress</v>
      </c>
      <c r="H36" s="309" cm="1">
        <f t="array" ref="H36">IFERROR(SUM(_xlfn._xlws.FILTER(DetailTracker[PROJECT BREAK VALUE],(TRIM(DetailTracker[PROJECT NAME (SHORT)])=TRIM(A36))*(DetailTracker[STAGE]="NPD")*(DetailTracker[STATUS]&lt;&gt;"REJECTED")*(DetailTracker[STATUS]&lt;&gt;"REJECT"))),0)</f>
        <v>0</v>
      </c>
      <c r="I36" s="309" cm="1">
        <f t="array" ref="I36">IFERROR(SUM(_xlfn._xlws.FILTER(DetailTracker[PROJECT BREAK VALUE],(TRIM(DetailTracker[PROJECT NAME (SHORT)])=TRIM(A36))*(DetailTracker[STAGE]="NPI"))),0)</f>
        <v>0</v>
      </c>
      <c r="J36" s="304"/>
      <c r="K36" s="304"/>
      <c r="L36" s="304"/>
      <c r="M36" s="304"/>
      <c r="N36" s="304"/>
      <c r="O36" s="304"/>
      <c r="P36" s="304"/>
      <c r="Q36" s="304"/>
      <c r="R36" s="304"/>
      <c r="S36" s="304"/>
    </row>
    <row r="37" spans="1:19">
      <c r="A37" s="304" t="s">
        <v>407</v>
      </c>
      <c r="B37" s="304" t="s">
        <v>59</v>
      </c>
      <c r="C37" s="304" t="s">
        <v>61</v>
      </c>
      <c r="D37" s="304" t="s">
        <v>282</v>
      </c>
      <c r="E37" s="304" t="str" cm="1">
        <f t="array" ref="E37">IFERROR(_xlfn.TEXTJOIN(", ",TRUE,_xlfn.UNIQUE(_xlfn._xlws.FILTER(DetailTracker[STATUS],(TRIM(DetailTracker[PROJECT NAME (SHORT)])=TRIM(A37))*(DetailTracker[STAGE]="NPD")*(DetailTracker[STATUS]&lt;&gt;"REJECTED")*(DetailTracker[STATUS]&lt;&gt;"REJECT")))),"")</f>
        <v>SHIPPED</v>
      </c>
      <c r="F37" s="304" t="str" cm="1">
        <f t="array" ref="F37">IFERROR(_xlfn.TEXTJOIN(", ",TRUE,_xlfn.UNIQUE(_xlfn._xlws.FILTER(DetailTracker[STATUS],(TRIM(DetailTracker[PROJECT NAME (SHORT)])=TRIM(A37))*(DetailTracker[STAGE]="NPI")))),"No NPI yet")</f>
        <v>No NPI yet</v>
      </c>
      <c r="G37" s="304" t="str">
        <f t="shared" si="0"/>
        <v>In Progress</v>
      </c>
      <c r="H37" s="309" cm="1">
        <f t="array" ref="H37">IFERROR(SUM(_xlfn._xlws.FILTER(DetailTracker[PROJECT BREAK VALUE],(TRIM(DetailTracker[PROJECT NAME (SHORT)])=TRIM(A37))*(DetailTracker[STAGE]="NPD")*(DetailTracker[STATUS]&lt;&gt;"REJECTED")*(DetailTracker[STATUS]&lt;&gt;"REJECT"))),0)</f>
        <v>5617.6</v>
      </c>
      <c r="I37" s="309" cm="1">
        <f t="array" ref="I37">IFERROR(SUM(_xlfn._xlws.FILTER(DetailTracker[PROJECT BREAK VALUE],(TRIM(DetailTracker[PROJECT NAME (SHORT)])=TRIM(A37))*(DetailTracker[STAGE]="NPI"))),0)</f>
        <v>0</v>
      </c>
      <c r="J37" s="304"/>
      <c r="K37" s="304"/>
      <c r="L37" s="304"/>
      <c r="M37" s="304"/>
      <c r="N37" s="304"/>
      <c r="O37" s="304"/>
      <c r="P37" s="304"/>
      <c r="Q37" s="304"/>
      <c r="R37" s="304"/>
      <c r="S37" s="304"/>
    </row>
    <row r="38" spans="1:19">
      <c r="A38" s="304" t="s">
        <v>472</v>
      </c>
      <c r="B38" s="304" t="s">
        <v>59</v>
      </c>
      <c r="C38" s="304" t="s">
        <v>61</v>
      </c>
      <c r="D38" s="304" t="s">
        <v>328</v>
      </c>
      <c r="E38" s="304" t="str" cm="1">
        <f t="array" ref="E38">IFERROR(_xlfn.TEXTJOIN(", ",TRUE,_xlfn.UNIQUE(_xlfn._xlws.FILTER(DetailTracker[STATUS],(TRIM(DetailTracker[PROJECT NAME (SHORT)])=TRIM(A38))*(DetailTracker[STAGE]="NPD")*(DetailTracker[STATUS]&lt;&gt;"REJECTED")*(DetailTracker[STATUS]&lt;&gt;"REJECT")))),"")</f>
        <v>ON HOLD</v>
      </c>
      <c r="F38" s="304" t="str" cm="1">
        <f t="array" ref="F38">IFERROR(_xlfn.TEXTJOIN(", ",TRUE,_xlfn.UNIQUE(_xlfn._xlws.FILTER(DetailTracker[STATUS],(TRIM(DetailTracker[PROJECT NAME (SHORT)])=TRIM(A38))*(DetailTracker[STAGE]="NPI")))),"No NPI yet")</f>
        <v>ON HOLD</v>
      </c>
      <c r="G38" s="304" t="str">
        <f t="shared" si="0"/>
        <v>In Progress</v>
      </c>
      <c r="H38" s="309" cm="1">
        <f t="array" ref="H38">IFERROR(SUM(_xlfn._xlws.FILTER(DetailTracker[PROJECT BREAK VALUE],(TRIM(DetailTracker[PROJECT NAME (SHORT)])=TRIM(A38))*(DetailTracker[STAGE]="NPD")*(DetailTracker[STATUS]&lt;&gt;"REJECTED")*(DetailTracker[STATUS]&lt;&gt;"REJECT"))),0)</f>
        <v>13804.520000000004</v>
      </c>
      <c r="I38" s="309" cm="1">
        <f t="array" ref="I38">IFERROR(SUM(_xlfn._xlws.FILTER(DetailTracker[PROJECT BREAK VALUE],(TRIM(DetailTracker[PROJECT NAME (SHORT)])=TRIM(A38))*(DetailTracker[STAGE]="NPI"))),0)</f>
        <v>1474339</v>
      </c>
      <c r="J38" s="304"/>
      <c r="K38" s="304"/>
      <c r="L38" s="304"/>
      <c r="M38" s="304"/>
      <c r="N38" s="304"/>
      <c r="O38" s="304"/>
      <c r="P38" s="304"/>
      <c r="Q38" s="304"/>
      <c r="R38" s="304"/>
      <c r="S38" s="304"/>
    </row>
    <row r="39" spans="1:19">
      <c r="A39" s="304" t="s">
        <v>408</v>
      </c>
      <c r="B39" s="304" t="s">
        <v>59</v>
      </c>
      <c r="C39" s="304" t="s">
        <v>61</v>
      </c>
      <c r="D39" s="304" t="s">
        <v>308</v>
      </c>
      <c r="E39" s="304" t="str" cm="1">
        <f t="array" ref="E39">IFERROR(_xlfn.TEXTJOIN(", ",TRUE,_xlfn.UNIQUE(_xlfn._xlws.FILTER(DetailTracker[STATUS],(TRIM(DetailTracker[PROJECT NAME (SHORT)])=TRIM(A39))*(DetailTracker[STAGE]="NPD")*(DetailTracker[STATUS]&lt;&gt;"REJECTED")*(DetailTracker[STATUS]&lt;&gt;"REJECT")))),"")</f>
        <v>OB</v>
      </c>
      <c r="F39" s="304" t="str" cm="1">
        <f t="array" ref="F39">IFERROR(_xlfn.TEXTJOIN(", ",TRUE,_xlfn.UNIQUE(_xlfn._xlws.FILTER(DetailTracker[STATUS],(TRIM(DetailTracker[PROJECT NAME (SHORT)])=TRIM(A39))*(DetailTracker[STAGE]="NPI")))),"No NPI yet")</f>
        <v>No NPI yet</v>
      </c>
      <c r="G39" s="304" t="str">
        <f t="shared" si="0"/>
        <v>In Progress</v>
      </c>
      <c r="H39" s="309" cm="1">
        <f t="array" ref="H39">IFERROR(SUM(_xlfn._xlws.FILTER(DetailTracker[PROJECT BREAK VALUE],(TRIM(DetailTracker[PROJECT NAME (SHORT)])=TRIM(A39))*(DetailTracker[STAGE]="NPD")*(DetailTracker[STATUS]&lt;&gt;"REJECTED")*(DetailTracker[STATUS]&lt;&gt;"REJECT"))),0)</f>
        <v>5542.32</v>
      </c>
      <c r="I39" s="309" cm="1">
        <f t="array" ref="I39">IFERROR(SUM(_xlfn._xlws.FILTER(DetailTracker[PROJECT BREAK VALUE],(TRIM(DetailTracker[PROJECT NAME (SHORT)])=TRIM(A39))*(DetailTracker[STAGE]="NPI"))),0)</f>
        <v>0</v>
      </c>
      <c r="J39" s="304"/>
      <c r="K39" s="304"/>
      <c r="L39" s="304"/>
      <c r="M39" s="304"/>
      <c r="N39" s="304"/>
      <c r="O39" s="304"/>
      <c r="P39" s="304"/>
      <c r="Q39" s="304"/>
      <c r="R39" s="304"/>
      <c r="S39" s="304"/>
    </row>
    <row r="40" spans="1:19">
      <c r="A40" s="304" t="s">
        <v>191</v>
      </c>
      <c r="B40" s="304" t="s">
        <v>46</v>
      </c>
      <c r="C40" s="304" t="s">
        <v>82</v>
      </c>
      <c r="D40" s="304" t="s">
        <v>341</v>
      </c>
      <c r="E40" s="304" t="str" cm="1">
        <f t="array" ref="E40">IFERROR(_xlfn.TEXTJOIN(", ",TRUE,_xlfn.UNIQUE(_xlfn._xlws.FILTER(DetailTracker[STATUS],(TRIM(DetailTracker[PROJECT NAME (SHORT)])=TRIM(A40))*(DetailTracker[STAGE]="NPD")*(DetailTracker[STATUS]&lt;&gt;"REJECTED")*(DetailTracker[STATUS]&lt;&gt;"REJECT")))),"")</f>
        <v>ON HOLD</v>
      </c>
      <c r="F40" s="304" t="str" cm="1">
        <f t="array" ref="F40">IFERROR(_xlfn.TEXTJOIN(", ",TRUE,_xlfn.UNIQUE(_xlfn._xlws.FILTER(DetailTracker[STATUS],(TRIM(DetailTracker[PROJECT NAME (SHORT)])=TRIM(A40))*(DetailTracker[STAGE]="NPI")))),"No NPI yet")</f>
        <v>ON HOLD</v>
      </c>
      <c r="G40" s="304" t="str">
        <f t="shared" si="0"/>
        <v>In Progress</v>
      </c>
      <c r="H40" s="309" cm="1">
        <f t="array" ref="H40">IFERROR(SUM(_xlfn._xlws.FILTER(DetailTracker[PROJECT BREAK VALUE],(TRIM(DetailTracker[PROJECT NAME (SHORT)])=TRIM(A40))*(DetailTracker[STAGE]="NPD")*(DetailTracker[STATUS]&lt;&gt;"REJECTED")*(DetailTracker[STATUS]&lt;&gt;"REJECT"))),0)</f>
        <v>6614.04</v>
      </c>
      <c r="I40" s="309" cm="1">
        <f t="array" ref="I40">IFERROR(SUM(_xlfn._xlws.FILTER(DetailTracker[PROJECT BREAK VALUE],(TRIM(DetailTracker[PROJECT NAME (SHORT)])=TRIM(A40))*(DetailTracker[STAGE]="NPI"))),0)</f>
        <v>1500000</v>
      </c>
      <c r="J40" s="304"/>
      <c r="K40" s="304"/>
      <c r="L40" s="304"/>
      <c r="M40" s="304"/>
      <c r="N40" s="304"/>
      <c r="O40" s="304"/>
      <c r="P40" s="304"/>
      <c r="Q40" s="304"/>
      <c r="R40" s="304"/>
      <c r="S40" s="304"/>
    </row>
    <row r="41" spans="1:19">
      <c r="A41" s="304" t="s">
        <v>500</v>
      </c>
      <c r="B41" s="304" t="s">
        <v>46</v>
      </c>
      <c r="C41" s="304" t="s">
        <v>499</v>
      </c>
      <c r="D41" s="304" t="s">
        <v>282</v>
      </c>
      <c r="E41" s="304" t="str" cm="1">
        <f t="array" ref="E41">IFERROR(_xlfn.TEXTJOIN(", ",TRUE,_xlfn.UNIQUE(_xlfn._xlws.FILTER(DetailTracker[STATUS],(TRIM(DetailTracker[PROJECT NAME (SHORT)])=TRIM(A41))*(DetailTracker[STAGE]="NPD")*(DetailTracker[STATUS]&lt;&gt;"REJECTED")*(DetailTracker[STATUS]&lt;&gt;"REJECT")))),"")</f>
        <v>FC</v>
      </c>
      <c r="F41" s="304" t="str" cm="1">
        <f t="array" ref="F41">IFERROR(_xlfn.TEXTJOIN(", ",TRUE,_xlfn.UNIQUE(_xlfn._xlws.FILTER(DetailTracker[STATUS],(TRIM(DetailTracker[PROJECT NAME (SHORT)])=TRIM(A41))*(DetailTracker[STAGE]="NPI")))),"No NPI yet")</f>
        <v>No NPI yet</v>
      </c>
      <c r="G41" s="304" t="str">
        <f t="shared" si="0"/>
        <v>In Progress</v>
      </c>
      <c r="H41" s="309" cm="1">
        <f t="array" ref="H41">IFERROR(SUM(_xlfn._xlws.FILTER(DetailTracker[PROJECT BREAK VALUE],(TRIM(DetailTracker[PROJECT NAME (SHORT)])=TRIM(A41))*(DetailTracker[STAGE]="NPD")*(DetailTracker[STATUS]&lt;&gt;"REJECTED")*(DetailTracker[STATUS]&lt;&gt;"REJECT"))),0)</f>
        <v>14973.54</v>
      </c>
      <c r="I41" s="309" cm="1">
        <f t="array" ref="I41">IFERROR(SUM(_xlfn._xlws.FILTER(DetailTracker[PROJECT BREAK VALUE],(TRIM(DetailTracker[PROJECT NAME (SHORT)])=TRIM(A41))*(DetailTracker[STAGE]="NPI"))),0)</f>
        <v>0</v>
      </c>
      <c r="J41" s="304"/>
      <c r="K41" s="304"/>
      <c r="L41" s="304"/>
      <c r="M41" s="304"/>
      <c r="N41" s="304"/>
      <c r="O41" s="304"/>
      <c r="P41" s="304"/>
      <c r="Q41" s="304"/>
      <c r="R41" s="304"/>
      <c r="S41" s="304"/>
    </row>
    <row r="42" spans="1:19">
      <c r="A42" s="304" t="s">
        <v>435</v>
      </c>
      <c r="B42" s="304" t="s">
        <v>59</v>
      </c>
      <c r="C42" s="304" t="s">
        <v>61</v>
      </c>
      <c r="D42" s="304" t="s">
        <v>308</v>
      </c>
      <c r="E42" s="304" t="str" cm="1">
        <f t="array" ref="E42">IFERROR(_xlfn.TEXTJOIN(", ",TRUE,_xlfn.UNIQUE(_xlfn._xlws.FILTER(DetailTracker[STATUS],(TRIM(DetailTracker[PROJECT NAME (SHORT)])=TRIM(A42))*(DetailTracker[STAGE]="NPD")*(DetailTracker[STATUS]&lt;&gt;"REJECTED")*(DetailTracker[STATUS]&lt;&gt;"REJECT")))),"")</f>
        <v>ON HOLD</v>
      </c>
      <c r="F42" s="304" t="str" cm="1">
        <f t="array" ref="F42">IFERROR(_xlfn.TEXTJOIN(", ",TRUE,_xlfn.UNIQUE(_xlfn._xlws.FILTER(DetailTracker[STATUS],(TRIM(DetailTracker[PROJECT NAME (SHORT)])=TRIM(A42))*(DetailTracker[STAGE]="NPI")))),"No NPI yet")</f>
        <v>No NPI yet</v>
      </c>
      <c r="G42" s="304" t="str">
        <f t="shared" si="0"/>
        <v>In Progress</v>
      </c>
      <c r="H42" s="309" cm="1">
        <f t="array" ref="H42">IFERROR(SUM(_xlfn._xlws.FILTER(DetailTracker[PROJECT BREAK VALUE],(TRIM(DetailTracker[PROJECT NAME (SHORT)])=TRIM(A42))*(DetailTracker[STAGE]="NPD")*(DetailTracker[STATUS]&lt;&gt;"REJECTED")*(DetailTracker[STATUS]&lt;&gt;"REJECT"))),0)</f>
        <v>0</v>
      </c>
      <c r="I42" s="309" cm="1">
        <f t="array" ref="I42">IFERROR(SUM(_xlfn._xlws.FILTER(DetailTracker[PROJECT BREAK VALUE],(TRIM(DetailTracker[PROJECT NAME (SHORT)])=TRIM(A42))*(DetailTracker[STAGE]="NPI"))),0)</f>
        <v>0</v>
      </c>
      <c r="J42" s="304"/>
      <c r="K42" s="304"/>
      <c r="L42" s="304"/>
      <c r="M42" s="304"/>
      <c r="N42" s="304"/>
      <c r="O42" s="304"/>
      <c r="P42" s="304"/>
      <c r="Q42" s="304"/>
      <c r="R42" s="304"/>
      <c r="S42" s="304"/>
    </row>
    <row r="43" spans="1:19">
      <c r="A43" s="304" t="s">
        <v>441</v>
      </c>
      <c r="B43" s="304" t="s">
        <v>46</v>
      </c>
      <c r="C43" s="304" t="s">
        <v>440</v>
      </c>
      <c r="D43" s="304" t="s">
        <v>328</v>
      </c>
      <c r="E43" s="304" t="str" cm="1">
        <f t="array" ref="E43">IFERROR(_xlfn.TEXTJOIN(", ",TRUE,_xlfn.UNIQUE(_xlfn._xlws.FILTER(DetailTracker[STATUS],(TRIM(DetailTracker[PROJECT NAME (SHORT)])=TRIM(A43))*(DetailTracker[STAGE]="NPD")*(DetailTracker[STATUS]&lt;&gt;"REJECTED")*(DetailTracker[STATUS]&lt;&gt;"REJECT")))),"")</f>
        <v>SHIPPED</v>
      </c>
      <c r="F43" s="304" t="str" cm="1">
        <f t="array" ref="F43">IFERROR(_xlfn.TEXTJOIN(", ",TRUE,_xlfn.UNIQUE(_xlfn._xlws.FILTER(DetailTracker[STATUS],(TRIM(DetailTracker[PROJECT NAME (SHORT)])=TRIM(A43))*(DetailTracker[STAGE]="NPI")))),"No NPI yet")</f>
        <v>No NPI yet</v>
      </c>
      <c r="G43" s="304" t="str">
        <f t="shared" si="0"/>
        <v>In Progress</v>
      </c>
      <c r="H43" s="309" cm="1">
        <f t="array" ref="H43">IFERROR(SUM(_xlfn._xlws.FILTER(DetailTracker[PROJECT BREAK VALUE],(TRIM(DetailTracker[PROJECT NAME (SHORT)])=TRIM(A43))*(DetailTracker[STAGE]="NPD")*(DetailTracker[STATUS]&lt;&gt;"REJECTED")*(DetailTracker[STATUS]&lt;&gt;"REJECT"))),0)</f>
        <v>0</v>
      </c>
      <c r="I43" s="309" cm="1">
        <f t="array" ref="I43">IFERROR(SUM(_xlfn._xlws.FILTER(DetailTracker[PROJECT BREAK VALUE],(TRIM(DetailTracker[PROJECT NAME (SHORT)])=TRIM(A43))*(DetailTracker[STAGE]="NPI"))),0)</f>
        <v>0</v>
      </c>
      <c r="J43" s="304"/>
      <c r="K43" s="304"/>
      <c r="L43" s="304"/>
      <c r="M43" s="304"/>
      <c r="N43" s="304"/>
      <c r="O43" s="304"/>
      <c r="P43" s="304"/>
      <c r="Q43" s="304"/>
      <c r="R43" s="304"/>
      <c r="S43" s="304"/>
    </row>
    <row r="44" spans="1:19">
      <c r="A44" s="304" t="s">
        <v>484</v>
      </c>
      <c r="B44" s="304" t="s">
        <v>59</v>
      </c>
      <c r="C44" s="304" t="s">
        <v>61</v>
      </c>
      <c r="D44" s="304" t="s">
        <v>308</v>
      </c>
      <c r="E44" s="304" t="str" cm="1">
        <f t="array" ref="E44">IFERROR(_xlfn.TEXTJOIN(", ",TRUE,_xlfn.UNIQUE(_xlfn._xlws.FILTER(DetailTracker[STATUS],(TRIM(DetailTracker[PROJECT NAME (SHORT)])=TRIM(A44))*(DetailTracker[STAGE]="NPD")*(DetailTracker[STATUS]&lt;&gt;"REJECTED")*(DetailTracker[STATUS]&lt;&gt;"REJECT")))),"")</f>
        <v>ON HOLD</v>
      </c>
      <c r="F44" s="304" t="str" cm="1">
        <f t="array" ref="F44">IFERROR(_xlfn.TEXTJOIN(", ",TRUE,_xlfn.UNIQUE(_xlfn._xlws.FILTER(DetailTracker[STATUS],(TRIM(DetailTracker[PROJECT NAME (SHORT)])=TRIM(A44))*(DetailTracker[STAGE]="NPI")))),"No NPI yet")</f>
        <v>ON HOLD</v>
      </c>
      <c r="G44" s="304" t="str">
        <f t="shared" si="0"/>
        <v>In Progress</v>
      </c>
      <c r="H44" s="309" cm="1">
        <f t="array" ref="H44">IFERROR(SUM(_xlfn._xlws.FILTER(DetailTracker[PROJECT BREAK VALUE],(TRIM(DetailTracker[PROJECT NAME (SHORT)])=TRIM(A44))*(DetailTracker[STAGE]="NPD")*(DetailTracker[STATUS]&lt;&gt;"REJECTED")*(DetailTracker[STATUS]&lt;&gt;"REJECT"))),0)</f>
        <v>4632.5600000000004</v>
      </c>
      <c r="I44" s="309" cm="1">
        <f t="array" ref="I44">IFERROR(SUM(_xlfn._xlws.FILTER(DetailTracker[PROJECT BREAK VALUE],(TRIM(DetailTracker[PROJECT NAME (SHORT)])=TRIM(A44))*(DetailTracker[STAGE]="NPI"))),0)</f>
        <v>38099.789999999994</v>
      </c>
      <c r="J44" s="304"/>
      <c r="K44" s="304"/>
      <c r="L44" s="304"/>
      <c r="M44" s="304"/>
      <c r="N44" s="304"/>
      <c r="O44" s="304"/>
      <c r="P44" s="304"/>
      <c r="Q44" s="304"/>
      <c r="R44" s="304"/>
      <c r="S44" s="304"/>
    </row>
    <row r="45" spans="1:19">
      <c r="A45" s="304" t="s">
        <v>431</v>
      </c>
      <c r="B45" s="304" t="s">
        <v>46</v>
      </c>
      <c r="C45" s="304" t="s">
        <v>430</v>
      </c>
      <c r="D45" s="304" t="s">
        <v>282</v>
      </c>
      <c r="E45" s="304" t="str" cm="1">
        <f t="array" ref="E45">IFERROR(_xlfn.TEXTJOIN(", ",TRUE,_xlfn.UNIQUE(_xlfn._xlws.FILTER(DetailTracker[STATUS],(TRIM(DetailTracker[PROJECT NAME (SHORT)])=TRIM(A45))*(DetailTracker[STAGE]="NPD")*(DetailTracker[STATUS]&lt;&gt;"REJECTED")*(DetailTracker[STATUS]&lt;&gt;"REJECT")))),"")</f>
        <v>OB</v>
      </c>
      <c r="F45" s="304" t="str" cm="1">
        <f t="array" ref="F45">IFERROR(_xlfn.TEXTJOIN(", ",TRUE,_xlfn.UNIQUE(_xlfn._xlws.FILTER(DetailTracker[STATUS],(TRIM(DetailTracker[PROJECT NAME (SHORT)])=TRIM(A45))*(DetailTracker[STAGE]="NPI")))),"No NPI yet")</f>
        <v>PIPELINE</v>
      </c>
      <c r="G45" s="304" t="str">
        <f t="shared" si="0"/>
        <v>In Progress</v>
      </c>
      <c r="H45" s="309" cm="1">
        <f t="array" ref="H45">IFERROR(SUM(_xlfn._xlws.FILTER(DetailTracker[PROJECT BREAK VALUE],(TRIM(DetailTracker[PROJECT NAME (SHORT)])=TRIM(A45))*(DetailTracker[STAGE]="NPD")*(DetailTracker[STATUS]&lt;&gt;"REJECTED")*(DetailTracker[STATUS]&lt;&gt;"REJECT"))),0)</f>
        <v>2843.6000000000004</v>
      </c>
      <c r="I45" s="309" cm="1">
        <f t="array" ref="I45">IFERROR(SUM(_xlfn._xlws.FILTER(DetailTracker[PROJECT BREAK VALUE],(TRIM(DetailTracker[PROJECT NAME (SHORT)])=TRIM(A45))*(DetailTracker[STAGE]="NPI"))),0)</f>
        <v>780835.84000000008</v>
      </c>
      <c r="J45" s="304"/>
      <c r="K45" s="304"/>
      <c r="L45" s="304"/>
      <c r="M45" s="304"/>
      <c r="N45" s="304"/>
      <c r="O45" s="304"/>
      <c r="P45" s="304"/>
      <c r="Q45" s="304"/>
      <c r="R45" s="304"/>
      <c r="S45" s="304"/>
    </row>
    <row r="46" spans="1:19">
      <c r="A46" s="304" t="s">
        <v>478</v>
      </c>
      <c r="B46" s="304" t="s">
        <v>46</v>
      </c>
      <c r="C46" s="304" t="s">
        <v>430</v>
      </c>
      <c r="D46" s="304" t="s">
        <v>427</v>
      </c>
      <c r="E46" s="304" t="str" cm="1">
        <f t="array" ref="E46">IFERROR(_xlfn.TEXTJOIN(", ",TRUE,_xlfn.UNIQUE(_xlfn._xlws.FILTER(DetailTracker[STATUS],(TRIM(DetailTracker[PROJECT NAME (SHORT)])=TRIM(A46))*(DetailTracker[STAGE]="NPD")*(DetailTracker[STATUS]&lt;&gt;"REJECTED")*(DetailTracker[STATUS]&lt;&gt;"REJECT")))),"")</f>
        <v>OB</v>
      </c>
      <c r="F46" s="304" t="str" cm="1">
        <f t="array" ref="F46">IFERROR(_xlfn.TEXTJOIN(", ",TRUE,_xlfn.UNIQUE(_xlfn._xlws.FILTER(DetailTracker[STATUS],(TRIM(DetailTracker[PROJECT NAME (SHORT)])=TRIM(A46))*(DetailTracker[STAGE]="NPI")))),"No NPI yet")</f>
        <v>No NPI yet</v>
      </c>
      <c r="G46" s="304" t="str">
        <f t="shared" si="0"/>
        <v>In Progress</v>
      </c>
      <c r="H46" s="309" cm="1">
        <f t="array" ref="H46">IFERROR(SUM(_xlfn._xlws.FILTER(DetailTracker[PROJECT BREAK VALUE],(TRIM(DetailTracker[PROJECT NAME (SHORT)])=TRIM(A46))*(DetailTracker[STAGE]="NPD")*(DetailTracker[STATUS]&lt;&gt;"REJECTED")*(DetailTracker[STATUS]&lt;&gt;"REJECT"))),0)</f>
        <v>8153.75</v>
      </c>
      <c r="I46" s="309" cm="1">
        <f t="array" ref="I46">IFERROR(SUM(_xlfn._xlws.FILTER(DetailTracker[PROJECT BREAK VALUE],(TRIM(DetailTracker[PROJECT NAME (SHORT)])=TRIM(A46))*(DetailTracker[STAGE]="NPI"))),0)</f>
        <v>0</v>
      </c>
      <c r="J46" s="304"/>
      <c r="K46" s="304"/>
      <c r="L46" s="304"/>
      <c r="M46" s="304"/>
      <c r="N46" s="304"/>
      <c r="O46" s="304"/>
      <c r="P46" s="304"/>
      <c r="Q46" s="304"/>
      <c r="R46" s="304"/>
      <c r="S46" s="304"/>
    </row>
    <row r="47" spans="1:19">
      <c r="A47" s="304" t="s">
        <v>497</v>
      </c>
      <c r="B47" s="304" t="s">
        <v>46</v>
      </c>
      <c r="C47" s="304" t="s">
        <v>496</v>
      </c>
      <c r="D47" s="304" t="s">
        <v>282</v>
      </c>
      <c r="E47" s="304" t="str" cm="1">
        <f t="array" ref="E47">IFERROR(_xlfn.TEXTJOIN(", ",TRUE,_xlfn.UNIQUE(_xlfn._xlws.FILTER(DetailTracker[STATUS],(TRIM(DetailTracker[PROJECT NAME (SHORT)])=TRIM(A47))*(DetailTracker[STAGE]="NPD")*(DetailTracker[STATUS]&lt;&gt;"REJECTED")*(DetailTracker[STATUS]&lt;&gt;"REJECT")))),"")</f>
        <v>FC</v>
      </c>
      <c r="F47" s="304" t="str" cm="1">
        <f t="array" ref="F47">IFERROR(_xlfn.TEXTJOIN(", ",TRUE,_xlfn.UNIQUE(_xlfn._xlws.FILTER(DetailTracker[STATUS],(TRIM(DetailTracker[PROJECT NAME (SHORT)])=TRIM(A47))*(DetailTracker[STAGE]="NPI")))),"No NPI yet")</f>
        <v>PIPELINE</v>
      </c>
      <c r="G47" s="304" t="str">
        <f t="shared" si="0"/>
        <v>In Progress</v>
      </c>
      <c r="H47" s="309" cm="1">
        <f t="array" ref="H47">IFERROR(SUM(_xlfn._xlws.FILTER(DetailTracker[PROJECT BREAK VALUE],(TRIM(DetailTracker[PROJECT NAME (SHORT)])=TRIM(A47))*(DetailTracker[STAGE]="NPD")*(DetailTracker[STATUS]&lt;&gt;"REJECTED")*(DetailTracker[STATUS]&lt;&gt;"REJECT"))),0)</f>
        <v>0</v>
      </c>
      <c r="I47" s="309" cm="1">
        <f t="array" ref="I47">IFERROR(SUM(_xlfn._xlws.FILTER(DetailTracker[PROJECT BREAK VALUE],(TRIM(DetailTracker[PROJECT NAME (SHORT)])=TRIM(A47))*(DetailTracker[STAGE]="NPI"))),0)</f>
        <v>291481.96000000002</v>
      </c>
      <c r="J47" s="304"/>
      <c r="K47" s="304"/>
      <c r="L47" s="304"/>
      <c r="M47" s="304"/>
      <c r="N47" s="304"/>
      <c r="O47" s="304"/>
      <c r="P47" s="304"/>
      <c r="Q47" s="304"/>
      <c r="R47" s="304"/>
      <c r="S47" s="304"/>
    </row>
    <row r="48" spans="1:19">
      <c r="A48" s="304" t="s">
        <v>398</v>
      </c>
      <c r="B48" s="304" t="s">
        <v>46</v>
      </c>
      <c r="C48" s="304" t="s">
        <v>98</v>
      </c>
      <c r="D48" s="304" t="s">
        <v>298</v>
      </c>
      <c r="E48" s="304" t="str" cm="1">
        <f t="array" ref="E48">IFERROR(_xlfn.TEXTJOIN(", ",TRUE,_xlfn.UNIQUE(_xlfn._xlws.FILTER(DetailTracker[STATUS],(TRIM(DetailTracker[PROJECT NAME (SHORT)])=TRIM(A48))*(DetailTracker[STAGE]="NPD")*(DetailTracker[STATUS]&lt;&gt;"REJECTED")*(DetailTracker[STATUS]&lt;&gt;"REJECT")))),"")</f>
        <v>CANCELLED</v>
      </c>
      <c r="F48" s="304" t="str" cm="1">
        <f t="array" ref="F48">IFERROR(_xlfn.TEXTJOIN(", ",TRUE,_xlfn.UNIQUE(_xlfn._xlws.FILTER(DetailTracker[STATUS],(TRIM(DetailTracker[PROJECT NAME (SHORT)])=TRIM(A48))*(DetailTracker[STAGE]="NPI")))),"No NPI yet")</f>
        <v>CANCELLED</v>
      </c>
      <c r="G48" s="304" t="str">
        <f t="shared" si="0"/>
        <v>Lost</v>
      </c>
      <c r="H48" s="309" cm="1">
        <f t="array" ref="H48">IFERROR(SUM(_xlfn._xlws.FILTER(DetailTracker[PROJECT BREAK VALUE],(TRIM(DetailTracker[PROJECT NAME (SHORT)])=TRIM(A48))*(DetailTracker[STAGE]="NPD")*(DetailTracker[STATUS]&lt;&gt;"REJECTED")*(DetailTracker[STATUS]&lt;&gt;"REJECT"))),0)</f>
        <v>15040.19</v>
      </c>
      <c r="I48" s="309" cm="1">
        <f t="array" ref="I48">IFERROR(SUM(_xlfn._xlws.FILTER(DetailTracker[PROJECT BREAK VALUE],(TRIM(DetailTracker[PROJECT NAME (SHORT)])=TRIM(A48))*(DetailTracker[STAGE]="NPI"))),0)</f>
        <v>707023.48</v>
      </c>
      <c r="J48" s="304"/>
      <c r="K48" s="304"/>
      <c r="L48" s="304"/>
      <c r="M48" s="304"/>
      <c r="N48" s="304"/>
      <c r="O48" s="304"/>
      <c r="P48" s="304"/>
      <c r="Q48" s="304"/>
      <c r="R48" s="304"/>
      <c r="S48" s="304"/>
    </row>
    <row r="49" spans="1:19">
      <c r="A49" s="304" t="s">
        <v>483</v>
      </c>
      <c r="B49" s="304" t="s">
        <v>46</v>
      </c>
      <c r="C49" s="304" t="s">
        <v>482</v>
      </c>
      <c r="D49" s="304" t="s">
        <v>352</v>
      </c>
      <c r="E49" s="304" t="str" cm="1">
        <f t="array" ref="E49">IFERROR(_xlfn.TEXTJOIN(", ",TRUE,_xlfn.UNIQUE(_xlfn._xlws.FILTER(DetailTracker[STATUS],(TRIM(DetailTracker[PROJECT NAME (SHORT)])=TRIM(A49))*(DetailTracker[STAGE]="NPD")*(DetailTracker[STATUS]&lt;&gt;"REJECTED")*(DetailTracker[STATUS]&lt;&gt;"REJECT")))),"")</f>
        <v/>
      </c>
      <c r="F49" s="304" t="str" cm="1">
        <f t="array" ref="F49">IFERROR(_xlfn.TEXTJOIN(", ",TRUE,_xlfn.UNIQUE(_xlfn._xlws.FILTER(DetailTracker[STATUS],(TRIM(DetailTracker[PROJECT NAME (SHORT)])=TRIM(A49))*(DetailTracker[STAGE]="NPI")))),"No NPI yet")</f>
        <v>CANCELLED</v>
      </c>
      <c r="G49" s="304" t="str">
        <f t="shared" si="0"/>
        <v>Lost</v>
      </c>
      <c r="H49" s="309" cm="1">
        <f t="array" ref="H49">IFERROR(SUM(_xlfn._xlws.FILTER(DetailTracker[PROJECT BREAK VALUE],(TRIM(DetailTracker[PROJECT NAME (SHORT)])=TRIM(A49))*(DetailTracker[STAGE]="NPD")*(DetailTracker[STATUS]&lt;&gt;"REJECTED")*(DetailTracker[STATUS]&lt;&gt;"REJECT"))),0)</f>
        <v>0</v>
      </c>
      <c r="I49" s="309" cm="1">
        <f t="array" ref="I49">IFERROR(SUM(_xlfn._xlws.FILTER(DetailTracker[PROJECT BREAK VALUE],(TRIM(DetailTracker[PROJECT NAME (SHORT)])=TRIM(A49))*(DetailTracker[STAGE]="NPI"))),0)</f>
        <v>371000</v>
      </c>
      <c r="J49" s="304"/>
      <c r="K49" s="304"/>
      <c r="L49" s="304"/>
      <c r="M49" s="304"/>
      <c r="N49" s="304"/>
      <c r="O49" s="304"/>
      <c r="P49" s="304"/>
      <c r="Q49" s="304"/>
      <c r="R49" s="304"/>
      <c r="S49" s="304"/>
    </row>
    <row r="50" spans="1:19">
      <c r="A50" s="304" t="s">
        <v>111</v>
      </c>
      <c r="B50" s="304" t="s">
        <v>46</v>
      </c>
      <c r="C50" s="304" t="s">
        <v>98</v>
      </c>
      <c r="D50" s="304" t="s">
        <v>341</v>
      </c>
      <c r="E50" s="304" t="str" cm="1">
        <f t="array" ref="E50">IFERROR(_xlfn.TEXTJOIN(", ",TRUE,_xlfn.UNIQUE(_xlfn._xlws.FILTER(DetailTracker[STATUS],(TRIM(DetailTracker[PROJECT NAME (SHORT)])=TRIM(A50))*(DetailTracker[STAGE]="NPD")*(DetailTracker[STATUS]&lt;&gt;"REJECTED")*(DetailTracker[STATUS]&lt;&gt;"REJECT")))),"")</f>
        <v/>
      </c>
      <c r="F50" s="304" t="str" cm="1">
        <f t="array" ref="F50">IFERROR(_xlfn.TEXTJOIN(", ",TRUE,_xlfn.UNIQUE(_xlfn._xlws.FILTER(DetailTracker[STATUS],(TRIM(DetailTracker[PROJECT NAME (SHORT)])=TRIM(A50))*(DetailTracker[STAGE]="NPI")))),"No NPI yet")</f>
        <v>DROPPED</v>
      </c>
      <c r="G50" s="304" t="str">
        <f t="shared" si="0"/>
        <v>Lost</v>
      </c>
      <c r="H50" s="309" cm="1">
        <f t="array" ref="H50">IFERROR(SUM(_xlfn._xlws.FILTER(DetailTracker[PROJECT BREAK VALUE],(TRIM(DetailTracker[PROJECT NAME (SHORT)])=TRIM(A50))*(DetailTracker[STAGE]="NPD")*(DetailTracker[STATUS]&lt;&gt;"REJECTED")*(DetailTracker[STATUS]&lt;&gt;"REJECT"))),0)</f>
        <v>0</v>
      </c>
      <c r="I50" s="309" cm="1">
        <f t="array" ref="I50">IFERROR(SUM(_xlfn._xlws.FILTER(DetailTracker[PROJECT BREAK VALUE],(TRIM(DetailTracker[PROJECT NAME (SHORT)])=TRIM(A50))*(DetailTracker[STAGE]="NPI"))),0)</f>
        <v>3218808</v>
      </c>
      <c r="J50" s="304"/>
      <c r="K50" s="304"/>
      <c r="L50" s="304"/>
      <c r="M50" s="304"/>
      <c r="N50" s="304"/>
      <c r="O50" s="304"/>
      <c r="P50" s="304"/>
      <c r="Q50" s="304"/>
      <c r="R50" s="304"/>
      <c r="S50" s="304"/>
    </row>
    <row r="51" spans="1:19">
      <c r="A51" s="304" t="s">
        <v>417</v>
      </c>
      <c r="B51" s="304" t="s">
        <v>59</v>
      </c>
      <c r="C51" s="304" t="s">
        <v>61</v>
      </c>
      <c r="D51" s="304" t="s">
        <v>282</v>
      </c>
      <c r="E51" s="304" t="str" cm="1">
        <f t="array" ref="E51">IFERROR(_xlfn.TEXTJOIN(", ",TRUE,_xlfn.UNIQUE(_xlfn._xlws.FILTER(DetailTracker[STATUS],(TRIM(DetailTracker[PROJECT NAME (SHORT)])=TRIM(A51))*(DetailTracker[STAGE]="NPD")*(DetailTracker[STATUS]&lt;&gt;"REJECTED")*(DetailTracker[STATUS]&lt;&gt;"REJECT")))),"")</f>
        <v>CANCELLED</v>
      </c>
      <c r="F51" s="304" t="str" cm="1">
        <f t="array" ref="F51">IFERROR(_xlfn.TEXTJOIN(", ",TRUE,_xlfn.UNIQUE(_xlfn._xlws.FILTER(DetailTracker[STATUS],(TRIM(DetailTracker[PROJECT NAME (SHORT)])=TRIM(A51))*(DetailTracker[STAGE]="NPI")))),"No NPI yet")</f>
        <v>CANCELLED</v>
      </c>
      <c r="G51" s="304" t="str">
        <f t="shared" si="0"/>
        <v>Lost</v>
      </c>
      <c r="H51" s="309" cm="1">
        <f t="array" ref="H51">IFERROR(SUM(_xlfn._xlws.FILTER(DetailTracker[PROJECT BREAK VALUE],(TRIM(DetailTracker[PROJECT NAME (SHORT)])=TRIM(A51))*(DetailTracker[STAGE]="NPD")*(DetailTracker[STATUS]&lt;&gt;"REJECTED")*(DetailTracker[STATUS]&lt;&gt;"REJECT"))),0)</f>
        <v>12433.68</v>
      </c>
      <c r="I51" s="309" cm="1">
        <f t="array" ref="I51">IFERROR(SUM(_xlfn._xlws.FILTER(DetailTracker[PROJECT BREAK VALUE],(TRIM(DetailTracker[PROJECT NAME (SHORT)])=TRIM(A51))*(DetailTracker[STAGE]="NPI"))),0)</f>
        <v>1100000</v>
      </c>
      <c r="J51" s="304"/>
      <c r="K51" s="304"/>
      <c r="L51" s="304"/>
      <c r="M51" s="304"/>
      <c r="N51" s="304"/>
      <c r="O51" s="304"/>
      <c r="P51" s="304"/>
      <c r="Q51" s="304"/>
      <c r="R51" s="304"/>
      <c r="S51" s="304"/>
    </row>
    <row r="52" spans="1:19">
      <c r="A52" s="304" t="s">
        <v>151</v>
      </c>
      <c r="B52" s="304" t="s">
        <v>46</v>
      </c>
      <c r="C52" s="304" t="s">
        <v>369</v>
      </c>
      <c r="D52" s="304" t="s">
        <v>298</v>
      </c>
      <c r="E52" s="304" t="str" cm="1">
        <f t="array" ref="E52">IFERROR(_xlfn.TEXTJOIN(", ",TRUE,_xlfn.UNIQUE(_xlfn._xlws.FILTER(DetailTracker[STATUS],(TRIM(DetailTracker[PROJECT NAME (SHORT)])=TRIM(A52))*(DetailTracker[STAGE]="NPD")*(DetailTracker[STATUS]&lt;&gt;"REJECTED")*(DetailTracker[STATUS]&lt;&gt;"REJECT")))),"")</f>
        <v>SHIPPED</v>
      </c>
      <c r="F52" s="304" t="str" cm="1">
        <f t="array" ref="F52">IFERROR(_xlfn.TEXTJOIN(", ",TRUE,_xlfn.UNIQUE(_xlfn._xlws.FILTER(DetailTracker[STATUS],(TRIM(DetailTracker[PROJECT NAME (SHORT)])=TRIM(A52))*(DetailTracker[STAGE]="NPI")))),"No NPI yet")</f>
        <v>DROPPED</v>
      </c>
      <c r="G52" s="304" t="str">
        <f t="shared" si="0"/>
        <v>Lost</v>
      </c>
      <c r="H52" s="309" cm="1">
        <f t="array" ref="H52">IFERROR(SUM(_xlfn._xlws.FILTER(DetailTracker[PROJECT BREAK VALUE],(TRIM(DetailTracker[PROJECT NAME (SHORT)])=TRIM(A52))*(DetailTracker[STAGE]="NPD")*(DetailTracker[STATUS]&lt;&gt;"REJECTED")*(DetailTracker[STATUS]&lt;&gt;"REJECT"))),0)</f>
        <v>14470.66</v>
      </c>
      <c r="I52" s="309" cm="1">
        <f t="array" ref="I52">IFERROR(SUM(_xlfn._xlws.FILTER(DetailTracker[PROJECT BREAK VALUE],(TRIM(DetailTracker[PROJECT NAME (SHORT)])=TRIM(A52))*(DetailTracker[STAGE]="NPI"))),0)</f>
        <v>802234</v>
      </c>
      <c r="J52" s="304"/>
      <c r="K52" s="304"/>
      <c r="L52" s="304"/>
      <c r="M52" s="304"/>
      <c r="N52" s="304"/>
      <c r="O52" s="304"/>
      <c r="P52" s="304"/>
      <c r="Q52" s="304"/>
      <c r="R52" s="304"/>
      <c r="S52" s="304"/>
    </row>
    <row r="53" spans="1:19">
      <c r="A53" s="304" t="s">
        <v>404</v>
      </c>
      <c r="B53" s="304" t="s">
        <v>46</v>
      </c>
      <c r="C53" s="304" t="s">
        <v>369</v>
      </c>
      <c r="D53" s="304" t="s">
        <v>298</v>
      </c>
      <c r="E53" s="304" t="str" cm="1">
        <f t="array" ref="E53">IFERROR(_xlfn.TEXTJOIN(", ",TRUE,_xlfn.UNIQUE(_xlfn._xlws.FILTER(DetailTracker[STATUS],(TRIM(DetailTracker[PROJECT NAME (SHORT)])=TRIM(A53))*(DetailTracker[STAGE]="NPD")*(DetailTracker[STATUS]&lt;&gt;"REJECTED")*(DetailTracker[STATUS]&lt;&gt;"REJECT")))),"")</f>
        <v>SHIPPED</v>
      </c>
      <c r="F53" s="304" t="str" cm="1">
        <f t="array" ref="F53">IFERROR(_xlfn.TEXTJOIN(", ",TRUE,_xlfn.UNIQUE(_xlfn._xlws.FILTER(DetailTracker[STATUS],(TRIM(DetailTracker[PROJECT NAME (SHORT)])=TRIM(A53))*(DetailTracker[STAGE]="NPI")))),"No NPI yet")</f>
        <v>DROPPED</v>
      </c>
      <c r="G53" s="304" t="str">
        <f t="shared" si="0"/>
        <v>Lost</v>
      </c>
      <c r="H53" s="309" cm="1">
        <f t="array" ref="H53">IFERROR(SUM(_xlfn._xlws.FILTER(DetailTracker[PROJECT BREAK VALUE],(TRIM(DetailTracker[PROJECT NAME (SHORT)])=TRIM(A53))*(DetailTracker[STAGE]="NPD")*(DetailTracker[STATUS]&lt;&gt;"REJECTED")*(DetailTracker[STATUS]&lt;&gt;"REJECT"))),0)</f>
        <v>13583.73</v>
      </c>
      <c r="I53" s="309" cm="1">
        <f t="array" ref="I53">IFERROR(SUM(_xlfn._xlws.FILTER(DetailTracker[PROJECT BREAK VALUE],(TRIM(DetailTracker[PROJECT NAME (SHORT)])=TRIM(A53))*(DetailTracker[STAGE]="NPI"))),0)</f>
        <v>1985000</v>
      </c>
      <c r="J53" s="304"/>
      <c r="K53" s="304"/>
      <c r="L53" s="304"/>
      <c r="M53" s="304"/>
      <c r="N53" s="304"/>
      <c r="O53" s="304"/>
      <c r="P53" s="304"/>
      <c r="Q53" s="304"/>
      <c r="R53" s="304"/>
      <c r="S53" s="304"/>
    </row>
    <row r="54" spans="1:19">
      <c r="A54" s="304"/>
      <c r="B54" s="304"/>
      <c r="C54" s="304"/>
      <c r="D54" s="304"/>
      <c r="E54" s="304"/>
      <c r="F54" s="304"/>
      <c r="G54" s="304"/>
      <c r="H54" s="304"/>
      <c r="I54" s="304"/>
      <c r="J54" s="304"/>
      <c r="K54" s="304"/>
      <c r="L54" s="304"/>
      <c r="M54" s="304"/>
      <c r="N54" s="304"/>
      <c r="O54" s="304"/>
      <c r="P54" s="304"/>
      <c r="Q54" s="304"/>
      <c r="R54" s="304"/>
      <c r="S54" s="304"/>
    </row>
    <row r="55" spans="1:19">
      <c r="A55" s="304"/>
      <c r="B55" s="304"/>
      <c r="C55" s="304"/>
      <c r="D55" s="304"/>
      <c r="E55" s="304"/>
      <c r="F55" s="304"/>
      <c r="G55" s="304"/>
      <c r="H55" s="304"/>
      <c r="I55" s="304"/>
      <c r="J55" s="304"/>
      <c r="K55" s="304"/>
      <c r="L55" s="304"/>
      <c r="M55" s="304"/>
      <c r="N55" s="304"/>
      <c r="O55" s="304"/>
      <c r="P55" s="304"/>
      <c r="Q55" s="304"/>
      <c r="R55" s="304"/>
      <c r="S55" s="304"/>
    </row>
    <row r="56" spans="1:19">
      <c r="A56" s="304"/>
      <c r="B56" s="304"/>
      <c r="C56" s="304"/>
      <c r="D56" s="304"/>
      <c r="E56" s="304"/>
      <c r="F56" s="304"/>
      <c r="G56" s="304"/>
      <c r="H56" s="304"/>
      <c r="I56" s="304"/>
      <c r="J56" s="304"/>
      <c r="K56" s="304"/>
      <c r="L56" s="304"/>
      <c r="M56" s="304"/>
      <c r="N56" s="304"/>
      <c r="O56" s="304"/>
      <c r="P56" s="304"/>
      <c r="Q56" s="304"/>
      <c r="R56" s="304"/>
      <c r="S56" s="304"/>
    </row>
    <row r="57" spans="1:19">
      <c r="A57" s="304"/>
      <c r="B57" s="304"/>
      <c r="C57" s="304"/>
      <c r="D57" s="304"/>
      <c r="E57" s="304"/>
      <c r="F57" s="304"/>
      <c r="G57" s="304"/>
      <c r="H57" s="304"/>
      <c r="I57" s="304"/>
      <c r="J57" s="304"/>
      <c r="K57" s="304"/>
      <c r="L57" s="304"/>
      <c r="M57" s="304"/>
      <c r="N57" s="304"/>
      <c r="O57" s="304"/>
      <c r="P57" s="304"/>
      <c r="Q57" s="304"/>
      <c r="R57" s="304"/>
      <c r="S57" s="304"/>
    </row>
    <row r="58" spans="1:19">
      <c r="A58" s="304"/>
      <c r="B58" s="304"/>
      <c r="C58" s="304"/>
      <c r="D58" s="304"/>
      <c r="E58" s="304"/>
      <c r="F58" s="304"/>
      <c r="G58" s="304"/>
      <c r="H58" s="304"/>
      <c r="I58" s="304"/>
      <c r="J58" s="304"/>
      <c r="K58" s="304"/>
      <c r="L58" s="304"/>
      <c r="M58" s="304"/>
      <c r="N58" s="304"/>
      <c r="O58" s="304"/>
      <c r="P58" s="304"/>
      <c r="Q58" s="304"/>
      <c r="R58" s="304"/>
      <c r="S58" s="304"/>
    </row>
    <row r="59" spans="1:19">
      <c r="J59" s="304"/>
      <c r="K59" s="304"/>
      <c r="L59" s="304"/>
      <c r="M59" s="304"/>
      <c r="N59" s="304"/>
      <c r="O59" s="304"/>
      <c r="P59" s="304"/>
      <c r="Q59" s="304"/>
      <c r="R59" s="304"/>
      <c r="S59" s="304"/>
    </row>
    <row r="60" spans="1:19">
      <c r="J60" s="304"/>
      <c r="K60" s="304"/>
      <c r="L60" s="304"/>
      <c r="M60" s="304"/>
      <c r="N60" s="304"/>
      <c r="O60" s="304"/>
      <c r="P60" s="304"/>
      <c r="Q60" s="304"/>
      <c r="R60" s="304"/>
      <c r="S60" s="304"/>
    </row>
  </sheetData>
  <mergeCells count="16">
    <mergeCell ref="A15:I15"/>
    <mergeCell ref="A1:S1"/>
    <mergeCell ref="A2:S2"/>
    <mergeCell ref="A3:S3"/>
    <mergeCell ref="A5:B5"/>
    <mergeCell ref="A6:B7"/>
    <mergeCell ref="D5:E5"/>
    <mergeCell ref="D6:E7"/>
    <mergeCell ref="G5:H5"/>
    <mergeCell ref="G6:H7"/>
    <mergeCell ref="J5:K5"/>
    <mergeCell ref="J6:K7"/>
    <mergeCell ref="M5:N5"/>
    <mergeCell ref="M6:N7"/>
    <mergeCell ref="P5:S5"/>
    <mergeCell ref="P6:S7"/>
  </mergeCells>
  <conditionalFormatting sqref="G18:G53">
    <cfRule type="expression" dxfId="68" priority="1">
      <formula>G18="Won"</formula>
    </cfRule>
    <cfRule type="expression" dxfId="67" priority="2">
      <formula>G18="In Progress"</formula>
    </cfRule>
    <cfRule type="expression" dxfId="66" priority="3">
      <formula>G18="Failed"</formula>
    </cfRule>
  </conditionalFormatting>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M24" sqref="M24"/>
    </sheetView>
  </sheetViews>
  <sheetFormatPr defaultRowHeight="14.4"/>
  <cols>
    <col min="2" max="2" width="14.44140625" customWidth="1"/>
    <col min="6" max="6" width="10.6640625" customWidth="1"/>
    <col min="7" max="7" width="9.33203125" bestFit="1" customWidth="1"/>
    <col min="8" max="8" width="15.6640625" bestFit="1" customWidth="1"/>
    <col min="9" max="9" width="12.33203125" customWidth="1"/>
    <col min="10" max="10" width="36.5546875" bestFit="1" customWidth="1"/>
    <col min="14" max="14" width="14.33203125" customWidth="1"/>
    <col min="15" max="15" width="19.44140625" customWidth="1"/>
  </cols>
  <sheetData>
    <row r="1" spans="1:12">
      <c r="B1" s="12"/>
      <c r="C1" s="12" t="s">
        <v>1107</v>
      </c>
      <c r="D1" s="12" t="s">
        <v>1108</v>
      </c>
      <c r="E1" s="12" t="s">
        <v>1109</v>
      </c>
      <c r="F1" s="12" t="s">
        <v>1110</v>
      </c>
      <c r="G1" s="12" t="s">
        <v>1111</v>
      </c>
      <c r="H1" s="12" t="s">
        <v>1112</v>
      </c>
      <c r="I1" s="12" t="s">
        <v>1113</v>
      </c>
      <c r="L1" s="12"/>
    </row>
    <row r="2" spans="1:12">
      <c r="C2" s="12">
        <v>23</v>
      </c>
      <c r="D2" s="12">
        <v>27</v>
      </c>
      <c r="E2" s="265">
        <f>SUM(E3:E5)</f>
        <v>71</v>
      </c>
    </row>
    <row r="3" spans="1:12">
      <c r="A3" t="s">
        <v>1114</v>
      </c>
      <c r="B3" t="s">
        <v>1115</v>
      </c>
      <c r="D3">
        <v>15</v>
      </c>
      <c r="E3">
        <v>24</v>
      </c>
      <c r="F3" t="s">
        <v>824</v>
      </c>
      <c r="G3" s="253">
        <f>VLOOKUP(F3,'2026 Calendar'!A:E,5,0)</f>
        <v>46418</v>
      </c>
      <c r="H3">
        <v>50</v>
      </c>
      <c r="I3" s="253">
        <f>H3+G3</f>
        <v>46468</v>
      </c>
      <c r="J3" t="s">
        <v>1116</v>
      </c>
    </row>
    <row r="4" spans="1:12">
      <c r="A4" t="s">
        <v>1114</v>
      </c>
      <c r="B4" t="s">
        <v>1117</v>
      </c>
      <c r="E4">
        <v>26</v>
      </c>
      <c r="F4" t="s">
        <v>1068</v>
      </c>
      <c r="G4" s="253">
        <f>VLOOKUP(F4,'2026 Calendar'!A:E,5,0)</f>
        <v>46453</v>
      </c>
      <c r="H4">
        <v>50</v>
      </c>
      <c r="I4" s="253">
        <f t="shared" ref="I4:I5" si="0">H4+G4</f>
        <v>46503</v>
      </c>
    </row>
    <row r="5" spans="1:12">
      <c r="A5" t="s">
        <v>1114</v>
      </c>
      <c r="B5" t="s">
        <v>1118</v>
      </c>
      <c r="E5" s="241">
        <v>21</v>
      </c>
      <c r="F5" t="s">
        <v>823</v>
      </c>
      <c r="G5" s="253">
        <f>VLOOKUP(F5,'2026 Calendar'!A:E,5,0)</f>
        <v>46467</v>
      </c>
      <c r="H5">
        <v>50</v>
      </c>
      <c r="I5" s="253">
        <f t="shared" si="0"/>
        <v>46517</v>
      </c>
    </row>
    <row r="7" spans="1:12">
      <c r="A7" t="s">
        <v>1119</v>
      </c>
      <c r="E7">
        <v>19</v>
      </c>
      <c r="F7" t="s">
        <v>1120</v>
      </c>
    </row>
    <row r="8" spans="1:12">
      <c r="A8" s="265" t="s">
        <v>1121</v>
      </c>
      <c r="E8" s="265">
        <v>72</v>
      </c>
      <c r="F8" s="265" t="s">
        <v>1122</v>
      </c>
    </row>
  </sheetData>
  <phoneticPr fontId="50"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4" outlineLevelRow="1"/>
  <cols>
    <col min="1" max="1" width="74.44140625" customWidth="1"/>
    <col min="2" max="2" width="46.44140625" customWidth="1"/>
    <col min="3" max="3" width="32.44140625" bestFit="1" customWidth="1"/>
    <col min="4" max="4" width="34.5546875" bestFit="1" customWidth="1"/>
    <col min="5" max="5" width="39.44140625" bestFit="1" customWidth="1"/>
    <col min="6" max="6" width="41.5546875" bestFit="1" customWidth="1"/>
    <col min="7" max="7" width="32.44140625" bestFit="1" customWidth="1"/>
    <col min="8" max="8" width="39" bestFit="1" customWidth="1"/>
  </cols>
  <sheetData>
    <row r="1" spans="1:8" ht="30" customHeight="1">
      <c r="A1" s="368" t="s">
        <v>1123</v>
      </c>
      <c r="B1" s="368"/>
      <c r="C1" s="368"/>
      <c r="D1" s="368"/>
      <c r="E1" s="368"/>
      <c r="F1" s="368"/>
      <c r="G1" s="368"/>
      <c r="H1" s="368"/>
    </row>
    <row r="2" spans="1:8" hidden="1" outlineLevel="1">
      <c r="A2" s="21"/>
      <c r="B2" s="21"/>
      <c r="C2" s="21"/>
      <c r="D2" s="21"/>
      <c r="E2" s="21"/>
      <c r="F2" s="21"/>
      <c r="G2" s="21"/>
      <c r="H2" s="21"/>
    </row>
    <row r="3" spans="1:8" ht="25.35" hidden="1" customHeight="1" outlineLevel="1">
      <c r="A3" s="226" t="s">
        <v>1124</v>
      </c>
      <c r="B3" s="226" t="s">
        <v>1125</v>
      </c>
      <c r="C3" s="226" t="s">
        <v>1126</v>
      </c>
      <c r="D3" s="226" t="s">
        <v>955</v>
      </c>
      <c r="E3" s="226" t="s">
        <v>1127</v>
      </c>
      <c r="F3" s="226" t="s">
        <v>1128</v>
      </c>
      <c r="G3" s="226" t="s">
        <v>1129</v>
      </c>
      <c r="H3" s="226" t="s">
        <v>1130</v>
      </c>
    </row>
    <row r="4" spans="1:8" hidden="1" outlineLevel="1">
      <c r="A4" s="227">
        <v>1</v>
      </c>
      <c r="B4" s="227">
        <v>1</v>
      </c>
      <c r="C4" s="227" t="s">
        <v>1131</v>
      </c>
      <c r="D4" s="227" t="s">
        <v>1132</v>
      </c>
      <c r="E4" s="227" t="s">
        <v>1131</v>
      </c>
      <c r="F4" s="227" t="s">
        <v>1131</v>
      </c>
      <c r="G4" s="227"/>
      <c r="H4" s="227" t="s">
        <v>1133</v>
      </c>
    </row>
    <row r="5" spans="1:8" hidden="1" outlineLevel="1">
      <c r="A5" s="228">
        <v>2</v>
      </c>
      <c r="B5" s="228">
        <v>1.1000000000000001</v>
      </c>
      <c r="C5" s="228" t="s">
        <v>1134</v>
      </c>
      <c r="D5" s="228" t="s">
        <v>1135</v>
      </c>
      <c r="E5" s="228" t="s">
        <v>1136</v>
      </c>
      <c r="F5" s="228" t="s">
        <v>1134</v>
      </c>
      <c r="G5" s="228"/>
      <c r="H5" s="228" t="s">
        <v>1137</v>
      </c>
    </row>
    <row r="6" spans="1:8" hidden="1" outlineLevel="1">
      <c r="A6" s="228">
        <v>2</v>
      </c>
      <c r="B6" s="228">
        <v>1.2</v>
      </c>
      <c r="C6" s="228" t="s">
        <v>1138</v>
      </c>
      <c r="D6" s="228" t="s">
        <v>1139</v>
      </c>
      <c r="E6" s="228" t="s">
        <v>1136</v>
      </c>
      <c r="F6" s="228" t="s">
        <v>1138</v>
      </c>
      <c r="G6" s="228"/>
      <c r="H6" s="228" t="s">
        <v>1140</v>
      </c>
    </row>
    <row r="7" spans="1:8" hidden="1" outlineLevel="1">
      <c r="A7" s="228">
        <v>2</v>
      </c>
      <c r="B7" s="228">
        <v>1.3</v>
      </c>
      <c r="C7" s="228" t="s">
        <v>1141</v>
      </c>
      <c r="D7" s="228" t="s">
        <v>1142</v>
      </c>
      <c r="E7" s="228" t="s">
        <v>1136</v>
      </c>
      <c r="F7" s="228" t="s">
        <v>1141</v>
      </c>
      <c r="G7" s="228"/>
      <c r="H7" s="228" t="s">
        <v>1143</v>
      </c>
    </row>
    <row r="8" spans="1:8" hidden="1" outlineLevel="1">
      <c r="A8" s="228">
        <v>2</v>
      </c>
      <c r="B8" s="228">
        <v>1.4</v>
      </c>
      <c r="C8" s="228" t="s">
        <v>1144</v>
      </c>
      <c r="D8" s="228" t="s">
        <v>1145</v>
      </c>
      <c r="E8" s="228" t="s">
        <v>1146</v>
      </c>
      <c r="F8" s="228" t="s">
        <v>1147</v>
      </c>
      <c r="G8" s="228" t="s">
        <v>1148</v>
      </c>
      <c r="H8" s="228" t="s">
        <v>1149</v>
      </c>
    </row>
    <row r="9" spans="1:8" hidden="1" outlineLevel="1">
      <c r="A9" s="228">
        <v>2</v>
      </c>
      <c r="B9" s="228">
        <v>1.5</v>
      </c>
      <c r="C9" s="228" t="s">
        <v>1150</v>
      </c>
      <c r="D9" s="228" t="s">
        <v>1151</v>
      </c>
      <c r="E9" s="228" t="s">
        <v>1152</v>
      </c>
      <c r="F9" s="228" t="s">
        <v>1153</v>
      </c>
      <c r="G9" s="228"/>
      <c r="H9" s="228" t="s">
        <v>1154</v>
      </c>
    </row>
    <row r="10" spans="1:8" hidden="1" outlineLevel="1">
      <c r="A10" s="228">
        <v>2</v>
      </c>
      <c r="B10" s="228">
        <v>1.6</v>
      </c>
      <c r="C10" s="228" t="s">
        <v>1155</v>
      </c>
      <c r="D10" s="228" t="s">
        <v>1156</v>
      </c>
      <c r="E10" s="228" t="s">
        <v>1136</v>
      </c>
      <c r="F10" s="228" t="s">
        <v>1155</v>
      </c>
      <c r="G10" s="228"/>
      <c r="H10" s="228" t="s">
        <v>1157</v>
      </c>
    </row>
    <row r="11" spans="1:8" hidden="1" outlineLevel="1">
      <c r="A11" s="228">
        <v>2</v>
      </c>
      <c r="B11" s="228">
        <v>1.7</v>
      </c>
      <c r="C11" s="228" t="s">
        <v>1158</v>
      </c>
      <c r="D11" s="228" t="s">
        <v>1159</v>
      </c>
      <c r="E11" s="228" t="s">
        <v>1160</v>
      </c>
      <c r="F11" s="228" t="s">
        <v>1161</v>
      </c>
      <c r="G11" s="228"/>
      <c r="H11" s="228" t="s">
        <v>1162</v>
      </c>
    </row>
    <row r="12" spans="1:8" hidden="1" outlineLevel="1">
      <c r="A12" s="228">
        <v>3</v>
      </c>
      <c r="B12" s="228" t="s">
        <v>1163</v>
      </c>
      <c r="C12" s="228" t="s">
        <v>59</v>
      </c>
      <c r="D12" s="228" t="s">
        <v>1164</v>
      </c>
      <c r="E12" s="228" t="s">
        <v>59</v>
      </c>
      <c r="F12" s="228" t="s">
        <v>59</v>
      </c>
      <c r="G12" s="228"/>
      <c r="H12" s="228" t="s">
        <v>1165</v>
      </c>
    </row>
    <row r="13" spans="1:8" hidden="1" outlineLevel="1">
      <c r="A13" s="228">
        <v>3</v>
      </c>
      <c r="B13" s="228" t="s">
        <v>1166</v>
      </c>
      <c r="C13" s="228" t="s">
        <v>46</v>
      </c>
      <c r="D13" s="228" t="s">
        <v>1167</v>
      </c>
      <c r="E13" s="228" t="s">
        <v>46</v>
      </c>
      <c r="F13" s="228" t="s">
        <v>46</v>
      </c>
      <c r="G13" s="228"/>
      <c r="H13" s="228" t="s">
        <v>1168</v>
      </c>
    </row>
    <row r="14" spans="1:8" hidden="1" outlineLevel="1">
      <c r="A14" s="229">
        <v>4</v>
      </c>
      <c r="B14" s="229" t="s">
        <v>1169</v>
      </c>
      <c r="C14" s="229" t="s">
        <v>1170</v>
      </c>
      <c r="D14" s="229" t="s">
        <v>1171</v>
      </c>
      <c r="E14" s="229" t="s">
        <v>1172</v>
      </c>
      <c r="F14" s="229" t="s">
        <v>1173</v>
      </c>
      <c r="G14" s="229"/>
      <c r="H14" s="229" t="s">
        <v>1174</v>
      </c>
    </row>
    <row r="15" spans="1:8" hidden="1" outlineLevel="1">
      <c r="A15" s="229">
        <v>5</v>
      </c>
      <c r="B15" s="229" t="s">
        <v>1175</v>
      </c>
      <c r="C15" s="229" t="s">
        <v>1176</v>
      </c>
      <c r="D15" s="229" t="s">
        <v>1177</v>
      </c>
      <c r="E15" s="229" t="s">
        <v>1176</v>
      </c>
      <c r="F15" s="229" t="s">
        <v>1176</v>
      </c>
      <c r="G15" s="229"/>
      <c r="H15" s="229" t="s">
        <v>1178</v>
      </c>
    </row>
    <row r="16" spans="1:8" hidden="1" outlineLevel="1">
      <c r="A16" s="230">
        <v>5</v>
      </c>
      <c r="B16" s="230" t="s">
        <v>1179</v>
      </c>
      <c r="C16" s="230" t="s">
        <v>1180</v>
      </c>
      <c r="D16" s="230" t="s">
        <v>1181</v>
      </c>
      <c r="E16" s="230" t="s">
        <v>1180</v>
      </c>
      <c r="F16" s="230" t="s">
        <v>1180</v>
      </c>
      <c r="G16" s="230"/>
      <c r="H16" s="230" t="s">
        <v>1182</v>
      </c>
    </row>
    <row r="17" spans="1:8" hidden="1" outlineLevel="1">
      <c r="A17" s="231">
        <v>6</v>
      </c>
      <c r="B17" s="231" t="s">
        <v>1183</v>
      </c>
      <c r="C17" s="231" t="s">
        <v>1184</v>
      </c>
      <c r="D17" s="231" t="s">
        <v>1185</v>
      </c>
      <c r="E17" s="231" t="s">
        <v>1184</v>
      </c>
      <c r="F17" s="231" t="s">
        <v>1184</v>
      </c>
      <c r="G17" s="231"/>
      <c r="H17" s="231" t="s">
        <v>1186</v>
      </c>
    </row>
    <row r="18" spans="1:8" hidden="1" outlineLevel="1">
      <c r="A18" s="231">
        <v>6</v>
      </c>
      <c r="B18" s="231" t="s">
        <v>1187</v>
      </c>
      <c r="C18" s="231" t="s">
        <v>1188</v>
      </c>
      <c r="D18" s="231" t="s">
        <v>1189</v>
      </c>
      <c r="E18" s="231" t="s">
        <v>1188</v>
      </c>
      <c r="F18" s="231" t="s">
        <v>1188</v>
      </c>
      <c r="G18" s="231" t="s">
        <v>1190</v>
      </c>
      <c r="H18" s="231" t="s">
        <v>1191</v>
      </c>
    </row>
    <row r="19" spans="1:8" hidden="1" outlineLevel="1">
      <c r="A19" s="231">
        <v>6</v>
      </c>
      <c r="B19" s="231" t="s">
        <v>1192</v>
      </c>
      <c r="C19" s="231" t="s">
        <v>1193</v>
      </c>
      <c r="D19" s="231" t="s">
        <v>1194</v>
      </c>
      <c r="E19" s="231" t="s">
        <v>1193</v>
      </c>
      <c r="F19" s="231" t="s">
        <v>1193</v>
      </c>
      <c r="G19" s="231" t="s">
        <v>1190</v>
      </c>
      <c r="H19" s="231" t="s">
        <v>1191</v>
      </c>
    </row>
    <row r="20" spans="1:8" hidden="1" outlineLevel="1">
      <c r="A20" s="231">
        <v>6</v>
      </c>
      <c r="B20" s="231" t="s">
        <v>1195</v>
      </c>
      <c r="C20" s="231" t="s">
        <v>1196</v>
      </c>
      <c r="D20" s="231" t="s">
        <v>1197</v>
      </c>
      <c r="E20" s="231" t="s">
        <v>1196</v>
      </c>
      <c r="F20" s="231" t="s">
        <v>1196</v>
      </c>
      <c r="G20" s="231" t="s">
        <v>1198</v>
      </c>
      <c r="H20" s="231" t="s">
        <v>1199</v>
      </c>
    </row>
    <row r="21" spans="1:8" hidden="1" outlineLevel="1">
      <c r="A21" s="231">
        <v>6</v>
      </c>
      <c r="B21" s="231" t="s">
        <v>1200</v>
      </c>
      <c r="C21" s="231" t="s">
        <v>1201</v>
      </c>
      <c r="D21" s="231" t="s">
        <v>1202</v>
      </c>
      <c r="E21" s="231" t="s">
        <v>1201</v>
      </c>
      <c r="F21" s="231" t="s">
        <v>1201</v>
      </c>
      <c r="G21" s="231" t="s">
        <v>1198</v>
      </c>
      <c r="H21" s="231" t="s">
        <v>1203</v>
      </c>
    </row>
    <row r="22" spans="1:8" hidden="1" outlineLevel="1">
      <c r="A22" s="231">
        <v>6</v>
      </c>
      <c r="B22" s="231" t="s">
        <v>1204</v>
      </c>
      <c r="C22" s="231" t="s">
        <v>1205</v>
      </c>
      <c r="D22" s="231" t="s">
        <v>1206</v>
      </c>
      <c r="E22" s="231" t="s">
        <v>1205</v>
      </c>
      <c r="F22" s="231" t="s">
        <v>1205</v>
      </c>
      <c r="G22" s="231" t="s">
        <v>1207</v>
      </c>
      <c r="H22" s="231" t="s">
        <v>1208</v>
      </c>
    </row>
    <row r="23" spans="1:8" hidden="1" outlineLevel="1">
      <c r="A23" s="231">
        <v>6</v>
      </c>
      <c r="B23" s="231" t="s">
        <v>1209</v>
      </c>
      <c r="C23" s="231" t="s">
        <v>1210</v>
      </c>
      <c r="D23" s="231" t="s">
        <v>1211</v>
      </c>
      <c r="E23" s="231" t="s">
        <v>1210</v>
      </c>
      <c r="F23" s="231" t="s">
        <v>1210</v>
      </c>
      <c r="G23" s="231"/>
      <c r="H23" s="231" t="s">
        <v>1212</v>
      </c>
    </row>
    <row r="24" spans="1:8" hidden="1" outlineLevel="1">
      <c r="A24" s="231">
        <v>6</v>
      </c>
      <c r="B24" s="231" t="s">
        <v>1213</v>
      </c>
      <c r="C24" s="231" t="s">
        <v>1214</v>
      </c>
      <c r="D24" s="231" t="s">
        <v>1215</v>
      </c>
      <c r="E24" s="231" t="s">
        <v>1214</v>
      </c>
      <c r="F24" s="231" t="s">
        <v>1214</v>
      </c>
      <c r="G24" s="231" t="s">
        <v>1198</v>
      </c>
      <c r="H24" s="231" t="s">
        <v>1216</v>
      </c>
    </row>
    <row r="25" spans="1:8" hidden="1" outlineLevel="1">
      <c r="A25" s="231">
        <v>6</v>
      </c>
      <c r="B25" s="231" t="s">
        <v>1217</v>
      </c>
      <c r="C25" s="231" t="s">
        <v>1218</v>
      </c>
      <c r="D25" s="231" t="s">
        <v>1219</v>
      </c>
      <c r="E25" s="231" t="s">
        <v>1218</v>
      </c>
      <c r="F25" s="231" t="s">
        <v>1218</v>
      </c>
      <c r="G25" s="231" t="s">
        <v>1198</v>
      </c>
      <c r="H25" s="231" t="s">
        <v>1220</v>
      </c>
    </row>
    <row r="26" spans="1:8" ht="25.35" hidden="1" customHeight="1" outlineLevel="1">
      <c r="A26" s="231">
        <v>6</v>
      </c>
      <c r="B26" s="231" t="s">
        <v>1221</v>
      </c>
      <c r="C26" s="231" t="s">
        <v>1222</v>
      </c>
      <c r="D26" s="231" t="s">
        <v>1223</v>
      </c>
      <c r="E26" s="231" t="s">
        <v>1222</v>
      </c>
      <c r="F26" s="231" t="s">
        <v>1222</v>
      </c>
      <c r="G26" s="231"/>
      <c r="H26" s="231" t="s">
        <v>1224</v>
      </c>
    </row>
    <row r="27" spans="1:8" hidden="1" outlineLevel="1">
      <c r="A27" s="231">
        <v>6</v>
      </c>
      <c r="B27" s="231" t="s">
        <v>1225</v>
      </c>
      <c r="C27" s="231" t="s">
        <v>1226</v>
      </c>
      <c r="D27" s="231" t="s">
        <v>1227</v>
      </c>
      <c r="E27" s="231" t="s">
        <v>1226</v>
      </c>
      <c r="F27" s="231" t="s">
        <v>1226</v>
      </c>
      <c r="G27" s="231"/>
      <c r="H27" s="231" t="s">
        <v>1228</v>
      </c>
    </row>
    <row r="28" spans="1:8" hidden="1" outlineLevel="1">
      <c r="A28" s="371" t="s">
        <v>1229</v>
      </c>
      <c r="B28" s="367"/>
      <c r="C28" s="367"/>
      <c r="D28" s="367"/>
      <c r="E28" s="367"/>
      <c r="F28" s="367"/>
      <c r="G28" s="367"/>
      <c r="H28" s="367"/>
    </row>
    <row r="29" spans="1:8" hidden="1" outlineLevel="1">
      <c r="A29" s="243" t="s">
        <v>1230</v>
      </c>
      <c r="B29" s="243" t="s">
        <v>1231</v>
      </c>
      <c r="C29" s="243" t="s">
        <v>1232</v>
      </c>
      <c r="D29" s="243"/>
      <c r="E29" s="243"/>
      <c r="F29" s="243"/>
      <c r="G29" s="243"/>
      <c r="H29" s="243"/>
    </row>
    <row r="30" spans="1:8" hidden="1" outlineLevel="1">
      <c r="A30" s="242" t="s">
        <v>1176</v>
      </c>
      <c r="B30" t="s">
        <v>1233</v>
      </c>
      <c r="C30" t="s">
        <v>1234</v>
      </c>
    </row>
    <row r="31" spans="1:8" hidden="1" outlineLevel="1">
      <c r="A31" s="242" t="s">
        <v>1180</v>
      </c>
      <c r="B31" t="s">
        <v>1235</v>
      </c>
      <c r="C31" t="s">
        <v>1236</v>
      </c>
    </row>
    <row r="32" spans="1:8" hidden="1" outlineLevel="1"/>
    <row r="33" spans="1:8" hidden="1" outlineLevel="1">
      <c r="A33" s="372" t="s">
        <v>1237</v>
      </c>
      <c r="B33" s="367"/>
      <c r="C33" s="367"/>
      <c r="D33" s="367"/>
      <c r="E33" s="367"/>
      <c r="F33" s="367"/>
      <c r="G33" s="367"/>
      <c r="H33" s="367"/>
    </row>
    <row r="34" spans="1:8" hidden="1" outlineLevel="1">
      <c r="A34" s="244" t="s">
        <v>1124</v>
      </c>
      <c r="B34" s="244" t="s">
        <v>1125</v>
      </c>
      <c r="C34" s="244" t="s">
        <v>1126</v>
      </c>
      <c r="D34" s="244" t="s">
        <v>955</v>
      </c>
      <c r="E34" s="244" t="s">
        <v>1127</v>
      </c>
      <c r="F34" s="244" t="s">
        <v>1128</v>
      </c>
      <c r="G34" s="244" t="s">
        <v>1129</v>
      </c>
      <c r="H34" s="244" t="s">
        <v>1130</v>
      </c>
    </row>
    <row r="35" spans="1:8" hidden="1" outlineLevel="1">
      <c r="A35" s="242">
        <v>6</v>
      </c>
      <c r="B35" t="s">
        <v>1238</v>
      </c>
      <c r="C35" t="s">
        <v>1184</v>
      </c>
      <c r="D35" t="s">
        <v>1185</v>
      </c>
      <c r="E35" t="s">
        <v>1184</v>
      </c>
      <c r="F35" t="s">
        <v>1184</v>
      </c>
      <c r="H35" t="s">
        <v>1186</v>
      </c>
    </row>
    <row r="36" spans="1:8" hidden="1" outlineLevel="1">
      <c r="A36" s="242">
        <v>6</v>
      </c>
      <c r="B36" t="s">
        <v>1239</v>
      </c>
      <c r="C36" t="s">
        <v>1188</v>
      </c>
      <c r="D36" t="s">
        <v>1189</v>
      </c>
      <c r="E36" t="s">
        <v>1188</v>
      </c>
      <c r="F36" t="s">
        <v>1188</v>
      </c>
      <c r="G36" t="s">
        <v>1190</v>
      </c>
      <c r="H36" t="s">
        <v>1191</v>
      </c>
    </row>
    <row r="37" spans="1:8" hidden="1" outlineLevel="1">
      <c r="A37" s="242">
        <v>6</v>
      </c>
      <c r="B37" t="s">
        <v>1240</v>
      </c>
      <c r="C37" t="s">
        <v>1193</v>
      </c>
      <c r="D37" t="s">
        <v>1194</v>
      </c>
      <c r="E37" t="s">
        <v>1193</v>
      </c>
      <c r="F37" t="s">
        <v>1193</v>
      </c>
      <c r="G37" t="s">
        <v>1190</v>
      </c>
      <c r="H37" t="s">
        <v>1191</v>
      </c>
    </row>
    <row r="38" spans="1:8" hidden="1" outlineLevel="1">
      <c r="A38" s="242">
        <v>6</v>
      </c>
      <c r="B38" t="s">
        <v>1241</v>
      </c>
      <c r="C38" t="s">
        <v>1196</v>
      </c>
      <c r="D38" t="s">
        <v>1197</v>
      </c>
      <c r="E38" t="s">
        <v>1196</v>
      </c>
      <c r="F38" t="s">
        <v>1196</v>
      </c>
      <c r="G38" t="s">
        <v>1198</v>
      </c>
      <c r="H38" t="s">
        <v>1199</v>
      </c>
    </row>
    <row r="39" spans="1:8" hidden="1" outlineLevel="1">
      <c r="A39" s="242">
        <v>6</v>
      </c>
      <c r="B39" t="s">
        <v>1242</v>
      </c>
      <c r="C39" t="s">
        <v>1201</v>
      </c>
      <c r="D39" t="s">
        <v>1202</v>
      </c>
      <c r="E39" t="s">
        <v>1201</v>
      </c>
      <c r="F39" t="s">
        <v>1201</v>
      </c>
      <c r="G39" t="s">
        <v>1198</v>
      </c>
      <c r="H39" t="s">
        <v>1203</v>
      </c>
    </row>
    <row r="40" spans="1:8" hidden="1" outlineLevel="1">
      <c r="A40" s="242">
        <v>6</v>
      </c>
      <c r="B40" t="s">
        <v>1243</v>
      </c>
      <c r="C40" t="s">
        <v>1205</v>
      </c>
      <c r="D40" t="s">
        <v>1206</v>
      </c>
      <c r="E40" t="s">
        <v>1205</v>
      </c>
      <c r="F40" t="s">
        <v>1205</v>
      </c>
      <c r="G40" t="s">
        <v>1207</v>
      </c>
      <c r="H40" t="s">
        <v>1208</v>
      </c>
    </row>
    <row r="41" spans="1:8" hidden="1" outlineLevel="1">
      <c r="A41" s="242">
        <v>6</v>
      </c>
      <c r="B41" t="s">
        <v>1244</v>
      </c>
      <c r="C41" t="s">
        <v>1210</v>
      </c>
      <c r="D41" t="s">
        <v>1211</v>
      </c>
      <c r="E41" t="s">
        <v>1210</v>
      </c>
      <c r="F41" t="s">
        <v>1210</v>
      </c>
      <c r="H41" t="s">
        <v>1212</v>
      </c>
    </row>
    <row r="42" spans="1:8" hidden="1" outlineLevel="1">
      <c r="A42" s="242">
        <v>6</v>
      </c>
      <c r="B42" t="s">
        <v>1245</v>
      </c>
      <c r="C42" t="s">
        <v>1214</v>
      </c>
      <c r="D42" t="s">
        <v>1215</v>
      </c>
      <c r="E42" t="s">
        <v>1214</v>
      </c>
      <c r="F42" t="s">
        <v>1214</v>
      </c>
      <c r="G42" t="s">
        <v>1198</v>
      </c>
      <c r="H42" t="s">
        <v>1216</v>
      </c>
    </row>
    <row r="43" spans="1:8" hidden="1" outlineLevel="1">
      <c r="A43" s="171">
        <v>6</v>
      </c>
      <c r="B43" s="211" t="s">
        <v>1246</v>
      </c>
      <c r="C43" s="211" t="s">
        <v>1247</v>
      </c>
      <c r="D43" s="211" t="s">
        <v>1248</v>
      </c>
      <c r="E43" s="211" t="s">
        <v>1247</v>
      </c>
      <c r="F43" s="211" t="s">
        <v>1247</v>
      </c>
      <c r="G43" s="211"/>
      <c r="H43" s="211" t="s">
        <v>1249</v>
      </c>
    </row>
    <row r="44" spans="1:8" hidden="1" outlineLevel="1">
      <c r="A44">
        <v>6</v>
      </c>
      <c r="B44" t="s">
        <v>1250</v>
      </c>
      <c r="C44" t="s">
        <v>1251</v>
      </c>
      <c r="D44" t="s">
        <v>1219</v>
      </c>
      <c r="E44" t="s">
        <v>1251</v>
      </c>
      <c r="F44" t="s">
        <v>1251</v>
      </c>
      <c r="G44" t="s">
        <v>1198</v>
      </c>
      <c r="H44" t="s">
        <v>1220</v>
      </c>
    </row>
    <row r="45" spans="1:8" ht="18" hidden="1" outlineLevel="1">
      <c r="A45" s="369">
        <v>6</v>
      </c>
      <c r="B45" s="369"/>
      <c r="C45" s="369"/>
      <c r="D45" s="369"/>
      <c r="E45" s="369"/>
      <c r="F45" s="369"/>
      <c r="G45" s="369"/>
      <c r="H45" s="369"/>
    </row>
    <row r="46" spans="1:8" ht="15.6" hidden="1" customHeight="1" outlineLevel="1">
      <c r="A46" s="366">
        <v>6</v>
      </c>
      <c r="B46" s="366"/>
      <c r="C46" s="366"/>
      <c r="D46" s="366"/>
      <c r="E46" s="366"/>
      <c r="F46" s="366"/>
      <c r="G46" s="366"/>
      <c r="H46" s="366"/>
    </row>
    <row r="47" spans="1:8" hidden="1" outlineLevel="1"/>
    <row r="48" spans="1:8" hidden="1" outlineLevel="1">
      <c r="A48" s="237" t="s">
        <v>1252</v>
      </c>
      <c r="B48" s="237" t="s">
        <v>1253</v>
      </c>
      <c r="C48" s="237" t="s">
        <v>955</v>
      </c>
      <c r="D48" s="237" t="s">
        <v>1254</v>
      </c>
      <c r="E48" s="237" t="s">
        <v>1128</v>
      </c>
      <c r="F48" s="237" t="s">
        <v>1255</v>
      </c>
      <c r="G48" s="237"/>
      <c r="H48" s="237"/>
    </row>
    <row r="49" spans="1:6" hidden="1" outlineLevel="1">
      <c r="A49" t="s">
        <v>1256</v>
      </c>
      <c r="B49" t="s">
        <v>1257</v>
      </c>
      <c r="C49" t="s">
        <v>1258</v>
      </c>
      <c r="D49" t="s">
        <v>1259</v>
      </c>
      <c r="E49" t="s">
        <v>1256</v>
      </c>
      <c r="F49" t="s">
        <v>1260</v>
      </c>
    </row>
    <row r="50" spans="1:6" hidden="1" outlineLevel="1">
      <c r="A50" t="s">
        <v>1261</v>
      </c>
      <c r="B50" t="s">
        <v>1262</v>
      </c>
      <c r="C50" t="s">
        <v>1263</v>
      </c>
      <c r="D50" t="s">
        <v>1264</v>
      </c>
      <c r="E50" t="s">
        <v>1262</v>
      </c>
    </row>
    <row r="51" spans="1:6" hidden="1" outlineLevel="1">
      <c r="A51" t="s">
        <v>1265</v>
      </c>
      <c r="B51" t="s">
        <v>1266</v>
      </c>
      <c r="C51" t="s">
        <v>1267</v>
      </c>
      <c r="E51" t="s">
        <v>1268</v>
      </c>
      <c r="F51" t="s">
        <v>1269</v>
      </c>
    </row>
    <row r="52" spans="1:6" hidden="1" outlineLevel="1">
      <c r="A52" t="s">
        <v>1270</v>
      </c>
      <c r="B52" t="s">
        <v>1271</v>
      </c>
      <c r="C52" t="s">
        <v>1272</v>
      </c>
      <c r="D52" t="s">
        <v>1259</v>
      </c>
      <c r="E52" t="s">
        <v>1270</v>
      </c>
    </row>
    <row r="53" spans="1:6" hidden="1" outlineLevel="1">
      <c r="A53" t="s">
        <v>1261</v>
      </c>
      <c r="B53" t="s">
        <v>1262</v>
      </c>
      <c r="C53" t="s">
        <v>1273</v>
      </c>
      <c r="D53" t="s">
        <v>1264</v>
      </c>
      <c r="E53" t="s">
        <v>1262</v>
      </c>
    </row>
    <row r="54" spans="1:6" hidden="1" outlineLevel="1">
      <c r="A54" t="s">
        <v>1265</v>
      </c>
      <c r="B54" t="s">
        <v>1266</v>
      </c>
      <c r="C54" t="s">
        <v>1274</v>
      </c>
      <c r="D54" t="s">
        <v>1275</v>
      </c>
      <c r="E54" t="s">
        <v>1276</v>
      </c>
    </row>
    <row r="55" spans="1:6" hidden="1" outlineLevel="1">
      <c r="A55" t="s">
        <v>1277</v>
      </c>
      <c r="B55" t="s">
        <v>1278</v>
      </c>
      <c r="C55" t="s">
        <v>1279</v>
      </c>
      <c r="D55" t="s">
        <v>1259</v>
      </c>
      <c r="E55" t="s">
        <v>1277</v>
      </c>
    </row>
    <row r="56" spans="1:6" hidden="1" outlineLevel="1">
      <c r="A56" t="s">
        <v>1261</v>
      </c>
      <c r="B56" t="s">
        <v>1262</v>
      </c>
      <c r="C56" t="s">
        <v>1280</v>
      </c>
      <c r="D56" t="s">
        <v>1264</v>
      </c>
      <c r="E56" t="s">
        <v>1262</v>
      </c>
    </row>
    <row r="57" spans="1:6" hidden="1" outlineLevel="1">
      <c r="A57" t="s">
        <v>1265</v>
      </c>
      <c r="B57" t="s">
        <v>1266</v>
      </c>
      <c r="C57" t="s">
        <v>1281</v>
      </c>
      <c r="E57" t="s">
        <v>1282</v>
      </c>
      <c r="F57" t="s">
        <v>1283</v>
      </c>
    </row>
    <row r="58" spans="1:6" hidden="1" outlineLevel="1">
      <c r="A58" t="s">
        <v>1284</v>
      </c>
      <c r="B58" t="s">
        <v>1285</v>
      </c>
      <c r="C58" t="s">
        <v>1286</v>
      </c>
      <c r="D58" t="s">
        <v>1287</v>
      </c>
      <c r="E58" t="s">
        <v>1284</v>
      </c>
    </row>
    <row r="59" spans="1:6" hidden="1" outlineLevel="1">
      <c r="A59" t="s">
        <v>1288</v>
      </c>
      <c r="B59" t="s">
        <v>1289</v>
      </c>
      <c r="C59" t="s">
        <v>1290</v>
      </c>
      <c r="D59" t="s">
        <v>1291</v>
      </c>
      <c r="E59" t="s">
        <v>1289</v>
      </c>
      <c r="F59" t="s">
        <v>1292</v>
      </c>
    </row>
    <row r="60" spans="1:6" ht="25.35" hidden="1" customHeight="1" outlineLevel="1">
      <c r="A60" t="s">
        <v>1261</v>
      </c>
      <c r="B60" t="s">
        <v>1262</v>
      </c>
      <c r="C60" t="s">
        <v>1293</v>
      </c>
      <c r="D60" t="s">
        <v>1264</v>
      </c>
      <c r="E60" t="s">
        <v>1262</v>
      </c>
    </row>
    <row r="61" spans="1:6" hidden="1" outlineLevel="1">
      <c r="A61" t="s">
        <v>1265</v>
      </c>
      <c r="B61" t="s">
        <v>1266</v>
      </c>
      <c r="C61" t="s">
        <v>1294</v>
      </c>
      <c r="E61" t="s">
        <v>1295</v>
      </c>
      <c r="F61" t="s">
        <v>1292</v>
      </c>
    </row>
    <row r="62" spans="1:6" hidden="1" outlineLevel="1">
      <c r="A62" s="245" t="s">
        <v>1296</v>
      </c>
    </row>
    <row r="63" spans="1:6" hidden="1" outlineLevel="1">
      <c r="A63" t="s">
        <v>1297</v>
      </c>
    </row>
    <row r="64" spans="1:6" hidden="1" outlineLevel="1">
      <c r="A64" t="s">
        <v>1298</v>
      </c>
    </row>
    <row r="65" spans="1:8" hidden="1" outlineLevel="1">
      <c r="A65" t="s">
        <v>1299</v>
      </c>
    </row>
    <row r="66" spans="1:8" hidden="1" outlineLevel="1">
      <c r="A66" t="s">
        <v>1300</v>
      </c>
    </row>
    <row r="67" spans="1:8" hidden="1" outlineLevel="1">
      <c r="A67" t="s">
        <v>1301</v>
      </c>
    </row>
    <row r="68" spans="1:8" hidden="1" outlineLevel="1"/>
    <row r="69" spans="1:8" ht="15.6" hidden="1" customHeight="1" outlineLevel="1">
      <c r="A69" s="366" t="s">
        <v>1302</v>
      </c>
      <c r="B69" s="366"/>
      <c r="C69" s="366"/>
      <c r="D69" s="366"/>
      <c r="E69" s="366"/>
      <c r="F69" s="366"/>
      <c r="G69" s="366"/>
      <c r="H69" s="366"/>
    </row>
    <row r="70" spans="1:8" hidden="1" outlineLevel="1"/>
    <row r="71" spans="1:8" hidden="1" outlineLevel="1">
      <c r="A71" s="237" t="s">
        <v>1252</v>
      </c>
      <c r="B71" s="237" t="s">
        <v>1253</v>
      </c>
      <c r="C71" s="237" t="s">
        <v>955</v>
      </c>
      <c r="D71" s="237" t="s">
        <v>1254</v>
      </c>
      <c r="E71" s="237" t="s">
        <v>1128</v>
      </c>
      <c r="F71" s="237" t="s">
        <v>1255</v>
      </c>
      <c r="G71" s="237"/>
      <c r="H71" s="237"/>
    </row>
    <row r="72" spans="1:8" hidden="1" outlineLevel="1">
      <c r="A72" t="s">
        <v>1256</v>
      </c>
      <c r="B72" t="s">
        <v>1257</v>
      </c>
      <c r="C72" t="s">
        <v>1303</v>
      </c>
      <c r="D72" t="s">
        <v>1259</v>
      </c>
      <c r="E72" t="s">
        <v>1256</v>
      </c>
      <c r="F72" t="s">
        <v>1304</v>
      </c>
    </row>
    <row r="73" spans="1:8" hidden="1" outlineLevel="1">
      <c r="A73" t="s">
        <v>1261</v>
      </c>
      <c r="B73" t="s">
        <v>1262</v>
      </c>
      <c r="C73" t="s">
        <v>1263</v>
      </c>
      <c r="D73" t="s">
        <v>1264</v>
      </c>
      <c r="E73" t="s">
        <v>1262</v>
      </c>
    </row>
    <row r="74" spans="1:8" hidden="1" outlineLevel="1">
      <c r="A74" t="s">
        <v>1265</v>
      </c>
      <c r="B74" t="s">
        <v>1266</v>
      </c>
      <c r="C74" t="s">
        <v>1305</v>
      </c>
      <c r="E74" t="s">
        <v>1268</v>
      </c>
    </row>
    <row r="75" spans="1:8" hidden="1" outlineLevel="1">
      <c r="A75" t="s">
        <v>1270</v>
      </c>
      <c r="B75" t="s">
        <v>1271</v>
      </c>
      <c r="C75" t="s">
        <v>1306</v>
      </c>
      <c r="D75" t="s">
        <v>1259</v>
      </c>
      <c r="E75" t="s">
        <v>1270</v>
      </c>
    </row>
    <row r="76" spans="1:8" hidden="1" outlineLevel="1">
      <c r="A76" t="s">
        <v>1261</v>
      </c>
      <c r="B76" t="s">
        <v>1262</v>
      </c>
      <c r="C76" t="s">
        <v>1307</v>
      </c>
      <c r="D76" t="s">
        <v>1264</v>
      </c>
      <c r="E76" t="s">
        <v>1262</v>
      </c>
    </row>
    <row r="77" spans="1:8" hidden="1" outlineLevel="1">
      <c r="A77" t="s">
        <v>1265</v>
      </c>
      <c r="B77" t="s">
        <v>1266</v>
      </c>
      <c r="C77" t="s">
        <v>1308</v>
      </c>
      <c r="D77" t="s">
        <v>1275</v>
      </c>
      <c r="E77" t="s">
        <v>1282</v>
      </c>
    </row>
    <row r="78" spans="1:8" hidden="1" outlineLevel="1">
      <c r="A78" t="s">
        <v>1277</v>
      </c>
      <c r="B78" t="s">
        <v>1278</v>
      </c>
      <c r="C78" t="s">
        <v>1309</v>
      </c>
      <c r="D78" t="s">
        <v>1259</v>
      </c>
      <c r="E78" t="s">
        <v>1277</v>
      </c>
    </row>
    <row r="79" spans="1:8" hidden="1" outlineLevel="1">
      <c r="A79" t="s">
        <v>1261</v>
      </c>
      <c r="B79" t="s">
        <v>1262</v>
      </c>
      <c r="C79" t="s">
        <v>1310</v>
      </c>
      <c r="D79" t="s">
        <v>1264</v>
      </c>
      <c r="E79" t="s">
        <v>1262</v>
      </c>
      <c r="F79" t="s">
        <v>1283</v>
      </c>
    </row>
    <row r="80" spans="1:8" hidden="1" outlineLevel="1">
      <c r="A80" t="s">
        <v>1284</v>
      </c>
      <c r="B80" t="s">
        <v>1285</v>
      </c>
      <c r="C80" t="s">
        <v>1311</v>
      </c>
      <c r="D80" t="s">
        <v>1312</v>
      </c>
      <c r="E80" t="s">
        <v>1284</v>
      </c>
    </row>
    <row r="81" spans="1:8" hidden="1" outlineLevel="1">
      <c r="A81" t="s">
        <v>1288</v>
      </c>
      <c r="B81" t="s">
        <v>1289</v>
      </c>
      <c r="C81" t="s">
        <v>1313</v>
      </c>
      <c r="D81" t="s">
        <v>1314</v>
      </c>
      <c r="E81" t="s">
        <v>1289</v>
      </c>
      <c r="F81" t="s">
        <v>1315</v>
      </c>
    </row>
    <row r="82" spans="1:8" hidden="1" outlineLevel="1">
      <c r="A82" t="s">
        <v>1261</v>
      </c>
      <c r="B82" t="s">
        <v>1262</v>
      </c>
      <c r="C82" t="s">
        <v>1316</v>
      </c>
      <c r="D82" t="s">
        <v>1264</v>
      </c>
      <c r="E82" t="s">
        <v>1262</v>
      </c>
    </row>
    <row r="83" spans="1:8" hidden="1" outlineLevel="1">
      <c r="A83" t="s">
        <v>1265</v>
      </c>
      <c r="B83" t="s">
        <v>1266</v>
      </c>
      <c r="C83" t="s">
        <v>1317</v>
      </c>
      <c r="E83" t="s">
        <v>1318</v>
      </c>
    </row>
    <row r="84" spans="1:8" ht="15.6" hidden="1" outlineLevel="1">
      <c r="A84" s="366" t="s">
        <v>1319</v>
      </c>
      <c r="B84" s="367"/>
      <c r="C84" s="367"/>
      <c r="D84" s="367"/>
      <c r="E84" s="367"/>
      <c r="F84" s="367"/>
      <c r="G84" s="367"/>
      <c r="H84" s="367"/>
    </row>
    <row r="85" spans="1:8" hidden="1" outlineLevel="1"/>
    <row r="86" spans="1:8" hidden="1" outlineLevel="1">
      <c r="A86" s="237" t="s">
        <v>1252</v>
      </c>
      <c r="B86" s="237" t="s">
        <v>1125</v>
      </c>
      <c r="C86" s="237" t="s">
        <v>955</v>
      </c>
      <c r="D86" s="237" t="s">
        <v>1320</v>
      </c>
      <c r="E86" s="237" t="s">
        <v>1255</v>
      </c>
      <c r="F86" s="237" t="s">
        <v>1128</v>
      </c>
      <c r="G86" s="237"/>
      <c r="H86" s="237"/>
    </row>
    <row r="87" spans="1:8" hidden="1" outlineLevel="1">
      <c r="A87" t="s">
        <v>1321</v>
      </c>
      <c r="B87" t="s">
        <v>1322</v>
      </c>
      <c r="C87" t="s">
        <v>1323</v>
      </c>
      <c r="D87" t="s">
        <v>1324</v>
      </c>
      <c r="E87" t="s">
        <v>1325</v>
      </c>
      <c r="F87" t="s">
        <v>1326</v>
      </c>
    </row>
    <row r="88" spans="1:8" hidden="1" outlineLevel="1">
      <c r="A88" t="s">
        <v>1327</v>
      </c>
      <c r="B88" t="s">
        <v>1328</v>
      </c>
      <c r="C88" t="s">
        <v>1329</v>
      </c>
      <c r="D88" t="s">
        <v>1330</v>
      </c>
      <c r="E88" t="s">
        <v>1331</v>
      </c>
      <c r="F88" t="s">
        <v>1332</v>
      </c>
    </row>
    <row r="89" spans="1:8" hidden="1" outlineLevel="1">
      <c r="A89" t="s">
        <v>1333</v>
      </c>
      <c r="B89" t="s">
        <v>1334</v>
      </c>
      <c r="C89" t="s">
        <v>1335</v>
      </c>
      <c r="D89" t="s">
        <v>1336</v>
      </c>
      <c r="E89" t="s">
        <v>1337</v>
      </c>
      <c r="F89" t="s">
        <v>1338</v>
      </c>
    </row>
    <row r="90" spans="1:8" hidden="1" outlineLevel="1"/>
    <row r="91" spans="1:8" hidden="1" outlineLevel="1"/>
    <row r="92" spans="1:8" hidden="1" outlineLevel="1">
      <c r="A92" s="12" t="s">
        <v>1339</v>
      </c>
    </row>
    <row r="93" spans="1:8" hidden="1" outlineLevel="1">
      <c r="A93" t="s">
        <v>1340</v>
      </c>
    </row>
    <row r="94" spans="1:8" hidden="1" outlineLevel="1">
      <c r="A94" t="s">
        <v>1341</v>
      </c>
    </row>
    <row r="95" spans="1:8" hidden="1" outlineLevel="1">
      <c r="A95" s="232" t="s">
        <v>1342</v>
      </c>
      <c r="B95" s="232"/>
      <c r="C95" s="234"/>
      <c r="D95" s="232"/>
      <c r="E95" s="232"/>
      <c r="F95" s="232"/>
      <c r="G95" s="232"/>
      <c r="H95" s="232"/>
    </row>
    <row r="96" spans="1:8" hidden="1" outlineLevel="1">
      <c r="A96" s="232" t="s">
        <v>1343</v>
      </c>
      <c r="B96" s="232"/>
      <c r="C96" s="234"/>
      <c r="D96" s="232"/>
      <c r="E96" s="232"/>
      <c r="F96" s="232"/>
      <c r="G96" s="232"/>
      <c r="H96" s="232"/>
    </row>
    <row r="97" spans="1:8" ht="15.6" hidden="1" outlineLevel="1">
      <c r="A97" s="370" t="s">
        <v>1344</v>
      </c>
      <c r="B97" s="370"/>
      <c r="C97" s="370"/>
      <c r="D97" s="370"/>
      <c r="E97" s="370"/>
      <c r="F97" s="370"/>
      <c r="G97" s="370"/>
      <c r="H97" s="370"/>
    </row>
    <row r="98" spans="1:8" hidden="1" outlineLevel="1">
      <c r="A98" s="232"/>
      <c r="B98" s="232"/>
      <c r="C98" s="234"/>
      <c r="D98" s="232"/>
      <c r="E98" s="232"/>
      <c r="F98" s="232"/>
      <c r="G98" s="232"/>
      <c r="H98" s="232"/>
    </row>
    <row r="99" spans="1:8" ht="15.6" hidden="1" outlineLevel="1">
      <c r="A99" s="364" t="s">
        <v>1345</v>
      </c>
      <c r="B99" s="365"/>
      <c r="C99" s="365"/>
      <c r="D99" s="365"/>
      <c r="E99" s="365"/>
      <c r="F99" s="365"/>
      <c r="G99" s="365"/>
      <c r="H99" s="365"/>
    </row>
    <row r="100" spans="1:8" hidden="1" outlineLevel="1">
      <c r="A100" s="232" t="s">
        <v>1346</v>
      </c>
      <c r="B100" s="232"/>
      <c r="C100" s="234"/>
      <c r="D100" s="232"/>
      <c r="E100" s="232"/>
      <c r="F100" s="232"/>
      <c r="G100" s="232"/>
      <c r="H100" s="232"/>
    </row>
    <row r="101" spans="1:8" hidden="1" outlineLevel="1">
      <c r="A101" s="239" t="s">
        <v>1252</v>
      </c>
      <c r="B101" s="239" t="s">
        <v>1125</v>
      </c>
      <c r="C101" s="240" t="s">
        <v>955</v>
      </c>
      <c r="D101" s="239" t="s">
        <v>1320</v>
      </c>
      <c r="E101" s="239" t="s">
        <v>1255</v>
      </c>
      <c r="F101" s="239" t="s">
        <v>1128</v>
      </c>
      <c r="G101" s="239"/>
      <c r="H101" s="239"/>
    </row>
    <row r="102" spans="1:8" hidden="1" outlineLevel="1">
      <c r="A102" s="232" t="s">
        <v>1347</v>
      </c>
      <c r="B102" s="232" t="s">
        <v>1348</v>
      </c>
      <c r="C102" s="234" t="s">
        <v>1349</v>
      </c>
      <c r="D102" s="232" t="s">
        <v>1350</v>
      </c>
      <c r="E102" s="232" t="s">
        <v>1351</v>
      </c>
      <c r="F102" s="232" t="s">
        <v>1352</v>
      </c>
      <c r="G102" s="232"/>
      <c r="H102" s="232"/>
    </row>
    <row r="103" spans="1:8" hidden="1" outlineLevel="1">
      <c r="A103" s="232" t="s">
        <v>1353</v>
      </c>
      <c r="B103" s="232" t="s">
        <v>1354</v>
      </c>
      <c r="C103" s="234" t="s">
        <v>1355</v>
      </c>
      <c r="D103" s="232" t="s">
        <v>1356</v>
      </c>
      <c r="E103" s="232" t="s">
        <v>1357</v>
      </c>
      <c r="F103" s="232" t="s">
        <v>1358</v>
      </c>
      <c r="G103" s="232"/>
      <c r="H103" s="232"/>
    </row>
    <row r="104" spans="1:8" hidden="1" outlineLevel="1">
      <c r="A104" s="233" t="s">
        <v>1359</v>
      </c>
      <c r="B104" s="233" t="s">
        <v>1360</v>
      </c>
      <c r="C104" s="235" t="s">
        <v>1361</v>
      </c>
      <c r="D104" s="233" t="s">
        <v>1362</v>
      </c>
      <c r="E104" s="233" t="s">
        <v>1363</v>
      </c>
      <c r="F104" s="233" t="s">
        <v>1364</v>
      </c>
      <c r="G104" s="233"/>
      <c r="H104" s="233"/>
    </row>
    <row r="105" spans="1:8" hidden="1" outlineLevel="1">
      <c r="A105" s="238" t="s">
        <v>1365</v>
      </c>
      <c r="B105" s="232"/>
      <c r="C105" s="234"/>
      <c r="D105" s="232"/>
      <c r="E105" s="232"/>
      <c r="F105" s="232"/>
      <c r="G105" s="232"/>
      <c r="H105" s="232"/>
    </row>
    <row r="106" spans="1:8" hidden="1" outlineLevel="1">
      <c r="A106" s="232" t="s">
        <v>1366</v>
      </c>
      <c r="B106" s="232"/>
      <c r="C106" s="234"/>
      <c r="D106" s="232"/>
      <c r="E106" s="232"/>
      <c r="F106" s="232"/>
      <c r="G106" s="232"/>
      <c r="H106" s="232"/>
    </row>
    <row r="107" spans="1:8" hidden="1" outlineLevel="1">
      <c r="A107" t="s">
        <v>1367</v>
      </c>
    </row>
    <row r="108" spans="1:8" hidden="1" outlineLevel="1">
      <c r="A108" t="s">
        <v>1368</v>
      </c>
    </row>
    <row r="109" spans="1:8" hidden="1" outlineLevel="1">
      <c r="A109" t="s">
        <v>1369</v>
      </c>
    </row>
    <row r="110" spans="1:8" hidden="1" outlineLevel="1">
      <c r="A110" t="s">
        <v>1370</v>
      </c>
    </row>
    <row r="111" spans="1:8" hidden="1" outlineLevel="1">
      <c r="A111" t="s">
        <v>1371</v>
      </c>
    </row>
    <row r="112" spans="1:8" ht="15.6" hidden="1" outlineLevel="1">
      <c r="A112" s="236" t="s">
        <v>1372</v>
      </c>
    </row>
    <row r="113" spans="1:8" hidden="1" outlineLevel="1">
      <c r="A113" t="s">
        <v>1373</v>
      </c>
    </row>
    <row r="114" spans="1:8" hidden="1" outlineLevel="1">
      <c r="A114" s="237" t="s">
        <v>1374</v>
      </c>
      <c r="B114" s="237" t="s">
        <v>1125</v>
      </c>
      <c r="C114" s="237" t="s">
        <v>1253</v>
      </c>
      <c r="D114" s="237" t="s">
        <v>955</v>
      </c>
      <c r="E114" s="237" t="s">
        <v>1375</v>
      </c>
      <c r="F114" s="237" t="s">
        <v>1376</v>
      </c>
      <c r="G114" s="237" t="s">
        <v>1130</v>
      </c>
      <c r="H114" s="237"/>
    </row>
    <row r="115" spans="1:8" ht="43.2" hidden="1" outlineLevel="1">
      <c r="A115" t="s">
        <v>1377</v>
      </c>
      <c r="B115" t="s">
        <v>1377</v>
      </c>
      <c r="C115" s="21" t="s">
        <v>1378</v>
      </c>
      <c r="D115" t="s">
        <v>1189</v>
      </c>
      <c r="E115" t="s">
        <v>1379</v>
      </c>
      <c r="F115" t="s">
        <v>1380</v>
      </c>
      <c r="G115" t="s">
        <v>1381</v>
      </c>
    </row>
    <row r="116" spans="1:8" ht="43.2" hidden="1" outlineLevel="1">
      <c r="A116" t="s">
        <v>570</v>
      </c>
      <c r="B116" t="s">
        <v>570</v>
      </c>
      <c r="C116" s="21" t="s">
        <v>1382</v>
      </c>
      <c r="D116" t="s">
        <v>1383</v>
      </c>
      <c r="E116" t="s">
        <v>1384</v>
      </c>
      <c r="F116" t="s">
        <v>1385</v>
      </c>
      <c r="G116" t="s">
        <v>1381</v>
      </c>
    </row>
    <row r="117" spans="1:8" hidden="1" outlineLevel="1">
      <c r="A117" t="s">
        <v>1386</v>
      </c>
      <c r="B117" t="s">
        <v>1387</v>
      </c>
      <c r="C117" t="s">
        <v>1388</v>
      </c>
      <c r="D117" t="s">
        <v>1389</v>
      </c>
      <c r="E117" t="s">
        <v>1390</v>
      </c>
      <c r="F117" t="s">
        <v>1391</v>
      </c>
      <c r="G117" t="s">
        <v>1392</v>
      </c>
    </row>
    <row r="118" spans="1:8" hidden="1" outlineLevel="1">
      <c r="A118" t="s">
        <v>1393</v>
      </c>
      <c r="B118" t="s">
        <v>1394</v>
      </c>
      <c r="C118" t="s">
        <v>1395</v>
      </c>
      <c r="D118" t="s">
        <v>1396</v>
      </c>
      <c r="E118" t="s">
        <v>1397</v>
      </c>
      <c r="F118" t="s">
        <v>1398</v>
      </c>
      <c r="G118" t="s">
        <v>1392</v>
      </c>
    </row>
    <row r="119" spans="1:8" hidden="1" outlineLevel="1">
      <c r="A119" t="s">
        <v>1399</v>
      </c>
      <c r="B119" t="s">
        <v>573</v>
      </c>
      <c r="C119" t="s">
        <v>1400</v>
      </c>
      <c r="D119" t="s">
        <v>1401</v>
      </c>
      <c r="E119" t="s">
        <v>1402</v>
      </c>
      <c r="F119" t="s">
        <v>1403</v>
      </c>
      <c r="G119" t="s">
        <v>1404</v>
      </c>
    </row>
    <row r="120" spans="1:8" hidden="1" outlineLevel="1">
      <c r="A120" t="s">
        <v>1405</v>
      </c>
      <c r="B120" t="s">
        <v>1406</v>
      </c>
      <c r="C120" t="s">
        <v>1407</v>
      </c>
      <c r="D120" t="s">
        <v>1405</v>
      </c>
      <c r="E120" t="s">
        <v>1408</v>
      </c>
      <c r="F120" t="s">
        <v>1409</v>
      </c>
      <c r="G120" t="s">
        <v>1410</v>
      </c>
    </row>
    <row r="121" spans="1:8" hidden="1" outlineLevel="1">
      <c r="A121" t="s">
        <v>1411</v>
      </c>
      <c r="B121" t="s">
        <v>1328</v>
      </c>
      <c r="C121" t="s">
        <v>1412</v>
      </c>
      <c r="D121" t="s">
        <v>1413</v>
      </c>
      <c r="E121" t="s">
        <v>1332</v>
      </c>
      <c r="F121" t="s">
        <v>1414</v>
      </c>
      <c r="G121" t="s">
        <v>1415</v>
      </c>
    </row>
    <row r="122" spans="1:8" hidden="1" outlineLevel="1">
      <c r="A122" t="s">
        <v>1416</v>
      </c>
      <c r="B122" t="s">
        <v>1417</v>
      </c>
      <c r="C122" t="s">
        <v>1418</v>
      </c>
      <c r="D122" t="s">
        <v>1419</v>
      </c>
      <c r="E122" t="s">
        <v>1338</v>
      </c>
      <c r="F122" t="s">
        <v>1420</v>
      </c>
      <c r="G122" t="s">
        <v>1421</v>
      </c>
    </row>
    <row r="123" spans="1:8" hidden="1" outlineLevel="1">
      <c r="A123" t="s">
        <v>1422</v>
      </c>
      <c r="B123" t="s">
        <v>1348</v>
      </c>
      <c r="C123" t="s">
        <v>1423</v>
      </c>
      <c r="D123" t="s">
        <v>1424</v>
      </c>
      <c r="E123" t="s">
        <v>1352</v>
      </c>
      <c r="F123" t="s">
        <v>1425</v>
      </c>
      <c r="G123" t="s">
        <v>1426</v>
      </c>
    </row>
    <row r="124" spans="1:8" hidden="1" outlineLevel="1">
      <c r="A124" t="s">
        <v>1354</v>
      </c>
      <c r="B124" t="s">
        <v>1354</v>
      </c>
      <c r="C124" t="s">
        <v>1427</v>
      </c>
      <c r="D124" t="s">
        <v>1428</v>
      </c>
      <c r="E124" t="s">
        <v>1358</v>
      </c>
      <c r="F124" t="s">
        <v>1429</v>
      </c>
      <c r="G124" t="s">
        <v>1430</v>
      </c>
    </row>
    <row r="125" spans="1:8" hidden="1" outlineLevel="1">
      <c r="A125" t="s">
        <v>1431</v>
      </c>
      <c r="B125" t="s">
        <v>1432</v>
      </c>
      <c r="C125" t="s">
        <v>1433</v>
      </c>
      <c r="D125" t="s">
        <v>1434</v>
      </c>
      <c r="E125" t="s">
        <v>1435</v>
      </c>
      <c r="F125" t="s">
        <v>1436</v>
      </c>
      <c r="G125" t="s">
        <v>1437</v>
      </c>
    </row>
    <row r="126" spans="1:8" hidden="1" outlineLevel="1">
      <c r="A126" t="s">
        <v>1438</v>
      </c>
      <c r="B126" t="s">
        <v>1439</v>
      </c>
      <c r="C126" t="s">
        <v>1440</v>
      </c>
      <c r="D126" t="s">
        <v>1441</v>
      </c>
      <c r="E126" t="s">
        <v>1442</v>
      </c>
      <c r="F126" t="s">
        <v>1443</v>
      </c>
      <c r="G126" t="s">
        <v>1444</v>
      </c>
    </row>
    <row r="127" spans="1:8" ht="15.6" hidden="1" outlineLevel="1">
      <c r="A127" s="236" t="s">
        <v>1445</v>
      </c>
    </row>
    <row r="128" spans="1:8" hidden="1" outlineLevel="1">
      <c r="A128" t="s">
        <v>1446</v>
      </c>
    </row>
    <row r="129" spans="1:8" hidden="1" outlineLevel="1">
      <c r="A129" s="237" t="s">
        <v>1447</v>
      </c>
      <c r="B129" s="237" t="s">
        <v>1320</v>
      </c>
      <c r="C129" s="237" t="s">
        <v>1253</v>
      </c>
      <c r="D129" s="237" t="s">
        <v>1448</v>
      </c>
      <c r="E129" s="237" t="s">
        <v>1449</v>
      </c>
      <c r="F129" s="237" t="s">
        <v>1130</v>
      </c>
      <c r="G129" s="237"/>
      <c r="H129" s="237"/>
    </row>
    <row r="130" spans="1:8" hidden="1" outlineLevel="1">
      <c r="A130" t="s">
        <v>1450</v>
      </c>
      <c r="B130" t="s">
        <v>1451</v>
      </c>
      <c r="C130" t="s">
        <v>1452</v>
      </c>
      <c r="D130" t="s">
        <v>1453</v>
      </c>
      <c r="E130" t="s">
        <v>1454</v>
      </c>
      <c r="F130" t="s">
        <v>1455</v>
      </c>
    </row>
    <row r="131" spans="1:8" hidden="1" outlineLevel="1">
      <c r="A131" t="s">
        <v>1456</v>
      </c>
      <c r="B131" t="s">
        <v>1457</v>
      </c>
      <c r="C131" t="s">
        <v>1458</v>
      </c>
      <c r="D131" t="s">
        <v>1459</v>
      </c>
      <c r="E131" t="s">
        <v>1460</v>
      </c>
      <c r="F131" t="s">
        <v>1461</v>
      </c>
    </row>
    <row r="132" spans="1:8" hidden="1" outlineLevel="1">
      <c r="A132" t="s">
        <v>1462</v>
      </c>
      <c r="B132" t="s">
        <v>1463</v>
      </c>
      <c r="C132" t="s">
        <v>1464</v>
      </c>
      <c r="D132" t="s">
        <v>1465</v>
      </c>
      <c r="E132" t="s">
        <v>1391</v>
      </c>
      <c r="F132" t="s">
        <v>1466</v>
      </c>
    </row>
    <row r="133" spans="1:8" hidden="1" outlineLevel="1">
      <c r="A133" t="s">
        <v>1467</v>
      </c>
      <c r="B133" t="s">
        <v>1468</v>
      </c>
      <c r="C133" t="s">
        <v>1469</v>
      </c>
      <c r="D133" t="s">
        <v>1470</v>
      </c>
      <c r="E133" t="s">
        <v>1471</v>
      </c>
      <c r="F133" t="s">
        <v>1472</v>
      </c>
    </row>
    <row r="134" spans="1:8" hidden="1" outlineLevel="1">
      <c r="A134" t="s">
        <v>1473</v>
      </c>
      <c r="B134" t="s">
        <v>1474</v>
      </c>
      <c r="C134" t="s">
        <v>1475</v>
      </c>
      <c r="D134" t="s">
        <v>1476</v>
      </c>
      <c r="E134" t="s">
        <v>1477</v>
      </c>
      <c r="F134" t="s">
        <v>1478</v>
      </c>
    </row>
    <row r="135" spans="1:8" ht="43.2" hidden="1" outlineLevel="1">
      <c r="A135" t="s">
        <v>1479</v>
      </c>
      <c r="B135" t="s">
        <v>1480</v>
      </c>
      <c r="C135" t="s">
        <v>1481</v>
      </c>
      <c r="D135" t="s">
        <v>1482</v>
      </c>
      <c r="E135" s="21" t="s">
        <v>1483</v>
      </c>
      <c r="F135" t="s">
        <v>1484</v>
      </c>
    </row>
    <row r="136" spans="1:8" hidden="1" outlineLevel="1"/>
    <row r="137" spans="1:8" ht="15.6" collapsed="1">
      <c r="A137" s="366" t="s">
        <v>1485</v>
      </c>
      <c r="B137" s="367"/>
      <c r="C137" s="367"/>
      <c r="D137" s="367"/>
      <c r="E137" s="367"/>
      <c r="F137" s="367"/>
      <c r="G137" s="367"/>
      <c r="H137" s="367"/>
    </row>
    <row r="139" spans="1:8">
      <c r="A139" t="s">
        <v>1486</v>
      </c>
    </row>
    <row r="140" spans="1:8">
      <c r="A140" t="s">
        <v>1487</v>
      </c>
    </row>
    <row r="141" spans="1:8">
      <c r="A141" t="s">
        <v>1488</v>
      </c>
    </row>
    <row r="142" spans="1:8">
      <c r="A142" t="s">
        <v>1489</v>
      </c>
    </row>
    <row r="143" spans="1:8">
      <c r="A143" t="s">
        <v>1490</v>
      </c>
    </row>
    <row r="144" spans="1:8">
      <c r="A144" t="s">
        <v>1491</v>
      </c>
    </row>
    <row r="145" spans="1:3">
      <c r="A145" t="s">
        <v>1492</v>
      </c>
      <c r="B145" t="s">
        <v>1493</v>
      </c>
    </row>
    <row r="146" spans="1:3">
      <c r="A146" t="s">
        <v>1494</v>
      </c>
    </row>
    <row r="147" spans="1:3">
      <c r="A147" t="s">
        <v>1495</v>
      </c>
    </row>
    <row r="148" spans="1:3">
      <c r="A148" s="211" t="s">
        <v>1496</v>
      </c>
      <c r="B148" t="s">
        <v>1497</v>
      </c>
    </row>
    <row r="149" spans="1:3">
      <c r="A149" s="241" t="s">
        <v>1498</v>
      </c>
      <c r="B149" t="s">
        <v>1499</v>
      </c>
    </row>
    <row r="150" spans="1:3">
      <c r="A150" s="247" t="s">
        <v>1500</v>
      </c>
      <c r="B150" s="247" t="s">
        <v>1435</v>
      </c>
      <c r="C150" s="247" t="s">
        <v>1501</v>
      </c>
    </row>
    <row r="151" spans="1:3">
      <c r="A151" t="s">
        <v>1502</v>
      </c>
    </row>
    <row r="152" spans="1:3">
      <c r="A152" t="s">
        <v>1503</v>
      </c>
    </row>
    <row r="153" spans="1:3">
      <c r="A153" t="s">
        <v>1504</v>
      </c>
    </row>
    <row r="154" spans="1:3">
      <c r="A154" t="s">
        <v>1505</v>
      </c>
    </row>
    <row r="155" spans="1:3">
      <c r="A155" t="s">
        <v>1506</v>
      </c>
    </row>
    <row r="156" spans="1:3">
      <c r="A156" t="s">
        <v>1507</v>
      </c>
    </row>
    <row r="157" spans="1:3">
      <c r="A157" t="s">
        <v>1508</v>
      </c>
    </row>
    <row r="158" spans="1:3">
      <c r="A158" s="211" t="s">
        <v>1509</v>
      </c>
      <c r="B158" s="211" t="s">
        <v>1510</v>
      </c>
      <c r="C158" s="211"/>
    </row>
    <row r="159" spans="1:3">
      <c r="A159" t="s">
        <v>1511</v>
      </c>
    </row>
    <row r="160" spans="1:3">
      <c r="A160" t="s">
        <v>1512</v>
      </c>
    </row>
    <row r="161" spans="1:2">
      <c r="A161" t="s">
        <v>1513</v>
      </c>
      <c r="B161" t="s">
        <v>1514</v>
      </c>
    </row>
    <row r="162" spans="1:2">
      <c r="A162" s="222" t="s">
        <v>1515</v>
      </c>
      <c r="B162" t="s">
        <v>1516</v>
      </c>
    </row>
    <row r="163" spans="1:2">
      <c r="A163" t="s">
        <v>1500</v>
      </c>
      <c r="B163" t="s">
        <v>1517</v>
      </c>
    </row>
    <row r="164" spans="1:2">
      <c r="A164" t="s">
        <v>1518</v>
      </c>
    </row>
    <row r="165" spans="1:2">
      <c r="A165" t="s">
        <v>1502</v>
      </c>
    </row>
    <row r="166" spans="1:2">
      <c r="A166" s="246" t="s">
        <v>1519</v>
      </c>
    </row>
    <row r="167" spans="1:2">
      <c r="A167" s="246" t="s">
        <v>1520</v>
      </c>
    </row>
    <row r="168" spans="1:2">
      <c r="A168" s="245" t="s">
        <v>1521</v>
      </c>
    </row>
    <row r="169" spans="1:2">
      <c r="A169" t="s">
        <v>1503</v>
      </c>
    </row>
    <row r="170" spans="1:2">
      <c r="A170" s="246" t="s">
        <v>1519</v>
      </c>
    </row>
    <row r="171" spans="1:2">
      <c r="A171" s="246" t="s">
        <v>1522</v>
      </c>
    </row>
    <row r="172" spans="1:2">
      <c r="A172" s="245" t="s">
        <v>1523</v>
      </c>
    </row>
    <row r="173" spans="1:2">
      <c r="A173" t="s">
        <v>1504</v>
      </c>
    </row>
    <row r="174" spans="1:2">
      <c r="A174" t="s">
        <v>1524</v>
      </c>
    </row>
    <row r="175" spans="1:2">
      <c r="A175" t="s">
        <v>1525</v>
      </c>
    </row>
    <row r="176" spans="1:2">
      <c r="A176" t="s">
        <v>1526</v>
      </c>
    </row>
    <row r="177" spans="1:2">
      <c r="A177" s="245" t="s">
        <v>1527</v>
      </c>
      <c r="B177" t="s">
        <v>1528</v>
      </c>
    </row>
    <row r="178" spans="1:2">
      <c r="A178" t="s">
        <v>1529</v>
      </c>
    </row>
    <row r="179" spans="1:2">
      <c r="A179" t="s">
        <v>1530</v>
      </c>
    </row>
    <row r="180" spans="1:2">
      <c r="A180" t="s">
        <v>1531</v>
      </c>
      <c r="B180" t="s">
        <v>1532</v>
      </c>
    </row>
    <row r="181" spans="1:2">
      <c r="A181" t="s">
        <v>1533</v>
      </c>
    </row>
    <row r="182" spans="1:2">
      <c r="A182" t="s">
        <v>1534</v>
      </c>
    </row>
    <row r="183" spans="1:2">
      <c r="A183" t="s">
        <v>1531</v>
      </c>
    </row>
    <row r="184" spans="1:2">
      <c r="A184" t="s">
        <v>1535</v>
      </c>
      <c r="B184" t="s">
        <v>1536</v>
      </c>
    </row>
    <row r="185" spans="1:2">
      <c r="A185" t="s">
        <v>1537</v>
      </c>
    </row>
    <row r="186" spans="1:2">
      <c r="A186" t="s">
        <v>1538</v>
      </c>
    </row>
    <row r="187" spans="1:2">
      <c r="A187" t="s">
        <v>1531</v>
      </c>
      <c r="B187" t="s">
        <v>1539</v>
      </c>
    </row>
    <row r="188" spans="1:2">
      <c r="A188" t="s">
        <v>1505</v>
      </c>
    </row>
    <row r="189" spans="1:2">
      <c r="A189" t="s">
        <v>1540</v>
      </c>
    </row>
    <row r="190" spans="1:2">
      <c r="A190" s="245" t="s">
        <v>1541</v>
      </c>
    </row>
    <row r="191" spans="1:2">
      <c r="A191" t="s">
        <v>1525</v>
      </c>
    </row>
    <row r="192" spans="1:2">
      <c r="A192" t="s">
        <v>1531</v>
      </c>
    </row>
    <row r="193" spans="1:2">
      <c r="A193" t="s">
        <v>1529</v>
      </c>
    </row>
    <row r="194" spans="1:2">
      <c r="A194" t="s">
        <v>1534</v>
      </c>
      <c r="B194" t="s">
        <v>1542</v>
      </c>
    </row>
    <row r="195" spans="1:2">
      <c r="A195" t="s">
        <v>1531</v>
      </c>
    </row>
    <row r="196" spans="1:2">
      <c r="A196" t="s">
        <v>1533</v>
      </c>
    </row>
    <row r="197" spans="1:2">
      <c r="A197" t="s">
        <v>1534</v>
      </c>
    </row>
    <row r="198" spans="1:2">
      <c r="A198" t="s">
        <v>1531</v>
      </c>
    </row>
    <row r="199" spans="1:2">
      <c r="A199" t="s">
        <v>1535</v>
      </c>
      <c r="B199" t="s">
        <v>1543</v>
      </c>
    </row>
    <row r="200" spans="1:2">
      <c r="A200" s="245" t="s">
        <v>1537</v>
      </c>
    </row>
    <row r="201" spans="1:2">
      <c r="A201" t="s">
        <v>1544</v>
      </c>
    </row>
    <row r="202" spans="1:2">
      <c r="A202" t="s">
        <v>1531</v>
      </c>
    </row>
    <row r="203" spans="1:2">
      <c r="A203" t="s">
        <v>1506</v>
      </c>
    </row>
    <row r="204" spans="1:2">
      <c r="A204" t="s">
        <v>1507</v>
      </c>
    </row>
    <row r="205" spans="1:2">
      <c r="A205" t="s">
        <v>1545</v>
      </c>
    </row>
    <row r="206" spans="1:2">
      <c r="A206" t="s">
        <v>1546</v>
      </c>
      <c r="B206" t="s">
        <v>1547</v>
      </c>
    </row>
    <row r="207" spans="1:2">
      <c r="A207" t="s">
        <v>1508</v>
      </c>
    </row>
    <row r="208" spans="1:2">
      <c r="A208" t="s">
        <v>1548</v>
      </c>
    </row>
    <row r="209" spans="1:2">
      <c r="A209" t="s">
        <v>1549</v>
      </c>
    </row>
    <row r="210" spans="1:2">
      <c r="A210" t="s">
        <v>1550</v>
      </c>
    </row>
    <row r="211" spans="1:2">
      <c r="A211" t="s">
        <v>1551</v>
      </c>
    </row>
    <row r="212" spans="1:2">
      <c r="A212" t="s">
        <v>1552</v>
      </c>
    </row>
    <row r="213" spans="1:2">
      <c r="A213" t="s">
        <v>1553</v>
      </c>
      <c r="B213" t="s">
        <v>1547</v>
      </c>
    </row>
    <row r="214" spans="1:2">
      <c r="A214" t="s">
        <v>1554</v>
      </c>
    </row>
    <row r="215" spans="1:2">
      <c r="A215" t="s">
        <v>1555</v>
      </c>
    </row>
    <row r="216" spans="1:2">
      <c r="A216" t="s">
        <v>1556</v>
      </c>
    </row>
    <row r="217" spans="1:2">
      <c r="A217" t="s">
        <v>1557</v>
      </c>
    </row>
    <row r="218" spans="1:2">
      <c r="A218" t="s">
        <v>1558</v>
      </c>
    </row>
    <row r="219" spans="1:2">
      <c r="A219" t="s">
        <v>1559</v>
      </c>
    </row>
    <row r="220" spans="1:2">
      <c r="A220" t="s">
        <v>1560</v>
      </c>
    </row>
    <row r="221" spans="1:2">
      <c r="A221" s="211" t="s">
        <v>1509</v>
      </c>
    </row>
    <row r="222" spans="1:2">
      <c r="A222" t="s">
        <v>1561</v>
      </c>
    </row>
    <row r="223" spans="1:2">
      <c r="A223" t="s">
        <v>1562</v>
      </c>
      <c r="B223" t="s">
        <v>1514</v>
      </c>
    </row>
    <row r="224" spans="1:2">
      <c r="A224" t="s">
        <v>1563</v>
      </c>
      <c r="B224" t="s">
        <v>1564</v>
      </c>
    </row>
    <row r="225" spans="1:1">
      <c r="A225" s="211" t="s">
        <v>1565</v>
      </c>
    </row>
    <row r="226" spans="1:1">
      <c r="A226" t="s">
        <v>1566</v>
      </c>
    </row>
    <row r="227" spans="1:1">
      <c r="A227" t="s">
        <v>1567</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topRight" activeCell="E32" sqref="E32"/>
      <selection pane="bottomLeft" activeCell="E32" sqref="E32"/>
      <selection pane="bottomRight" activeCell="M29" sqref="M29"/>
    </sheetView>
  </sheetViews>
  <sheetFormatPr defaultRowHeight="14.4"/>
  <cols>
    <col min="1" max="2" width="13.5546875" bestFit="1" customWidth="1"/>
    <col min="3" max="3" width="20.5546875" customWidth="1"/>
    <col min="4" max="4" width="26.5546875" bestFit="1" customWidth="1"/>
    <col min="5" max="7" width="25.44140625" customWidth="1"/>
    <col min="8" max="8" width="13.5546875" bestFit="1" customWidth="1"/>
  </cols>
  <sheetData>
    <row r="1" spans="1:9" ht="36">
      <c r="A1" s="116" t="s">
        <v>1568</v>
      </c>
      <c r="B1" s="116" t="s">
        <v>218</v>
      </c>
      <c r="C1" s="116" t="s">
        <v>1569</v>
      </c>
      <c r="D1" s="117" t="s">
        <v>1570</v>
      </c>
      <c r="E1" s="174" t="s">
        <v>211</v>
      </c>
      <c r="F1" s="174" t="s">
        <v>220</v>
      </c>
      <c r="G1" s="175" t="s">
        <v>1571</v>
      </c>
      <c r="H1" s="175" t="s">
        <v>7</v>
      </c>
      <c r="I1" s="175" t="s">
        <v>503</v>
      </c>
    </row>
    <row r="2" spans="1:9" ht="72">
      <c r="A2" t="s">
        <v>53</v>
      </c>
      <c r="B2" t="s">
        <v>310</v>
      </c>
      <c r="C2" t="s">
        <v>1572</v>
      </c>
      <c r="D2" s="21" t="s">
        <v>1573</v>
      </c>
      <c r="E2" s="21" t="s">
        <v>327</v>
      </c>
      <c r="F2" t="s">
        <v>285</v>
      </c>
      <c r="G2" t="s">
        <v>344</v>
      </c>
      <c r="H2" t="s">
        <v>298</v>
      </c>
      <c r="I2">
        <v>2026</v>
      </c>
    </row>
    <row r="3" spans="1:9">
      <c r="A3" t="s">
        <v>64</v>
      </c>
      <c r="B3" t="s">
        <v>284</v>
      </c>
      <c r="C3" t="s">
        <v>45</v>
      </c>
      <c r="E3" t="s">
        <v>267</v>
      </c>
      <c r="F3" t="s">
        <v>317</v>
      </c>
      <c r="G3" t="s">
        <v>304</v>
      </c>
      <c r="H3" t="s">
        <v>341</v>
      </c>
      <c r="I3">
        <v>2027</v>
      </c>
    </row>
    <row r="4" spans="1:9">
      <c r="A4" t="s">
        <v>73</v>
      </c>
      <c r="B4" t="s">
        <v>271</v>
      </c>
      <c r="C4" t="s">
        <v>372</v>
      </c>
      <c r="E4" t="s">
        <v>1574</v>
      </c>
      <c r="F4" t="s">
        <v>380</v>
      </c>
      <c r="G4" t="s">
        <v>322</v>
      </c>
      <c r="H4" t="s">
        <v>164</v>
      </c>
      <c r="I4">
        <v>2028</v>
      </c>
    </row>
    <row r="5" spans="1:9">
      <c r="A5" t="s">
        <v>292</v>
      </c>
      <c r="B5" t="s">
        <v>300</v>
      </c>
      <c r="C5" t="s">
        <v>137</v>
      </c>
      <c r="F5" t="s">
        <v>301</v>
      </c>
      <c r="G5" t="s">
        <v>56</v>
      </c>
      <c r="H5" t="s">
        <v>290</v>
      </c>
    </row>
    <row r="6" spans="1:9">
      <c r="B6" t="s">
        <v>321</v>
      </c>
      <c r="C6" t="s">
        <v>133</v>
      </c>
      <c r="F6" t="s">
        <v>354</v>
      </c>
      <c r="G6" t="s">
        <v>73</v>
      </c>
      <c r="H6" t="s">
        <v>306</v>
      </c>
    </row>
    <row r="7" spans="1:9">
      <c r="B7" t="s">
        <v>316</v>
      </c>
      <c r="F7" t="s">
        <v>367</v>
      </c>
      <c r="G7" t="s">
        <v>342</v>
      </c>
      <c r="H7" t="s">
        <v>282</v>
      </c>
    </row>
    <row r="8" spans="1:9">
      <c r="B8" t="s">
        <v>135</v>
      </c>
      <c r="F8" t="s">
        <v>311</v>
      </c>
      <c r="G8" t="s">
        <v>362</v>
      </c>
      <c r="H8" t="s">
        <v>149</v>
      </c>
    </row>
    <row r="9" spans="1:9">
      <c r="B9" t="s">
        <v>372</v>
      </c>
      <c r="F9" t="s">
        <v>273</v>
      </c>
      <c r="H9" t="s">
        <v>323</v>
      </c>
    </row>
    <row r="10" spans="1:9">
      <c r="B10" t="s">
        <v>392</v>
      </c>
      <c r="H10" t="s">
        <v>1575</v>
      </c>
    </row>
    <row r="11" spans="1:9">
      <c r="B11" t="s">
        <v>133</v>
      </c>
      <c r="H11" t="s">
        <v>271</v>
      </c>
    </row>
    <row r="12" spans="1:9">
      <c r="H12" t="s">
        <v>328</v>
      </c>
    </row>
    <row r="13" spans="1:9">
      <c r="H13" t="s">
        <v>308</v>
      </c>
    </row>
    <row r="14" spans="1:9">
      <c r="H14" t="s">
        <v>268</v>
      </c>
    </row>
    <row r="15" spans="1:9">
      <c r="H15" t="s">
        <v>427</v>
      </c>
    </row>
    <row r="16" spans="1:9">
      <c r="H16" t="s">
        <v>462</v>
      </c>
    </row>
    <row r="17" spans="8:8">
      <c r="H17" t="s">
        <v>352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4"/>
  <cols>
    <col min="1" max="1" width="35.6640625" customWidth="1"/>
    <col min="2" max="2" width="16.5546875" customWidth="1"/>
  </cols>
  <sheetData>
    <row r="1" spans="1:2" ht="17.399999999999999" thickBot="1">
      <c r="A1" s="255" t="s">
        <v>216</v>
      </c>
      <c r="B1" s="255" t="s">
        <v>212</v>
      </c>
    </row>
    <row r="2" spans="1:2" ht="17.399999999999999" thickBot="1">
      <c r="A2" s="256" t="s">
        <v>106</v>
      </c>
      <c r="B2" s="257" t="s">
        <v>269</v>
      </c>
    </row>
    <row r="3" spans="1:2" ht="17.399999999999999" thickBot="1">
      <c r="A3" s="256" t="s">
        <v>106</v>
      </c>
      <c r="B3" s="257" t="s">
        <v>269</v>
      </c>
    </row>
    <row r="4" spans="1:2" ht="17.399999999999999" thickBot="1">
      <c r="A4" s="256" t="s">
        <v>106</v>
      </c>
      <c r="B4" s="257" t="s">
        <v>269</v>
      </c>
    </row>
    <row r="5" spans="1:2" ht="17.399999999999999" thickBot="1">
      <c r="A5" s="256" t="s">
        <v>106</v>
      </c>
      <c r="B5" s="257" t="s">
        <v>269</v>
      </c>
    </row>
    <row r="6" spans="1:2" ht="17.399999999999999" thickBot="1">
      <c r="A6" s="256" t="s">
        <v>106</v>
      </c>
      <c r="B6" s="257" t="s">
        <v>269</v>
      </c>
    </row>
    <row r="7" spans="1:2" ht="17.399999999999999" thickBot="1">
      <c r="A7" s="256" t="s">
        <v>103</v>
      </c>
      <c r="B7" s="257" t="s">
        <v>269</v>
      </c>
    </row>
    <row r="8" spans="1:2" ht="17.399999999999999" thickBot="1">
      <c r="A8" s="256" t="s">
        <v>299</v>
      </c>
      <c r="B8" s="257" t="s">
        <v>269</v>
      </c>
    </row>
    <row r="9" spans="1:2" ht="17.399999999999999" thickBot="1">
      <c r="A9" s="256" t="s">
        <v>307</v>
      </c>
      <c r="B9" s="257" t="s">
        <v>269</v>
      </c>
    </row>
    <row r="10" spans="1:2" ht="17.399999999999999" thickBot="1">
      <c r="A10" s="256" t="s">
        <v>324</v>
      </c>
      <c r="B10" s="257" t="s">
        <v>269</v>
      </c>
    </row>
    <row r="11" spans="1:2" ht="17.399999999999999" thickBot="1">
      <c r="A11" s="256" t="s">
        <v>184</v>
      </c>
      <c r="B11" s="257" t="s">
        <v>269</v>
      </c>
    </row>
    <row r="12" spans="1:2" ht="17.399999999999999" thickBot="1">
      <c r="A12" s="256" t="s">
        <v>338</v>
      </c>
      <c r="B12" s="257" t="s">
        <v>269</v>
      </c>
    </row>
    <row r="13" spans="1:2" ht="17.399999999999999" thickBot="1">
      <c r="A13" s="256" t="s">
        <v>103</v>
      </c>
      <c r="B13" s="257" t="s">
        <v>269</v>
      </c>
    </row>
    <row r="14" spans="1:2" ht="17.399999999999999" thickBot="1">
      <c r="A14" s="256" t="s">
        <v>387</v>
      </c>
      <c r="B14" s="257" t="s">
        <v>313</v>
      </c>
    </row>
    <row r="15" spans="1:2" ht="17.399999999999999" thickBot="1">
      <c r="A15" s="256" t="s">
        <v>403</v>
      </c>
      <c r="B15" s="257" t="s">
        <v>269</v>
      </c>
    </row>
    <row r="16" spans="1:2" ht="17.399999999999999" thickBot="1">
      <c r="A16" s="256" t="s">
        <v>1576</v>
      </c>
      <c r="B16" s="257" t="s">
        <v>313</v>
      </c>
    </row>
    <row r="17" spans="1:2" ht="17.399999999999999" thickBot="1">
      <c r="A17" s="256" t="s">
        <v>437</v>
      </c>
      <c r="B17" s="257" t="s">
        <v>313</v>
      </c>
    </row>
    <row r="18" spans="1:2" ht="17.399999999999999" thickBot="1">
      <c r="A18" s="256" t="s">
        <v>438</v>
      </c>
      <c r="B18" s="257" t="s">
        <v>406</v>
      </c>
    </row>
    <row r="19" spans="1:2" ht="17.399999999999999" thickBot="1">
      <c r="A19" s="256" t="s">
        <v>444</v>
      </c>
      <c r="B19" s="257" t="s">
        <v>313</v>
      </c>
    </row>
    <row r="20" spans="1:2" ht="17.399999999999999" thickBot="1">
      <c r="A20" s="256" t="s">
        <v>444</v>
      </c>
      <c r="B20" s="257" t="s">
        <v>313</v>
      </c>
    </row>
    <row r="21" spans="1:2" ht="17.399999999999999" thickBot="1">
      <c r="A21" s="256" t="s">
        <v>446</v>
      </c>
      <c r="B21" s="257" t="s">
        <v>313</v>
      </c>
    </row>
    <row r="22" spans="1:2" ht="17.399999999999999" thickBot="1">
      <c r="A22" s="256" t="s">
        <v>449</v>
      </c>
      <c r="B22" s="257" t="s">
        <v>313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4"/>
  <cols>
    <col min="1" max="1" width="10.5546875" bestFit="1" customWidth="1"/>
    <col min="2" max="2" width="48.44140625" bestFit="1" customWidth="1"/>
    <col min="4" max="4" width="12.44140625" customWidth="1"/>
    <col min="5" max="5" width="11" bestFit="1" customWidth="1"/>
  </cols>
  <sheetData>
    <row r="1" spans="1:6">
      <c r="A1" t="s">
        <v>1176</v>
      </c>
      <c r="B1" t="s">
        <v>1577</v>
      </c>
      <c r="C1" t="s">
        <v>1578</v>
      </c>
      <c r="E1" t="s">
        <v>1016</v>
      </c>
    </row>
    <row r="2" spans="1:6">
      <c r="A2" t="s">
        <v>1176</v>
      </c>
      <c r="B2" t="s">
        <v>1579</v>
      </c>
      <c r="C2">
        <v>1</v>
      </c>
      <c r="F2" t="s">
        <v>1580</v>
      </c>
    </row>
    <row r="3" spans="1:6">
      <c r="A3" t="s">
        <v>1176</v>
      </c>
      <c r="B3" t="s">
        <v>1581</v>
      </c>
      <c r="C3">
        <v>2</v>
      </c>
      <c r="F3" t="s">
        <v>1580</v>
      </c>
    </row>
    <row r="4" spans="1:6">
      <c r="A4" t="s">
        <v>1176</v>
      </c>
      <c r="B4" t="s">
        <v>1582</v>
      </c>
      <c r="C4">
        <v>1</v>
      </c>
      <c r="F4" t="s">
        <v>1580</v>
      </c>
    </row>
    <row r="5" spans="1:6">
      <c r="A5" t="s">
        <v>1176</v>
      </c>
      <c r="B5" t="s">
        <v>1583</v>
      </c>
      <c r="C5">
        <v>1</v>
      </c>
      <c r="F5" t="s">
        <v>1580</v>
      </c>
    </row>
    <row r="6" spans="1:6">
      <c r="A6" t="s">
        <v>1176</v>
      </c>
      <c r="B6" t="s">
        <v>1584</v>
      </c>
      <c r="C6">
        <v>2</v>
      </c>
      <c r="F6" t="s">
        <v>1580</v>
      </c>
    </row>
    <row r="7" spans="1:6">
      <c r="A7" t="s">
        <v>1176</v>
      </c>
      <c r="B7" t="s">
        <v>1585</v>
      </c>
      <c r="C7">
        <v>1</v>
      </c>
      <c r="F7" t="s">
        <v>1580</v>
      </c>
    </row>
    <row r="8" spans="1:6">
      <c r="A8" t="s">
        <v>1176</v>
      </c>
      <c r="B8" t="s">
        <v>1586</v>
      </c>
      <c r="C8">
        <v>1</v>
      </c>
      <c r="F8" t="s">
        <v>1580</v>
      </c>
    </row>
    <row r="9" spans="1:6">
      <c r="A9" t="s">
        <v>1176</v>
      </c>
      <c r="B9" t="s">
        <v>1587</v>
      </c>
      <c r="C9" s="251">
        <f>SUM(C2:C8)</f>
        <v>9</v>
      </c>
      <c r="D9" s="252">
        <f>D11-(8*7)</f>
        <v>46192</v>
      </c>
      <c r="E9">
        <f>_xlfn.ISOWEEKNUM(D9)</f>
        <v>25</v>
      </c>
      <c r="F9" t="s">
        <v>1588</v>
      </c>
    </row>
    <row r="10" spans="1:6">
      <c r="A10" s="12" t="s">
        <v>1589</v>
      </c>
      <c r="B10" t="s">
        <v>1590</v>
      </c>
      <c r="C10" s="250">
        <v>8</v>
      </c>
      <c r="D10" s="250"/>
      <c r="F10" t="s">
        <v>1580</v>
      </c>
    </row>
    <row r="11" spans="1:6">
      <c r="A11" s="12" t="s">
        <v>1589</v>
      </c>
      <c r="B11" t="s">
        <v>570</v>
      </c>
      <c r="C11">
        <v>0</v>
      </c>
      <c r="D11" s="253">
        <f>D16-(13*7)</f>
        <v>46248</v>
      </c>
      <c r="E11">
        <f>_xlfn.ISOWEEKNUM(D11)</f>
        <v>33</v>
      </c>
      <c r="F11" t="s">
        <v>1591</v>
      </c>
    </row>
    <row r="12" spans="1:6">
      <c r="A12" s="12" t="s">
        <v>1589</v>
      </c>
      <c r="B12" t="s">
        <v>1592</v>
      </c>
      <c r="C12">
        <v>1</v>
      </c>
      <c r="F12" t="s">
        <v>1580</v>
      </c>
    </row>
    <row r="13" spans="1:6">
      <c r="A13" s="12" t="s">
        <v>1589</v>
      </c>
      <c r="B13" t="s">
        <v>1583</v>
      </c>
      <c r="C13">
        <v>1</v>
      </c>
      <c r="F13" t="s">
        <v>1580</v>
      </c>
    </row>
    <row r="14" spans="1:6">
      <c r="A14" s="12" t="s">
        <v>1589</v>
      </c>
      <c r="B14" t="s">
        <v>1593</v>
      </c>
      <c r="C14">
        <v>6</v>
      </c>
      <c r="F14" t="s">
        <v>1580</v>
      </c>
    </row>
    <row r="15" spans="1:6">
      <c r="A15" s="12" t="s">
        <v>1589</v>
      </c>
      <c r="B15" t="s">
        <v>1594</v>
      </c>
      <c r="C15">
        <v>5</v>
      </c>
      <c r="F15" t="s">
        <v>1580</v>
      </c>
    </row>
    <row r="16" spans="1:6">
      <c r="A16" s="12" t="s">
        <v>1589</v>
      </c>
      <c r="B16" t="s">
        <v>1587</v>
      </c>
      <c r="C16" s="251">
        <f>SUM(C11:C15)</f>
        <v>13</v>
      </c>
      <c r="D16" s="252">
        <f>VLOOKUP(E16,'2026 Calendar'!A:D,4,0)</f>
        <v>46339</v>
      </c>
      <c r="E16" t="s">
        <v>802</v>
      </c>
      <c r="F16" t="s">
        <v>1580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4"/>
  <cols>
    <col min="1" max="1" width="62.44140625" bestFit="1" customWidth="1"/>
    <col min="2" max="2" width="8.44140625" customWidth="1"/>
  </cols>
  <sheetData>
    <row r="1" spans="1:2">
      <c r="A1" s="258" t="s">
        <v>1595</v>
      </c>
      <c r="B1" s="258" t="s">
        <v>1596</v>
      </c>
    </row>
    <row r="2" spans="1:2">
      <c r="A2" s="259" t="s">
        <v>1597</v>
      </c>
      <c r="B2" s="259">
        <v>14646</v>
      </c>
    </row>
    <row r="3" spans="1:2">
      <c r="A3" s="259" t="s">
        <v>1598</v>
      </c>
      <c r="B3" s="259">
        <v>31036</v>
      </c>
    </row>
    <row r="4" spans="1:2">
      <c r="A4" s="259" t="s">
        <v>1599</v>
      </c>
      <c r="B4" s="259">
        <v>47403</v>
      </c>
    </row>
    <row r="5" spans="1:2">
      <c r="A5" s="259" t="s">
        <v>1600</v>
      </c>
      <c r="B5" s="259">
        <v>49054</v>
      </c>
    </row>
    <row r="6" spans="1:2">
      <c r="A6" s="259" t="s">
        <v>1601</v>
      </c>
      <c r="B6" s="259">
        <v>49340</v>
      </c>
    </row>
    <row r="7" spans="1:2">
      <c r="A7" s="259" t="s">
        <v>1602</v>
      </c>
      <c r="B7" s="259" t="s">
        <v>1603</v>
      </c>
    </row>
    <row r="8" spans="1:2">
      <c r="A8" s="259" t="s">
        <v>1604</v>
      </c>
      <c r="B8" s="259"/>
    </row>
    <row r="9" spans="1:2">
      <c r="A9" s="259" t="s">
        <v>1605</v>
      </c>
      <c r="B9" s="259">
        <v>49319</v>
      </c>
    </row>
  </sheetData>
  <autoFilter ref="A1:B5" xr:uid="{745AD30D-A37F-4760-8B3B-7C4AF4008B76}"/>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topRight" activeCell="G1" sqref="G1"/>
      <selection pane="bottomLeft" activeCell="A6" sqref="A6"/>
      <selection pane="bottomRight" activeCell="B5" sqref="B5"/>
    </sheetView>
  </sheetViews>
  <sheetFormatPr defaultRowHeight="14.4"/>
  <cols>
    <col min="1" max="1" width="13" customWidth="1"/>
    <col min="2" max="2" width="42.5546875" customWidth="1"/>
    <col min="3" max="3" width="14.5546875" customWidth="1"/>
    <col min="4" max="4" width="13" customWidth="1"/>
    <col min="5" max="5" width="25.5546875" customWidth="1"/>
    <col min="6" max="6" width="14.5546875" customWidth="1"/>
    <col min="7" max="7" width="20.44140625" customWidth="1"/>
    <col min="8" max="8" width="16.5546875" customWidth="1"/>
    <col min="9" max="9" width="18.5546875" customWidth="1"/>
    <col min="10" max="10" width="16.5546875" customWidth="1"/>
    <col min="11" max="11" width="17.5546875" customWidth="1"/>
    <col min="12" max="14" width="16.5546875" customWidth="1"/>
  </cols>
  <sheetData>
    <row r="2" spans="1:14" ht="20.100000000000001" customHeight="1">
      <c r="A2" s="373" t="s">
        <v>1606</v>
      </c>
      <c r="B2" s="367"/>
      <c r="C2" s="367"/>
      <c r="D2" s="367"/>
      <c r="E2" s="367"/>
      <c r="F2" s="367"/>
      <c r="G2" s="367"/>
      <c r="H2" s="367"/>
      <c r="I2" s="367"/>
      <c r="J2" s="367"/>
      <c r="K2" s="367"/>
      <c r="L2" s="367"/>
      <c r="M2" s="367"/>
      <c r="N2" s="367"/>
    </row>
    <row r="3" spans="1:14" ht="20.100000000000001" customHeight="1">
      <c r="A3" s="374" t="s">
        <v>1607</v>
      </c>
      <c r="B3" s="367"/>
      <c r="C3" s="367"/>
      <c r="D3" s="367"/>
      <c r="E3" s="367"/>
      <c r="F3" s="367"/>
      <c r="G3" s="367"/>
      <c r="H3" s="367"/>
      <c r="I3" s="367"/>
      <c r="J3" s="367"/>
      <c r="K3" s="367"/>
      <c r="L3" s="367"/>
      <c r="M3" s="367"/>
      <c r="N3" s="367"/>
    </row>
    <row r="5" spans="1:14" ht="25.35" customHeight="1">
      <c r="A5" s="248" t="s">
        <v>7</v>
      </c>
      <c r="B5" s="248" t="s">
        <v>216</v>
      </c>
      <c r="C5" s="248" t="s">
        <v>210</v>
      </c>
      <c r="D5" s="248" t="s">
        <v>218</v>
      </c>
      <c r="E5" s="248" t="s">
        <v>1608</v>
      </c>
      <c r="F5" s="248" t="s">
        <v>230</v>
      </c>
      <c r="G5" s="248" t="s">
        <v>232</v>
      </c>
      <c r="H5" s="248" t="s">
        <v>901</v>
      </c>
      <c r="I5" s="248" t="s">
        <v>574</v>
      </c>
      <c r="J5" s="248" t="s">
        <v>572</v>
      </c>
      <c r="K5" s="248" t="s">
        <v>1609</v>
      </c>
      <c r="L5" s="248" t="s">
        <v>1610</v>
      </c>
      <c r="M5" s="248" t="s">
        <v>1611</v>
      </c>
      <c r="N5" s="248" t="s">
        <v>1612</v>
      </c>
    </row>
    <row r="6" spans="1:14">
      <c r="A6" t="s">
        <v>282</v>
      </c>
      <c r="B6" t="s">
        <v>550</v>
      </c>
      <c r="C6" t="s">
        <v>59</v>
      </c>
      <c r="D6" t="s">
        <v>316</v>
      </c>
      <c r="E6" t="s">
        <v>354</v>
      </c>
      <c r="F6">
        <v>37</v>
      </c>
      <c r="G6" s="70">
        <v>328638</v>
      </c>
      <c r="H6" t="s">
        <v>303</v>
      </c>
      <c r="I6" t="s">
        <v>801</v>
      </c>
      <c r="J6" t="s">
        <v>304</v>
      </c>
      <c r="K6" t="s">
        <v>304</v>
      </c>
      <c r="L6" t="s">
        <v>304</v>
      </c>
      <c r="M6" t="s">
        <v>304</v>
      </c>
      <c r="N6" t="s">
        <v>57</v>
      </c>
    </row>
    <row r="7" spans="1:14">
      <c r="A7" t="s">
        <v>282</v>
      </c>
      <c r="B7" t="s">
        <v>779</v>
      </c>
      <c r="C7" t="s">
        <v>46</v>
      </c>
      <c r="D7" t="s">
        <v>316</v>
      </c>
      <c r="E7" t="s">
        <v>285</v>
      </c>
      <c r="G7" s="70">
        <v>7901.24</v>
      </c>
      <c r="H7" t="s">
        <v>149</v>
      </c>
      <c r="I7" t="s">
        <v>928</v>
      </c>
      <c r="J7" t="s">
        <v>344</v>
      </c>
      <c r="K7" t="s">
        <v>344</v>
      </c>
      <c r="L7" t="s">
        <v>344</v>
      </c>
      <c r="M7" t="s">
        <v>344</v>
      </c>
      <c r="N7" t="s">
        <v>344</v>
      </c>
    </row>
    <row r="8" spans="1:14">
      <c r="A8" t="s">
        <v>282</v>
      </c>
      <c r="B8" t="s">
        <v>779</v>
      </c>
      <c r="C8" t="s">
        <v>46</v>
      </c>
      <c r="D8" t="s">
        <v>284</v>
      </c>
      <c r="E8" t="s">
        <v>285</v>
      </c>
      <c r="F8">
        <v>9</v>
      </c>
      <c r="G8" s="70">
        <v>1318297.6000000001</v>
      </c>
      <c r="H8" t="s">
        <v>347</v>
      </c>
      <c r="J8" t="s">
        <v>344</v>
      </c>
      <c r="K8" t="s">
        <v>344</v>
      </c>
      <c r="L8" t="s">
        <v>344</v>
      </c>
      <c r="M8" t="s">
        <v>344</v>
      </c>
      <c r="N8" t="s">
        <v>344</v>
      </c>
    </row>
    <row r="9" spans="1:14">
      <c r="A9" t="s">
        <v>282</v>
      </c>
      <c r="B9" t="s">
        <v>1613</v>
      </c>
      <c r="C9" t="s">
        <v>59</v>
      </c>
      <c r="D9" t="s">
        <v>284</v>
      </c>
      <c r="E9" t="s">
        <v>317</v>
      </c>
      <c r="F9">
        <v>5</v>
      </c>
      <c r="G9" s="70">
        <v>5617.6</v>
      </c>
      <c r="H9" t="s">
        <v>280</v>
      </c>
      <c r="I9" t="s">
        <v>946</v>
      </c>
      <c r="J9" t="s">
        <v>322</v>
      </c>
      <c r="K9" t="s">
        <v>304</v>
      </c>
      <c r="L9" t="s">
        <v>73</v>
      </c>
      <c r="M9" t="s">
        <v>73</v>
      </c>
      <c r="N9" t="s">
        <v>73</v>
      </c>
    </row>
    <row r="10" spans="1:14">
      <c r="A10" t="s">
        <v>282</v>
      </c>
      <c r="B10" t="s">
        <v>1614</v>
      </c>
      <c r="C10" t="s">
        <v>59</v>
      </c>
      <c r="D10" t="s">
        <v>284</v>
      </c>
      <c r="E10" t="s">
        <v>285</v>
      </c>
      <c r="F10">
        <v>5</v>
      </c>
      <c r="G10" s="70">
        <v>12433.68</v>
      </c>
      <c r="H10" t="s">
        <v>281</v>
      </c>
      <c r="I10" t="s">
        <v>1053</v>
      </c>
      <c r="J10" t="s">
        <v>287</v>
      </c>
      <c r="K10" t="s">
        <v>287</v>
      </c>
      <c r="L10" t="s">
        <v>287</v>
      </c>
      <c r="M10" t="s">
        <v>287</v>
      </c>
      <c r="N10" t="s">
        <v>287</v>
      </c>
    </row>
    <row r="11" spans="1:14">
      <c r="A11" t="s">
        <v>282</v>
      </c>
      <c r="B11" t="s">
        <v>1614</v>
      </c>
      <c r="C11" t="s">
        <v>59</v>
      </c>
      <c r="D11" t="s">
        <v>284</v>
      </c>
      <c r="E11" t="s">
        <v>285</v>
      </c>
      <c r="F11">
        <v>5</v>
      </c>
      <c r="G11" s="70">
        <v>1100000</v>
      </c>
      <c r="H11" t="s">
        <v>286</v>
      </c>
      <c r="J11" t="s">
        <v>287</v>
      </c>
      <c r="K11" t="s">
        <v>287</v>
      </c>
      <c r="L11" t="s">
        <v>287</v>
      </c>
      <c r="M11" t="s">
        <v>287</v>
      </c>
      <c r="N11" t="s">
        <v>287</v>
      </c>
    </row>
    <row r="12" spans="1:14">
      <c r="A12" t="s">
        <v>282</v>
      </c>
      <c r="B12" t="s">
        <v>630</v>
      </c>
      <c r="C12" t="s">
        <v>59</v>
      </c>
      <c r="D12" t="s">
        <v>310</v>
      </c>
      <c r="E12" t="s">
        <v>301</v>
      </c>
      <c r="F12">
        <v>6</v>
      </c>
      <c r="G12" s="70">
        <v>1046.75</v>
      </c>
      <c r="H12" t="s">
        <v>303</v>
      </c>
      <c r="I12" t="s">
        <v>946</v>
      </c>
      <c r="J12" t="s">
        <v>304</v>
      </c>
      <c r="K12" t="s">
        <v>304</v>
      </c>
      <c r="L12" t="s">
        <v>304</v>
      </c>
      <c r="M12" t="s">
        <v>304</v>
      </c>
      <c r="N12" t="s">
        <v>57</v>
      </c>
    </row>
    <row r="13" spans="1:14">
      <c r="A13" t="s">
        <v>282</v>
      </c>
      <c r="B13" t="s">
        <v>1615</v>
      </c>
      <c r="C13" t="s">
        <v>59</v>
      </c>
      <c r="D13" t="s">
        <v>284</v>
      </c>
      <c r="E13" t="s">
        <v>317</v>
      </c>
      <c r="F13">
        <v>2</v>
      </c>
      <c r="G13" s="70">
        <v>3580</v>
      </c>
      <c r="H13" t="s">
        <v>279</v>
      </c>
      <c r="J13" t="s">
        <v>56</v>
      </c>
      <c r="K13" t="s">
        <v>56</v>
      </c>
      <c r="L13" t="s">
        <v>73</v>
      </c>
      <c r="M13" t="s">
        <v>56</v>
      </c>
      <c r="N13" t="s">
        <v>73</v>
      </c>
    </row>
    <row r="14" spans="1:14">
      <c r="A14" t="s">
        <v>282</v>
      </c>
      <c r="B14" t="s">
        <v>1615</v>
      </c>
      <c r="C14" t="s">
        <v>59</v>
      </c>
      <c r="D14" t="s">
        <v>284</v>
      </c>
      <c r="E14" t="s">
        <v>285</v>
      </c>
      <c r="F14">
        <v>6</v>
      </c>
      <c r="G14" s="70">
        <v>10346.75</v>
      </c>
      <c r="H14" t="s">
        <v>149</v>
      </c>
    </row>
    <row r="15" spans="1:14" hidden="1">
      <c r="A15" t="s">
        <v>298</v>
      </c>
      <c r="B15" t="s">
        <v>527</v>
      </c>
      <c r="C15" t="s">
        <v>46</v>
      </c>
      <c r="D15" t="s">
        <v>271</v>
      </c>
      <c r="E15" t="s">
        <v>273</v>
      </c>
      <c r="F15">
        <v>7</v>
      </c>
      <c r="G15" s="70">
        <v>7015.5</v>
      </c>
      <c r="H15" t="s">
        <v>294</v>
      </c>
      <c r="I15" t="s">
        <v>923</v>
      </c>
      <c r="J15" t="s">
        <v>56</v>
      </c>
    </row>
    <row r="16" spans="1:14" hidden="1">
      <c r="A16" t="s">
        <v>298</v>
      </c>
      <c r="B16" t="s">
        <v>1616</v>
      </c>
      <c r="C16" t="s">
        <v>59</v>
      </c>
      <c r="D16" t="s">
        <v>300</v>
      </c>
      <c r="E16" t="s">
        <v>301</v>
      </c>
      <c r="F16">
        <v>2</v>
      </c>
      <c r="G16" s="70">
        <v>135705</v>
      </c>
      <c r="H16" t="s">
        <v>303</v>
      </c>
      <c r="J16" t="s">
        <v>304</v>
      </c>
    </row>
    <row r="17" spans="1:14">
      <c r="A17" t="s">
        <v>298</v>
      </c>
      <c r="B17" t="s">
        <v>1617</v>
      </c>
      <c r="C17" t="s">
        <v>59</v>
      </c>
      <c r="D17" t="s">
        <v>284</v>
      </c>
      <c r="E17" t="s">
        <v>301</v>
      </c>
      <c r="F17">
        <v>12</v>
      </c>
      <c r="G17" s="70">
        <v>144368.60999999999</v>
      </c>
      <c r="H17" t="s">
        <v>312</v>
      </c>
      <c r="J17" t="s">
        <v>344</v>
      </c>
      <c r="K17" t="s">
        <v>344</v>
      </c>
      <c r="L17" t="s">
        <v>344</v>
      </c>
      <c r="M17" t="s">
        <v>344</v>
      </c>
      <c r="N17" t="s">
        <v>344</v>
      </c>
    </row>
    <row r="18" spans="1:14" hidden="1">
      <c r="A18" t="s">
        <v>298</v>
      </c>
      <c r="B18" t="s">
        <v>510</v>
      </c>
      <c r="C18" t="s">
        <v>59</v>
      </c>
      <c r="D18" t="s">
        <v>271</v>
      </c>
      <c r="E18" t="s">
        <v>273</v>
      </c>
      <c r="F18">
        <v>9</v>
      </c>
      <c r="G18" s="70">
        <v>54061.599999999999</v>
      </c>
      <c r="H18" t="s">
        <v>294</v>
      </c>
      <c r="I18" t="s">
        <v>923</v>
      </c>
      <c r="J18" t="s">
        <v>56</v>
      </c>
      <c r="K18" t="s">
        <v>56</v>
      </c>
      <c r="L18" t="s">
        <v>73</v>
      </c>
      <c r="M18" t="s">
        <v>56</v>
      </c>
      <c r="N18" t="s">
        <v>57</v>
      </c>
    </row>
    <row r="19" spans="1:14" hidden="1">
      <c r="A19" t="s">
        <v>298</v>
      </c>
      <c r="B19" t="s">
        <v>1618</v>
      </c>
      <c r="C19" t="s">
        <v>46</v>
      </c>
      <c r="D19" t="s">
        <v>271</v>
      </c>
      <c r="E19" t="s">
        <v>273</v>
      </c>
      <c r="F19">
        <v>9</v>
      </c>
      <c r="G19" s="70">
        <v>14470.66</v>
      </c>
      <c r="H19" t="s">
        <v>276</v>
      </c>
      <c r="I19" t="s">
        <v>936</v>
      </c>
      <c r="J19" t="s">
        <v>56</v>
      </c>
      <c r="K19" t="s">
        <v>56</v>
      </c>
      <c r="L19" t="s">
        <v>304</v>
      </c>
      <c r="M19" t="s">
        <v>304</v>
      </c>
      <c r="N19" t="s">
        <v>57</v>
      </c>
    </row>
    <row r="20" spans="1:14">
      <c r="A20" t="s">
        <v>298</v>
      </c>
      <c r="B20" t="s">
        <v>1619</v>
      </c>
      <c r="C20" t="s">
        <v>46</v>
      </c>
      <c r="D20" t="s">
        <v>310</v>
      </c>
      <c r="E20" t="s">
        <v>317</v>
      </c>
      <c r="F20">
        <v>6</v>
      </c>
      <c r="G20" s="70">
        <v>11414.99</v>
      </c>
      <c r="H20" t="s">
        <v>280</v>
      </c>
      <c r="I20" t="s">
        <v>922</v>
      </c>
      <c r="J20" t="s">
        <v>322</v>
      </c>
      <c r="K20" t="s">
        <v>344</v>
      </c>
      <c r="L20" t="s">
        <v>322</v>
      </c>
      <c r="M20" t="s">
        <v>344</v>
      </c>
      <c r="N20" t="s">
        <v>342</v>
      </c>
    </row>
    <row r="21" spans="1:14">
      <c r="A21" t="s">
        <v>298</v>
      </c>
      <c r="B21" t="s">
        <v>1619</v>
      </c>
      <c r="C21" t="s">
        <v>46</v>
      </c>
      <c r="D21" t="s">
        <v>284</v>
      </c>
      <c r="E21" t="s">
        <v>285</v>
      </c>
      <c r="G21" s="70">
        <v>1985002.77</v>
      </c>
      <c r="H21" t="s">
        <v>312</v>
      </c>
      <c r="J21" t="s">
        <v>344</v>
      </c>
      <c r="K21" t="s">
        <v>344</v>
      </c>
      <c r="L21" t="s">
        <v>344</v>
      </c>
      <c r="M21" t="s">
        <v>344</v>
      </c>
      <c r="N21" t="s">
        <v>344</v>
      </c>
    </row>
    <row r="22" spans="1:14">
      <c r="A22" t="s">
        <v>298</v>
      </c>
      <c r="B22" t="s">
        <v>1620</v>
      </c>
      <c r="C22" t="s">
        <v>46</v>
      </c>
      <c r="D22" t="s">
        <v>316</v>
      </c>
      <c r="E22" t="s">
        <v>317</v>
      </c>
      <c r="F22">
        <v>4</v>
      </c>
      <c r="G22" s="70">
        <v>12609.46</v>
      </c>
      <c r="H22" t="s">
        <v>280</v>
      </c>
      <c r="I22" t="s">
        <v>945</v>
      </c>
      <c r="J22" t="s">
        <v>322</v>
      </c>
      <c r="K22" t="s">
        <v>344</v>
      </c>
      <c r="L22" t="s">
        <v>322</v>
      </c>
      <c r="M22" t="s">
        <v>344</v>
      </c>
      <c r="N22" t="s">
        <v>342</v>
      </c>
    </row>
    <row r="23" spans="1:14">
      <c r="A23" t="s">
        <v>298</v>
      </c>
      <c r="B23" t="s">
        <v>1620</v>
      </c>
      <c r="C23" t="s">
        <v>46</v>
      </c>
      <c r="D23" t="s">
        <v>284</v>
      </c>
      <c r="E23" t="s">
        <v>285</v>
      </c>
      <c r="F23">
        <v>16</v>
      </c>
      <c r="G23" s="70">
        <v>707023.48</v>
      </c>
      <c r="H23" t="s">
        <v>149</v>
      </c>
      <c r="J23" t="s">
        <v>344</v>
      </c>
      <c r="K23" t="s">
        <v>344</v>
      </c>
      <c r="L23" t="s">
        <v>344</v>
      </c>
      <c r="M23" t="s">
        <v>344</v>
      </c>
      <c r="N23" t="s">
        <v>344</v>
      </c>
    </row>
    <row r="24" spans="1:14">
      <c r="A24" t="s">
        <v>298</v>
      </c>
      <c r="B24" t="s">
        <v>560</v>
      </c>
      <c r="C24" t="s">
        <v>46</v>
      </c>
      <c r="D24" t="s">
        <v>284</v>
      </c>
      <c r="E24" t="s">
        <v>285</v>
      </c>
      <c r="F24">
        <v>5</v>
      </c>
      <c r="G24" s="70">
        <v>22890.48</v>
      </c>
      <c r="H24" t="s">
        <v>281</v>
      </c>
      <c r="J24" t="s">
        <v>287</v>
      </c>
      <c r="K24" t="s">
        <v>287</v>
      </c>
      <c r="L24" t="s">
        <v>287</v>
      </c>
      <c r="M24" t="s">
        <v>287</v>
      </c>
      <c r="N24" t="s">
        <v>287</v>
      </c>
    </row>
    <row r="25" spans="1:14">
      <c r="A25" t="s">
        <v>298</v>
      </c>
      <c r="B25" t="s">
        <v>772</v>
      </c>
      <c r="C25" t="s">
        <v>59</v>
      </c>
      <c r="D25" t="s">
        <v>310</v>
      </c>
      <c r="E25" t="s">
        <v>301</v>
      </c>
      <c r="F25">
        <v>12</v>
      </c>
      <c r="G25" s="70">
        <v>12000.06</v>
      </c>
      <c r="H25" t="s">
        <v>279</v>
      </c>
      <c r="I25" t="s">
        <v>925</v>
      </c>
      <c r="J25" t="s">
        <v>56</v>
      </c>
      <c r="K25" t="s">
        <v>56</v>
      </c>
      <c r="L25" t="s">
        <v>56</v>
      </c>
      <c r="M25" t="s">
        <v>56</v>
      </c>
      <c r="N25" t="s">
        <v>277</v>
      </c>
    </row>
    <row r="26" spans="1:14">
      <c r="A26" t="s">
        <v>298</v>
      </c>
      <c r="B26" t="s">
        <v>777</v>
      </c>
      <c r="C26" t="s">
        <v>46</v>
      </c>
      <c r="D26" t="s">
        <v>310</v>
      </c>
      <c r="E26" t="s">
        <v>317</v>
      </c>
      <c r="F26">
        <v>4</v>
      </c>
      <c r="G26" s="70">
        <v>4027.44</v>
      </c>
      <c r="H26" t="s">
        <v>276</v>
      </c>
      <c r="I26" t="s">
        <v>946</v>
      </c>
      <c r="J26" t="s">
        <v>322</v>
      </c>
      <c r="K26" t="s">
        <v>322</v>
      </c>
      <c r="L26" t="s">
        <v>73</v>
      </c>
      <c r="M26" t="s">
        <v>322</v>
      </c>
      <c r="N26" t="s">
        <v>73</v>
      </c>
    </row>
    <row r="27" spans="1:14">
      <c r="A27" t="s">
        <v>298</v>
      </c>
      <c r="B27" t="s">
        <v>777</v>
      </c>
      <c r="C27" t="s">
        <v>46</v>
      </c>
      <c r="D27" t="s">
        <v>284</v>
      </c>
      <c r="E27" t="s">
        <v>380</v>
      </c>
      <c r="F27">
        <v>4</v>
      </c>
      <c r="G27" s="70">
        <v>179782</v>
      </c>
      <c r="H27" t="s">
        <v>303</v>
      </c>
      <c r="J27" t="s">
        <v>344</v>
      </c>
      <c r="K27" t="s">
        <v>344</v>
      </c>
      <c r="L27" t="s">
        <v>73</v>
      </c>
      <c r="M27" t="s">
        <v>344</v>
      </c>
      <c r="N27" t="s">
        <v>344</v>
      </c>
    </row>
    <row r="28" spans="1:14">
      <c r="A28" t="s">
        <v>298</v>
      </c>
      <c r="B28" t="s">
        <v>1621</v>
      </c>
      <c r="C28" t="s">
        <v>46</v>
      </c>
      <c r="D28" t="s">
        <v>284</v>
      </c>
      <c r="E28" t="s">
        <v>301</v>
      </c>
      <c r="F28">
        <v>9</v>
      </c>
      <c r="G28" s="70">
        <v>365737.97</v>
      </c>
      <c r="H28" t="s">
        <v>149</v>
      </c>
      <c r="J28" t="s">
        <v>344</v>
      </c>
      <c r="K28" t="s">
        <v>344</v>
      </c>
      <c r="L28" t="s">
        <v>344</v>
      </c>
      <c r="M28" t="s">
        <v>344</v>
      </c>
      <c r="N28" t="s">
        <v>344</v>
      </c>
    </row>
    <row r="29" spans="1:14">
      <c r="A29" t="s">
        <v>164</v>
      </c>
      <c r="B29" t="s">
        <v>507</v>
      </c>
      <c r="C29" t="s">
        <v>59</v>
      </c>
      <c r="D29" t="s">
        <v>310</v>
      </c>
      <c r="E29" t="s">
        <v>311</v>
      </c>
      <c r="F29">
        <v>18</v>
      </c>
      <c r="G29" s="70">
        <v>164002.01999999999</v>
      </c>
      <c r="H29" t="s">
        <v>280</v>
      </c>
      <c r="I29" t="s">
        <v>922</v>
      </c>
      <c r="J29" t="s">
        <v>56</v>
      </c>
      <c r="K29" t="s">
        <v>56</v>
      </c>
      <c r="L29" t="s">
        <v>56</v>
      </c>
      <c r="M29" t="s">
        <v>73</v>
      </c>
      <c r="N29" t="s">
        <v>304</v>
      </c>
    </row>
    <row r="30" spans="1:14" hidden="1">
      <c r="A30" t="s">
        <v>164</v>
      </c>
      <c r="B30" t="s">
        <v>775</v>
      </c>
      <c r="C30" t="s">
        <v>46</v>
      </c>
      <c r="D30" t="s">
        <v>271</v>
      </c>
      <c r="E30" t="s">
        <v>273</v>
      </c>
      <c r="F30">
        <v>12</v>
      </c>
      <c r="G30" s="70">
        <v>15271.3</v>
      </c>
      <c r="H30" t="s">
        <v>325</v>
      </c>
      <c r="I30" t="s">
        <v>326</v>
      </c>
      <c r="J30" t="s">
        <v>56</v>
      </c>
      <c r="K30" t="s">
        <v>56</v>
      </c>
      <c r="L30" t="s">
        <v>56</v>
      </c>
      <c r="M30" t="s">
        <v>56</v>
      </c>
      <c r="N30" t="s">
        <v>57</v>
      </c>
    </row>
    <row r="31" spans="1:14">
      <c r="A31" t="s">
        <v>164</v>
      </c>
      <c r="B31" t="s">
        <v>775</v>
      </c>
      <c r="C31" t="s">
        <v>46</v>
      </c>
      <c r="D31" t="s">
        <v>284</v>
      </c>
      <c r="E31" t="s">
        <v>301</v>
      </c>
      <c r="F31">
        <v>12</v>
      </c>
      <c r="G31" s="70">
        <v>3466407</v>
      </c>
      <c r="H31" t="s">
        <v>332</v>
      </c>
      <c r="J31" t="s">
        <v>56</v>
      </c>
    </row>
    <row r="32" spans="1:14">
      <c r="A32" t="s">
        <v>164</v>
      </c>
      <c r="B32" t="s">
        <v>773</v>
      </c>
      <c r="C32" t="s">
        <v>46</v>
      </c>
      <c r="D32" t="s">
        <v>321</v>
      </c>
      <c r="E32" t="s">
        <v>331</v>
      </c>
      <c r="F32">
        <v>117</v>
      </c>
      <c r="G32" s="70">
        <v>3134000</v>
      </c>
      <c r="H32" t="s">
        <v>312</v>
      </c>
      <c r="J32" t="s">
        <v>56</v>
      </c>
    </row>
    <row r="33" spans="1:14">
      <c r="A33" t="s">
        <v>164</v>
      </c>
      <c r="B33" t="s">
        <v>778</v>
      </c>
      <c r="C33" t="s">
        <v>59</v>
      </c>
      <c r="D33" t="s">
        <v>321</v>
      </c>
      <c r="E33" t="s">
        <v>285</v>
      </c>
      <c r="G33" s="70">
        <v>731096.8</v>
      </c>
      <c r="H33" t="s">
        <v>319</v>
      </c>
      <c r="J33" t="s">
        <v>344</v>
      </c>
    </row>
    <row r="34" spans="1:14">
      <c r="A34" t="s">
        <v>164</v>
      </c>
      <c r="B34" t="s">
        <v>535</v>
      </c>
      <c r="C34" t="s">
        <v>46</v>
      </c>
      <c r="D34" t="s">
        <v>310</v>
      </c>
      <c r="E34" t="s">
        <v>311</v>
      </c>
      <c r="F34">
        <v>22</v>
      </c>
      <c r="G34" s="70">
        <v>169946</v>
      </c>
      <c r="H34" t="s">
        <v>297</v>
      </c>
      <c r="I34" t="s">
        <v>937</v>
      </c>
      <c r="J34" t="s">
        <v>322</v>
      </c>
      <c r="K34" t="s">
        <v>56</v>
      </c>
      <c r="L34" t="s">
        <v>304</v>
      </c>
      <c r="M34" t="s">
        <v>56</v>
      </c>
      <c r="N34" t="s">
        <v>57</v>
      </c>
    </row>
    <row r="35" spans="1:14">
      <c r="A35" t="s">
        <v>164</v>
      </c>
      <c r="B35" t="s">
        <v>535</v>
      </c>
      <c r="C35" t="s">
        <v>46</v>
      </c>
      <c r="D35" t="s">
        <v>310</v>
      </c>
      <c r="E35" t="s">
        <v>311</v>
      </c>
      <c r="F35">
        <v>5</v>
      </c>
      <c r="G35" s="70">
        <v>1936.89</v>
      </c>
      <c r="H35" t="s">
        <v>276</v>
      </c>
      <c r="I35" t="s">
        <v>941</v>
      </c>
      <c r="J35" t="s">
        <v>322</v>
      </c>
      <c r="K35" t="s">
        <v>56</v>
      </c>
      <c r="L35" t="s">
        <v>304</v>
      </c>
      <c r="M35" t="s">
        <v>56</v>
      </c>
      <c r="N35" t="s">
        <v>57</v>
      </c>
    </row>
    <row r="36" spans="1:14">
      <c r="A36" t="s">
        <v>164</v>
      </c>
      <c r="B36" t="s">
        <v>1622</v>
      </c>
      <c r="C36" t="s">
        <v>59</v>
      </c>
      <c r="D36" t="s">
        <v>284</v>
      </c>
      <c r="E36" t="s">
        <v>317</v>
      </c>
      <c r="F36">
        <v>17</v>
      </c>
      <c r="G36" s="70">
        <v>31219.1</v>
      </c>
      <c r="H36" t="s">
        <v>149</v>
      </c>
      <c r="J36" t="s">
        <v>322</v>
      </c>
      <c r="K36" t="s">
        <v>304</v>
      </c>
      <c r="L36" t="s">
        <v>344</v>
      </c>
    </row>
    <row r="37" spans="1:14">
      <c r="A37" t="s">
        <v>164</v>
      </c>
      <c r="B37" t="s">
        <v>1622</v>
      </c>
      <c r="C37" t="s">
        <v>59</v>
      </c>
      <c r="D37" t="s">
        <v>284</v>
      </c>
      <c r="E37" t="s">
        <v>285</v>
      </c>
      <c r="F37">
        <v>17</v>
      </c>
      <c r="G37" s="70">
        <v>532175</v>
      </c>
      <c r="H37" t="s">
        <v>312</v>
      </c>
      <c r="J37" t="s">
        <v>322</v>
      </c>
      <c r="K37" t="s">
        <v>304</v>
      </c>
      <c r="L37" t="s">
        <v>344</v>
      </c>
    </row>
    <row r="38" spans="1:14">
      <c r="A38" t="s">
        <v>164</v>
      </c>
      <c r="B38" t="s">
        <v>524</v>
      </c>
      <c r="C38" t="s">
        <v>59</v>
      </c>
      <c r="D38" t="s">
        <v>310</v>
      </c>
      <c r="E38" t="s">
        <v>354</v>
      </c>
      <c r="F38">
        <v>18</v>
      </c>
      <c r="G38" s="70">
        <v>157676</v>
      </c>
      <c r="H38" t="s">
        <v>297</v>
      </c>
      <c r="I38" t="s">
        <v>800</v>
      </c>
      <c r="J38" t="s">
        <v>322</v>
      </c>
      <c r="K38" t="s">
        <v>322</v>
      </c>
      <c r="L38" t="s">
        <v>56</v>
      </c>
      <c r="M38" t="s">
        <v>56</v>
      </c>
      <c r="N38" t="s">
        <v>57</v>
      </c>
    </row>
    <row r="39" spans="1:14">
      <c r="A39" t="s">
        <v>164</v>
      </c>
      <c r="B39" t="s">
        <v>783</v>
      </c>
      <c r="C39" t="s">
        <v>46</v>
      </c>
      <c r="D39" t="s">
        <v>284</v>
      </c>
      <c r="E39" t="s">
        <v>285</v>
      </c>
      <c r="F39">
        <v>3</v>
      </c>
      <c r="G39" s="70">
        <v>6938.58</v>
      </c>
      <c r="H39" t="s">
        <v>279</v>
      </c>
      <c r="I39" t="s">
        <v>927</v>
      </c>
      <c r="J39" t="s">
        <v>304</v>
      </c>
      <c r="K39" t="s">
        <v>304</v>
      </c>
      <c r="L39" t="s">
        <v>304</v>
      </c>
      <c r="M39" t="s">
        <v>304</v>
      </c>
    </row>
    <row r="40" spans="1:14">
      <c r="A40" t="s">
        <v>164</v>
      </c>
      <c r="B40" t="s">
        <v>783</v>
      </c>
      <c r="C40" t="s">
        <v>46</v>
      </c>
      <c r="D40" t="s">
        <v>284</v>
      </c>
      <c r="E40" t="s">
        <v>285</v>
      </c>
      <c r="F40">
        <v>30</v>
      </c>
      <c r="G40" s="70">
        <v>361028.77</v>
      </c>
      <c r="H40" t="s">
        <v>312</v>
      </c>
      <c r="J40" t="s">
        <v>304</v>
      </c>
      <c r="K40" t="s">
        <v>304</v>
      </c>
      <c r="L40" t="s">
        <v>304</v>
      </c>
      <c r="M40" t="s">
        <v>304</v>
      </c>
    </row>
    <row r="41" spans="1:14" hidden="1">
      <c r="A41" t="s">
        <v>350</v>
      </c>
      <c r="B41" t="s">
        <v>1623</v>
      </c>
      <c r="C41" t="s">
        <v>46</v>
      </c>
      <c r="D41" t="s">
        <v>133</v>
      </c>
      <c r="E41" t="s">
        <v>273</v>
      </c>
      <c r="F41">
        <v>1</v>
      </c>
      <c r="G41" s="70">
        <v>3167.51</v>
      </c>
      <c r="H41" t="s">
        <v>276</v>
      </c>
      <c r="I41" t="s">
        <v>936</v>
      </c>
      <c r="J41" t="s">
        <v>56</v>
      </c>
      <c r="K41" t="s">
        <v>56</v>
      </c>
      <c r="L41" t="s">
        <v>73</v>
      </c>
      <c r="M41" t="s">
        <v>56</v>
      </c>
      <c r="N41" t="s">
        <v>57</v>
      </c>
    </row>
    <row r="42" spans="1:14" hidden="1">
      <c r="A42" t="s">
        <v>271</v>
      </c>
      <c r="B42" t="s">
        <v>509</v>
      </c>
      <c r="C42" t="s">
        <v>59</v>
      </c>
      <c r="D42" t="s">
        <v>271</v>
      </c>
      <c r="E42" t="s">
        <v>273</v>
      </c>
      <c r="F42">
        <v>26</v>
      </c>
      <c r="G42" s="70">
        <v>71837</v>
      </c>
      <c r="H42" t="s">
        <v>381</v>
      </c>
      <c r="J42" t="s">
        <v>56</v>
      </c>
      <c r="K42" t="s">
        <v>56</v>
      </c>
      <c r="L42" t="s">
        <v>73</v>
      </c>
      <c r="M42" t="s">
        <v>56</v>
      </c>
      <c r="N42" t="s">
        <v>57</v>
      </c>
    </row>
    <row r="43" spans="1:14" hidden="1">
      <c r="A43" t="s">
        <v>271</v>
      </c>
      <c r="B43" t="s">
        <v>532</v>
      </c>
      <c r="C43" t="s">
        <v>46</v>
      </c>
      <c r="D43" t="s">
        <v>271</v>
      </c>
      <c r="E43" t="s">
        <v>273</v>
      </c>
      <c r="F43">
        <v>7</v>
      </c>
      <c r="G43" s="70">
        <v>1601</v>
      </c>
      <c r="H43" t="s">
        <v>381</v>
      </c>
      <c r="J43" t="s">
        <v>56</v>
      </c>
    </row>
    <row r="44" spans="1:14" hidden="1">
      <c r="A44" t="s">
        <v>271</v>
      </c>
      <c r="B44" t="s">
        <v>534</v>
      </c>
      <c r="C44" t="s">
        <v>46</v>
      </c>
      <c r="D44" t="s">
        <v>271</v>
      </c>
      <c r="E44" t="s">
        <v>273</v>
      </c>
      <c r="F44">
        <v>30</v>
      </c>
      <c r="G44" s="70">
        <v>362480.94</v>
      </c>
      <c r="H44" t="s">
        <v>381</v>
      </c>
      <c r="J44" t="s">
        <v>56</v>
      </c>
      <c r="K44" t="s">
        <v>56</v>
      </c>
      <c r="L44" t="s">
        <v>56</v>
      </c>
      <c r="M44" t="s">
        <v>56</v>
      </c>
      <c r="N44" t="s">
        <v>57</v>
      </c>
    </row>
    <row r="45" spans="1:14" hidden="1">
      <c r="A45" t="s">
        <v>271</v>
      </c>
      <c r="B45" t="s">
        <v>537</v>
      </c>
      <c r="C45" t="s">
        <v>46</v>
      </c>
      <c r="D45" t="s">
        <v>271</v>
      </c>
      <c r="E45" t="s">
        <v>273</v>
      </c>
      <c r="F45">
        <v>48</v>
      </c>
      <c r="G45" s="70">
        <v>24407</v>
      </c>
      <c r="H45" t="s">
        <v>381</v>
      </c>
      <c r="J45" t="s">
        <v>56</v>
      </c>
    </row>
    <row r="46" spans="1:14" hidden="1">
      <c r="A46" t="s">
        <v>271</v>
      </c>
      <c r="B46" t="s">
        <v>1624</v>
      </c>
      <c r="C46" t="s">
        <v>59</v>
      </c>
      <c r="D46" t="s">
        <v>271</v>
      </c>
      <c r="E46" t="s">
        <v>273</v>
      </c>
      <c r="F46">
        <v>2</v>
      </c>
      <c r="G46" s="70">
        <v>5432.2</v>
      </c>
      <c r="H46" t="s">
        <v>381</v>
      </c>
    </row>
    <row r="47" spans="1:14">
      <c r="A47" t="s">
        <v>149</v>
      </c>
      <c r="B47" t="s">
        <v>781</v>
      </c>
      <c r="C47" t="s">
        <v>46</v>
      </c>
      <c r="D47" t="s">
        <v>284</v>
      </c>
      <c r="E47" t="s">
        <v>285</v>
      </c>
      <c r="G47" s="70">
        <v>596794</v>
      </c>
      <c r="H47" t="s">
        <v>319</v>
      </c>
      <c r="J47" t="s">
        <v>304</v>
      </c>
    </row>
    <row r="48" spans="1:14">
      <c r="A48" t="s">
        <v>149</v>
      </c>
      <c r="B48" t="s">
        <v>782</v>
      </c>
      <c r="C48" t="s">
        <v>59</v>
      </c>
      <c r="D48" t="s">
        <v>284</v>
      </c>
      <c r="E48" t="s">
        <v>285</v>
      </c>
      <c r="G48" s="70">
        <v>1000000</v>
      </c>
      <c r="H48" t="s">
        <v>319</v>
      </c>
      <c r="J48" t="s">
        <v>344</v>
      </c>
    </row>
    <row r="49" spans="1:14">
      <c r="A49" t="s">
        <v>149</v>
      </c>
      <c r="B49" t="s">
        <v>844</v>
      </c>
      <c r="C49" t="s">
        <v>46</v>
      </c>
      <c r="D49" t="s">
        <v>284</v>
      </c>
      <c r="E49" t="s">
        <v>285</v>
      </c>
      <c r="G49" s="70">
        <v>1131814</v>
      </c>
      <c r="H49" t="s">
        <v>319</v>
      </c>
      <c r="J49" t="s">
        <v>344</v>
      </c>
    </row>
    <row r="50" spans="1:14" hidden="1">
      <c r="A50" t="s">
        <v>341</v>
      </c>
      <c r="B50" t="s">
        <v>530</v>
      </c>
      <c r="C50" t="s">
        <v>46</v>
      </c>
      <c r="D50" t="s">
        <v>271</v>
      </c>
      <c r="E50" t="s">
        <v>273</v>
      </c>
      <c r="F50">
        <v>48</v>
      </c>
      <c r="G50" s="70">
        <v>24012</v>
      </c>
      <c r="H50" t="s">
        <v>325</v>
      </c>
      <c r="I50" t="s">
        <v>943</v>
      </c>
      <c r="J50" t="s">
        <v>56</v>
      </c>
      <c r="K50" t="s">
        <v>56</v>
      </c>
      <c r="L50" t="s">
        <v>56</v>
      </c>
      <c r="M50" t="s">
        <v>56</v>
      </c>
      <c r="N50" t="s">
        <v>362</v>
      </c>
    </row>
    <row r="51" spans="1:14">
      <c r="A51" t="s">
        <v>341</v>
      </c>
      <c r="B51" t="s">
        <v>1625</v>
      </c>
      <c r="C51" t="s">
        <v>46</v>
      </c>
      <c r="D51" t="s">
        <v>284</v>
      </c>
      <c r="E51" t="s">
        <v>331</v>
      </c>
      <c r="F51">
        <v>94</v>
      </c>
      <c r="G51" s="70">
        <v>3218808.59</v>
      </c>
      <c r="H51" t="s">
        <v>303</v>
      </c>
      <c r="J51" t="s">
        <v>304</v>
      </c>
      <c r="K51" t="s">
        <v>56</v>
      </c>
      <c r="L51" t="s">
        <v>322</v>
      </c>
      <c r="M51" t="s">
        <v>322</v>
      </c>
      <c r="N51" t="s">
        <v>342</v>
      </c>
    </row>
    <row r="52" spans="1:14">
      <c r="A52" t="s">
        <v>341</v>
      </c>
      <c r="B52" t="s">
        <v>533</v>
      </c>
      <c r="C52" t="s">
        <v>46</v>
      </c>
      <c r="D52" t="s">
        <v>284</v>
      </c>
      <c r="E52" t="s">
        <v>285</v>
      </c>
      <c r="F52">
        <v>1</v>
      </c>
      <c r="G52" s="70">
        <v>13541.25</v>
      </c>
      <c r="H52" t="s">
        <v>297</v>
      </c>
      <c r="J52" t="s">
        <v>322</v>
      </c>
      <c r="K52" t="s">
        <v>304</v>
      </c>
      <c r="L52" t="s">
        <v>73</v>
      </c>
      <c r="M52" t="s">
        <v>304</v>
      </c>
      <c r="N52" t="s">
        <v>73</v>
      </c>
    </row>
    <row r="53" spans="1:14">
      <c r="A53" t="s">
        <v>341</v>
      </c>
      <c r="B53" t="s">
        <v>559</v>
      </c>
      <c r="C53" t="s">
        <v>46</v>
      </c>
      <c r="D53" t="s">
        <v>316</v>
      </c>
      <c r="E53" t="s">
        <v>317</v>
      </c>
      <c r="F53">
        <v>15</v>
      </c>
      <c r="G53" s="70">
        <v>64112.41</v>
      </c>
      <c r="H53" t="s">
        <v>297</v>
      </c>
      <c r="I53" t="s">
        <v>805</v>
      </c>
      <c r="J53" t="s">
        <v>322</v>
      </c>
      <c r="K53" t="s">
        <v>304</v>
      </c>
      <c r="L53" t="s">
        <v>304</v>
      </c>
      <c r="M53" t="s">
        <v>304</v>
      </c>
      <c r="N53" t="s">
        <v>73</v>
      </c>
    </row>
    <row r="54" spans="1:14">
      <c r="A54" t="s">
        <v>341</v>
      </c>
      <c r="B54" t="s">
        <v>843</v>
      </c>
      <c r="C54" t="s">
        <v>46</v>
      </c>
      <c r="D54" t="s">
        <v>284</v>
      </c>
      <c r="E54" t="s">
        <v>285</v>
      </c>
      <c r="F54">
        <v>13</v>
      </c>
      <c r="G54" s="70">
        <v>5665882.9800000004</v>
      </c>
      <c r="H54" t="s">
        <v>286</v>
      </c>
    </row>
    <row r="55" spans="1:14">
      <c r="A55" t="s">
        <v>341</v>
      </c>
      <c r="B55" t="s">
        <v>1626</v>
      </c>
      <c r="C55" t="s">
        <v>46</v>
      </c>
      <c r="D55" t="s">
        <v>310</v>
      </c>
      <c r="E55" t="s">
        <v>354</v>
      </c>
      <c r="F55">
        <v>7</v>
      </c>
      <c r="G55" s="70">
        <v>6614.04</v>
      </c>
      <c r="H55" t="s">
        <v>279</v>
      </c>
      <c r="I55" t="s">
        <v>931</v>
      </c>
      <c r="J55" t="s">
        <v>304</v>
      </c>
      <c r="K55" t="s">
        <v>322</v>
      </c>
      <c r="L55" t="s">
        <v>304</v>
      </c>
      <c r="M55" t="s">
        <v>322</v>
      </c>
      <c r="N55" t="s">
        <v>73</v>
      </c>
    </row>
    <row r="56" spans="1:14">
      <c r="A56" t="s">
        <v>341</v>
      </c>
      <c r="B56" t="s">
        <v>1626</v>
      </c>
      <c r="C56" t="s">
        <v>46</v>
      </c>
      <c r="D56" t="s">
        <v>284</v>
      </c>
      <c r="E56" t="s">
        <v>354</v>
      </c>
      <c r="F56">
        <v>5</v>
      </c>
      <c r="G56" s="70">
        <v>1500000</v>
      </c>
      <c r="H56" t="s">
        <v>319</v>
      </c>
      <c r="J56" t="s">
        <v>304</v>
      </c>
    </row>
    <row r="57" spans="1:14">
      <c r="A57" t="s">
        <v>341</v>
      </c>
      <c r="B57" t="s">
        <v>544</v>
      </c>
      <c r="C57" t="s">
        <v>46</v>
      </c>
      <c r="D57" t="s">
        <v>310</v>
      </c>
      <c r="E57" t="s">
        <v>311</v>
      </c>
      <c r="F57">
        <v>6</v>
      </c>
      <c r="G57" s="70">
        <v>48755</v>
      </c>
      <c r="H57" t="s">
        <v>279</v>
      </c>
      <c r="I57" t="s">
        <v>922</v>
      </c>
      <c r="J57" t="s">
        <v>56</v>
      </c>
      <c r="K57" t="s">
        <v>56</v>
      </c>
      <c r="L57" t="s">
        <v>73</v>
      </c>
      <c r="M57" t="s">
        <v>56</v>
      </c>
      <c r="N57" t="s">
        <v>73</v>
      </c>
    </row>
    <row r="58" spans="1:14" hidden="1">
      <c r="A58" t="s">
        <v>341</v>
      </c>
      <c r="B58" t="s">
        <v>547</v>
      </c>
      <c r="C58" t="s">
        <v>46</v>
      </c>
      <c r="D58" t="s">
        <v>271</v>
      </c>
      <c r="E58" t="s">
        <v>273</v>
      </c>
      <c r="F58">
        <v>7</v>
      </c>
      <c r="G58" s="70">
        <v>10003.5</v>
      </c>
      <c r="H58" t="s">
        <v>325</v>
      </c>
      <c r="I58" t="s">
        <v>919</v>
      </c>
      <c r="J58" t="s">
        <v>56</v>
      </c>
      <c r="K58" t="s">
        <v>56</v>
      </c>
      <c r="M58">
        <v>46037</v>
      </c>
      <c r="N58" t="s">
        <v>73</v>
      </c>
    </row>
    <row r="59" spans="1:14">
      <c r="A59" t="s">
        <v>341</v>
      </c>
      <c r="B59" t="s">
        <v>538</v>
      </c>
      <c r="C59" t="s">
        <v>46</v>
      </c>
      <c r="D59" t="s">
        <v>310</v>
      </c>
      <c r="E59" t="s">
        <v>311</v>
      </c>
      <c r="F59">
        <v>20</v>
      </c>
      <c r="G59" s="70">
        <v>93065.64</v>
      </c>
      <c r="H59" t="s">
        <v>280</v>
      </c>
      <c r="I59" t="s">
        <v>945</v>
      </c>
      <c r="J59" t="s">
        <v>56</v>
      </c>
      <c r="K59" t="s">
        <v>322</v>
      </c>
      <c r="L59" t="s">
        <v>73</v>
      </c>
      <c r="M59" t="s">
        <v>304</v>
      </c>
      <c r="N59" t="s">
        <v>73</v>
      </c>
    </row>
    <row r="60" spans="1:14" hidden="1">
      <c r="A60" t="s">
        <v>341</v>
      </c>
      <c r="B60" t="s">
        <v>1627</v>
      </c>
      <c r="C60" t="s">
        <v>46</v>
      </c>
      <c r="D60" t="s">
        <v>392</v>
      </c>
      <c r="E60" t="s">
        <v>285</v>
      </c>
      <c r="F60">
        <v>55</v>
      </c>
      <c r="G60" s="70">
        <v>371262</v>
      </c>
      <c r="H60" t="s">
        <v>149</v>
      </c>
    </row>
    <row r="61" spans="1:14" hidden="1">
      <c r="A61" t="s">
        <v>323</v>
      </c>
      <c r="B61" t="s">
        <v>531</v>
      </c>
      <c r="C61" t="s">
        <v>46</v>
      </c>
      <c r="D61" t="s">
        <v>271</v>
      </c>
      <c r="E61" t="s">
        <v>273</v>
      </c>
      <c r="F61">
        <v>17</v>
      </c>
      <c r="G61" s="70">
        <v>1908.8</v>
      </c>
      <c r="H61" t="s">
        <v>294</v>
      </c>
      <c r="I61" t="s">
        <v>919</v>
      </c>
      <c r="J61" t="s">
        <v>56</v>
      </c>
      <c r="K61" t="s">
        <v>56</v>
      </c>
      <c r="L61" t="s">
        <v>56</v>
      </c>
      <c r="M61" t="s">
        <v>56</v>
      </c>
      <c r="N61" t="s">
        <v>57</v>
      </c>
    </row>
    <row r="62" spans="1:14" hidden="1">
      <c r="A62" t="s">
        <v>323</v>
      </c>
      <c r="B62" t="s">
        <v>531</v>
      </c>
      <c r="C62" t="s">
        <v>46</v>
      </c>
      <c r="D62" t="s">
        <v>271</v>
      </c>
      <c r="E62" t="s">
        <v>273</v>
      </c>
      <c r="F62">
        <v>17</v>
      </c>
      <c r="G62" s="70">
        <v>51127</v>
      </c>
      <c r="H62" t="s">
        <v>402</v>
      </c>
      <c r="J62" t="s">
        <v>56</v>
      </c>
      <c r="K62" t="s">
        <v>56</v>
      </c>
      <c r="L62" t="s">
        <v>56</v>
      </c>
      <c r="M62" t="s">
        <v>56</v>
      </c>
      <c r="N62" t="s">
        <v>57</v>
      </c>
    </row>
    <row r="63" spans="1:14" hidden="1">
      <c r="A63" t="s">
        <v>323</v>
      </c>
      <c r="B63" t="s">
        <v>522</v>
      </c>
      <c r="C63" t="s">
        <v>59</v>
      </c>
      <c r="D63" t="s">
        <v>271</v>
      </c>
      <c r="E63" t="s">
        <v>273</v>
      </c>
      <c r="F63">
        <v>1</v>
      </c>
      <c r="G63" s="70">
        <v>4200</v>
      </c>
      <c r="H63" t="s">
        <v>325</v>
      </c>
      <c r="I63" t="s">
        <v>326</v>
      </c>
      <c r="J63" t="s">
        <v>56</v>
      </c>
      <c r="K63" t="s">
        <v>56</v>
      </c>
      <c r="L63" t="s">
        <v>73</v>
      </c>
      <c r="M63" t="s">
        <v>73</v>
      </c>
      <c r="N63" t="s">
        <v>57</v>
      </c>
    </row>
    <row r="64" spans="1:14" hidden="1">
      <c r="A64" t="s">
        <v>323</v>
      </c>
      <c r="B64" t="s">
        <v>1628</v>
      </c>
      <c r="C64" t="s">
        <v>46</v>
      </c>
      <c r="D64" t="s">
        <v>300</v>
      </c>
      <c r="F64">
        <v>35</v>
      </c>
      <c r="G64" s="70">
        <v>0</v>
      </c>
      <c r="H64" t="s">
        <v>939</v>
      </c>
    </row>
    <row r="65" spans="1:14" hidden="1">
      <c r="A65" t="s">
        <v>306</v>
      </c>
      <c r="B65" t="s">
        <v>526</v>
      </c>
      <c r="C65" t="s">
        <v>46</v>
      </c>
      <c r="D65" t="s">
        <v>271</v>
      </c>
      <c r="E65" t="s">
        <v>311</v>
      </c>
      <c r="F65">
        <v>25</v>
      </c>
      <c r="G65" s="70">
        <v>198023</v>
      </c>
      <c r="H65" t="s">
        <v>294</v>
      </c>
      <c r="I65" t="s">
        <v>934</v>
      </c>
      <c r="J65" t="s">
        <v>56</v>
      </c>
      <c r="K65" t="s">
        <v>56</v>
      </c>
      <c r="L65" t="s">
        <v>73</v>
      </c>
      <c r="M65" t="s">
        <v>56</v>
      </c>
      <c r="N65" t="s">
        <v>73</v>
      </c>
    </row>
    <row r="66" spans="1:14" hidden="1">
      <c r="A66" t="s">
        <v>306</v>
      </c>
      <c r="B66" t="s">
        <v>528</v>
      </c>
      <c r="C66" t="s">
        <v>46</v>
      </c>
      <c r="D66" t="s">
        <v>271</v>
      </c>
      <c r="E66" t="s">
        <v>273</v>
      </c>
      <c r="F66">
        <v>30</v>
      </c>
      <c r="G66" s="70">
        <v>103174.91</v>
      </c>
      <c r="H66" t="s">
        <v>325</v>
      </c>
      <c r="I66" t="s">
        <v>326</v>
      </c>
      <c r="J66" t="s">
        <v>56</v>
      </c>
      <c r="K66" t="s">
        <v>56</v>
      </c>
      <c r="L66" t="s">
        <v>56</v>
      </c>
      <c r="M66" t="s">
        <v>56</v>
      </c>
      <c r="N66" t="s">
        <v>57</v>
      </c>
    </row>
    <row r="67" spans="1:14">
      <c r="A67" t="s">
        <v>306</v>
      </c>
      <c r="B67" t="s">
        <v>554</v>
      </c>
      <c r="C67" t="s">
        <v>46</v>
      </c>
      <c r="D67" t="s">
        <v>310</v>
      </c>
      <c r="E67" t="s">
        <v>354</v>
      </c>
      <c r="F67">
        <v>50</v>
      </c>
      <c r="G67" s="70">
        <v>367264.72</v>
      </c>
      <c r="H67" t="s">
        <v>303</v>
      </c>
      <c r="I67" t="s">
        <v>1054</v>
      </c>
      <c r="J67" t="s">
        <v>56</v>
      </c>
      <c r="K67" t="s">
        <v>56</v>
      </c>
      <c r="L67" t="s">
        <v>56</v>
      </c>
      <c r="M67" t="s">
        <v>56</v>
      </c>
      <c r="N67" t="s">
        <v>57</v>
      </c>
    </row>
    <row r="68" spans="1:14">
      <c r="A68" t="s">
        <v>306</v>
      </c>
      <c r="B68" t="s">
        <v>554</v>
      </c>
      <c r="C68" t="s">
        <v>46</v>
      </c>
      <c r="D68" t="s">
        <v>310</v>
      </c>
      <c r="E68" t="s">
        <v>354</v>
      </c>
      <c r="F68">
        <v>50</v>
      </c>
      <c r="G68" s="70">
        <v>367264.72</v>
      </c>
      <c r="H68" t="s">
        <v>312</v>
      </c>
      <c r="I68" t="s">
        <v>1054</v>
      </c>
      <c r="J68" t="s">
        <v>56</v>
      </c>
      <c r="K68" t="s">
        <v>56</v>
      </c>
      <c r="L68" t="s">
        <v>56</v>
      </c>
      <c r="M68" t="s">
        <v>56</v>
      </c>
      <c r="N68" t="s">
        <v>57</v>
      </c>
    </row>
    <row r="69" spans="1:14">
      <c r="A69" t="s">
        <v>306</v>
      </c>
      <c r="B69" t="s">
        <v>561</v>
      </c>
      <c r="C69" t="s">
        <v>46</v>
      </c>
      <c r="D69" t="s">
        <v>310</v>
      </c>
      <c r="E69" t="s">
        <v>354</v>
      </c>
      <c r="F69">
        <v>50</v>
      </c>
      <c r="G69" s="70">
        <v>367264.72</v>
      </c>
      <c r="H69" t="s">
        <v>297</v>
      </c>
      <c r="I69" t="s">
        <v>1054</v>
      </c>
      <c r="J69" t="s">
        <v>56</v>
      </c>
      <c r="K69" t="s">
        <v>56</v>
      </c>
      <c r="L69" t="s">
        <v>56</v>
      </c>
      <c r="M69" t="s">
        <v>56</v>
      </c>
      <c r="N69" t="s">
        <v>57</v>
      </c>
    </row>
    <row r="70" spans="1:14">
      <c r="A70" t="s">
        <v>306</v>
      </c>
      <c r="B70" t="s">
        <v>771</v>
      </c>
      <c r="C70" t="s">
        <v>46</v>
      </c>
      <c r="D70" t="s">
        <v>284</v>
      </c>
      <c r="E70" t="s">
        <v>285</v>
      </c>
      <c r="F70">
        <v>16</v>
      </c>
      <c r="G70" s="70">
        <v>1160820</v>
      </c>
      <c r="H70" t="s">
        <v>358</v>
      </c>
      <c r="J70" t="s">
        <v>344</v>
      </c>
    </row>
    <row r="71" spans="1:14">
      <c r="A71" t="s">
        <v>306</v>
      </c>
      <c r="B71" t="s">
        <v>771</v>
      </c>
      <c r="C71" t="s">
        <v>46</v>
      </c>
      <c r="D71" t="s">
        <v>284</v>
      </c>
      <c r="E71" t="s">
        <v>285</v>
      </c>
      <c r="F71">
        <v>16</v>
      </c>
      <c r="G71" s="70">
        <v>1160820</v>
      </c>
      <c r="H71" t="s">
        <v>358</v>
      </c>
      <c r="J71" t="s">
        <v>344</v>
      </c>
    </row>
    <row r="72" spans="1:14">
      <c r="A72" t="s">
        <v>306</v>
      </c>
      <c r="B72" t="s">
        <v>814</v>
      </c>
      <c r="C72" t="s">
        <v>59</v>
      </c>
      <c r="D72" t="s">
        <v>284</v>
      </c>
      <c r="E72" t="s">
        <v>285</v>
      </c>
      <c r="F72">
        <v>2</v>
      </c>
      <c r="G72" s="70">
        <v>5377.22</v>
      </c>
      <c r="H72" t="s">
        <v>297</v>
      </c>
      <c r="I72" t="s">
        <v>931</v>
      </c>
      <c r="J72" t="s">
        <v>304</v>
      </c>
      <c r="K72" t="s">
        <v>304</v>
      </c>
      <c r="L72" t="s">
        <v>73</v>
      </c>
      <c r="M72" t="s">
        <v>73</v>
      </c>
      <c r="N72" t="s">
        <v>57</v>
      </c>
    </row>
    <row r="73" spans="1:14">
      <c r="A73" t="s">
        <v>306</v>
      </c>
      <c r="B73" t="s">
        <v>517</v>
      </c>
      <c r="C73" t="s">
        <v>59</v>
      </c>
      <c r="D73" t="s">
        <v>310</v>
      </c>
      <c r="E73" t="s">
        <v>311</v>
      </c>
      <c r="F73">
        <v>1</v>
      </c>
      <c r="G73" s="70">
        <v>12309</v>
      </c>
      <c r="H73" t="s">
        <v>279</v>
      </c>
      <c r="I73" t="s">
        <v>925</v>
      </c>
      <c r="J73" t="s">
        <v>56</v>
      </c>
      <c r="K73" t="s">
        <v>56</v>
      </c>
      <c r="L73" t="s">
        <v>73</v>
      </c>
      <c r="M73" t="s">
        <v>56</v>
      </c>
      <c r="N73" t="s">
        <v>73</v>
      </c>
    </row>
    <row r="74" spans="1:14" hidden="1">
      <c r="A74" t="s">
        <v>306</v>
      </c>
      <c r="B74" t="s">
        <v>519</v>
      </c>
      <c r="C74" t="s">
        <v>59</v>
      </c>
      <c r="D74" t="s">
        <v>271</v>
      </c>
      <c r="E74" t="s">
        <v>311</v>
      </c>
      <c r="F74">
        <v>1</v>
      </c>
      <c r="G74" s="70">
        <v>1672</v>
      </c>
      <c r="H74" t="s">
        <v>294</v>
      </c>
      <c r="I74" t="s">
        <v>930</v>
      </c>
      <c r="J74" t="s">
        <v>56</v>
      </c>
      <c r="K74" t="s">
        <v>56</v>
      </c>
      <c r="L74" t="s">
        <v>73</v>
      </c>
      <c r="M74" t="s">
        <v>73</v>
      </c>
      <c r="N74" t="s">
        <v>57</v>
      </c>
    </row>
    <row r="75" spans="1:14">
      <c r="A75" t="s">
        <v>306</v>
      </c>
      <c r="B75" t="s">
        <v>520</v>
      </c>
      <c r="C75" t="s">
        <v>59</v>
      </c>
      <c r="D75" t="s">
        <v>310</v>
      </c>
      <c r="E75" t="s">
        <v>311</v>
      </c>
      <c r="F75">
        <v>11</v>
      </c>
      <c r="G75" s="70">
        <v>198340.06</v>
      </c>
      <c r="H75" t="s">
        <v>297</v>
      </c>
      <c r="I75" t="s">
        <v>800</v>
      </c>
      <c r="J75" t="s">
        <v>56</v>
      </c>
      <c r="K75" t="s">
        <v>56</v>
      </c>
      <c r="L75" t="s">
        <v>73</v>
      </c>
      <c r="M75" t="s">
        <v>56</v>
      </c>
      <c r="N75" t="s">
        <v>73</v>
      </c>
    </row>
    <row r="76" spans="1:14">
      <c r="A76" t="s">
        <v>306</v>
      </c>
      <c r="B76" t="s">
        <v>780</v>
      </c>
      <c r="C76" t="s">
        <v>59</v>
      </c>
      <c r="D76" t="s">
        <v>284</v>
      </c>
      <c r="E76" t="s">
        <v>301</v>
      </c>
      <c r="F76">
        <v>14</v>
      </c>
      <c r="G76" s="70">
        <v>228581</v>
      </c>
      <c r="H76" t="s">
        <v>303</v>
      </c>
      <c r="J76" t="s">
        <v>304</v>
      </c>
      <c r="K76" t="s">
        <v>322</v>
      </c>
      <c r="L76" t="s">
        <v>73</v>
      </c>
      <c r="M76" t="s">
        <v>322</v>
      </c>
      <c r="N76" t="s">
        <v>57</v>
      </c>
    </row>
    <row r="77" spans="1:14">
      <c r="A77" t="s">
        <v>306</v>
      </c>
      <c r="B77" t="s">
        <v>523</v>
      </c>
      <c r="C77" t="s">
        <v>59</v>
      </c>
      <c r="D77" t="s">
        <v>310</v>
      </c>
      <c r="E77" t="s">
        <v>354</v>
      </c>
      <c r="F77">
        <v>12</v>
      </c>
      <c r="G77" s="70">
        <v>170805.65</v>
      </c>
      <c r="H77" t="s">
        <v>281</v>
      </c>
      <c r="I77" t="s">
        <v>928</v>
      </c>
      <c r="J77" t="s">
        <v>56</v>
      </c>
      <c r="K77" t="s">
        <v>56</v>
      </c>
      <c r="L77" t="s">
        <v>56</v>
      </c>
      <c r="M77" t="s">
        <v>56</v>
      </c>
      <c r="N77" t="s">
        <v>57</v>
      </c>
    </row>
    <row r="78" spans="1:14">
      <c r="A78" t="s">
        <v>306</v>
      </c>
      <c r="B78" t="s">
        <v>540</v>
      </c>
      <c r="C78" t="s">
        <v>46</v>
      </c>
      <c r="D78" t="s">
        <v>310</v>
      </c>
      <c r="E78" t="s">
        <v>367</v>
      </c>
      <c r="F78">
        <v>4</v>
      </c>
      <c r="G78" s="70">
        <v>1022211</v>
      </c>
      <c r="H78" t="s">
        <v>280</v>
      </c>
      <c r="I78" t="s">
        <v>922</v>
      </c>
      <c r="J78" t="s">
        <v>56</v>
      </c>
      <c r="K78" t="s">
        <v>56</v>
      </c>
      <c r="L78" t="s">
        <v>73</v>
      </c>
      <c r="M78" t="s">
        <v>56</v>
      </c>
      <c r="N78" t="s">
        <v>342</v>
      </c>
    </row>
    <row r="79" spans="1:14">
      <c r="A79" t="s">
        <v>306</v>
      </c>
      <c r="B79" t="s">
        <v>541</v>
      </c>
      <c r="C79" t="s">
        <v>46</v>
      </c>
      <c r="D79" t="s">
        <v>310</v>
      </c>
      <c r="E79" t="s">
        <v>317</v>
      </c>
      <c r="F79">
        <v>12</v>
      </c>
      <c r="G79" s="70">
        <v>22198</v>
      </c>
      <c r="H79" t="s">
        <v>280</v>
      </c>
      <c r="I79" t="s">
        <v>931</v>
      </c>
      <c r="J79" t="s">
        <v>56</v>
      </c>
      <c r="K79" t="s">
        <v>56</v>
      </c>
      <c r="L79" t="s">
        <v>73</v>
      </c>
      <c r="M79" t="s">
        <v>73</v>
      </c>
      <c r="N79" t="s">
        <v>73</v>
      </c>
    </row>
    <row r="80" spans="1:14">
      <c r="A80" t="s">
        <v>290</v>
      </c>
      <c r="B80" t="s">
        <v>508</v>
      </c>
      <c r="C80" t="s">
        <v>59</v>
      </c>
      <c r="D80" t="s">
        <v>310</v>
      </c>
      <c r="E80" t="s">
        <v>311</v>
      </c>
      <c r="F80">
        <v>1</v>
      </c>
      <c r="G80" s="70">
        <v>1376</v>
      </c>
      <c r="H80" t="s">
        <v>276</v>
      </c>
      <c r="I80" t="s">
        <v>917</v>
      </c>
      <c r="J80" t="s">
        <v>56</v>
      </c>
      <c r="K80" t="s">
        <v>56</v>
      </c>
      <c r="L80" t="s">
        <v>73</v>
      </c>
      <c r="M80" t="s">
        <v>56</v>
      </c>
      <c r="N80" t="s">
        <v>57</v>
      </c>
    </row>
    <row r="81" spans="1:14">
      <c r="A81" t="s">
        <v>290</v>
      </c>
      <c r="B81" t="s">
        <v>529</v>
      </c>
      <c r="C81" t="s">
        <v>46</v>
      </c>
      <c r="D81" t="s">
        <v>310</v>
      </c>
      <c r="E81" t="s">
        <v>311</v>
      </c>
      <c r="F81">
        <v>28</v>
      </c>
      <c r="G81" s="70">
        <v>357775</v>
      </c>
      <c r="H81" t="s">
        <v>276</v>
      </c>
      <c r="I81" t="s">
        <v>940</v>
      </c>
      <c r="J81" t="s">
        <v>56</v>
      </c>
      <c r="K81" t="s">
        <v>56</v>
      </c>
      <c r="L81" t="s">
        <v>56</v>
      </c>
      <c r="M81" t="s">
        <v>56</v>
      </c>
      <c r="N81" t="s">
        <v>304</v>
      </c>
    </row>
    <row r="82" spans="1:14" hidden="1">
      <c r="A82" t="s">
        <v>290</v>
      </c>
      <c r="B82" t="s">
        <v>509</v>
      </c>
      <c r="C82" t="s">
        <v>59</v>
      </c>
      <c r="D82" t="s">
        <v>271</v>
      </c>
      <c r="E82" t="s">
        <v>273</v>
      </c>
      <c r="F82">
        <v>26</v>
      </c>
      <c r="G82" s="70">
        <v>30383.55</v>
      </c>
      <c r="H82" t="s">
        <v>294</v>
      </c>
      <c r="I82" t="s">
        <v>919</v>
      </c>
      <c r="J82" t="s">
        <v>56</v>
      </c>
      <c r="K82" t="s">
        <v>56</v>
      </c>
      <c r="L82" t="s">
        <v>73</v>
      </c>
      <c r="M82" t="s">
        <v>56</v>
      </c>
      <c r="N82" t="s">
        <v>57</v>
      </c>
    </row>
    <row r="83" spans="1:14">
      <c r="A83" t="s">
        <v>290</v>
      </c>
      <c r="B83" t="s">
        <v>511</v>
      </c>
      <c r="C83" t="s">
        <v>59</v>
      </c>
      <c r="D83" t="s">
        <v>310</v>
      </c>
      <c r="E83" t="s">
        <v>311</v>
      </c>
      <c r="F83">
        <v>50</v>
      </c>
      <c r="G83" s="70">
        <v>1161167</v>
      </c>
      <c r="H83" t="s">
        <v>280</v>
      </c>
      <c r="I83" t="s">
        <v>922</v>
      </c>
      <c r="J83" t="s">
        <v>56</v>
      </c>
      <c r="K83" t="s">
        <v>56</v>
      </c>
      <c r="L83" t="s">
        <v>73</v>
      </c>
      <c r="M83" t="s">
        <v>56</v>
      </c>
      <c r="N83" t="s">
        <v>57</v>
      </c>
    </row>
    <row r="84" spans="1:14">
      <c r="A84" t="s">
        <v>290</v>
      </c>
      <c r="B84" t="s">
        <v>1629</v>
      </c>
      <c r="C84" t="s">
        <v>59</v>
      </c>
      <c r="D84" t="s">
        <v>316</v>
      </c>
      <c r="E84" t="s">
        <v>380</v>
      </c>
      <c r="F84">
        <v>1</v>
      </c>
      <c r="G84" s="70">
        <v>1234.8599999999999</v>
      </c>
      <c r="H84" t="s">
        <v>276</v>
      </c>
      <c r="I84" t="s">
        <v>927</v>
      </c>
      <c r="J84" t="s">
        <v>56</v>
      </c>
      <c r="K84" t="s">
        <v>56</v>
      </c>
      <c r="L84" t="s">
        <v>73</v>
      </c>
      <c r="M84" t="s">
        <v>56</v>
      </c>
      <c r="N84" t="s">
        <v>73</v>
      </c>
    </row>
    <row r="85" spans="1:14">
      <c r="A85" t="s">
        <v>290</v>
      </c>
      <c r="B85" t="s">
        <v>536</v>
      </c>
      <c r="C85" t="s">
        <v>46</v>
      </c>
      <c r="D85" t="s">
        <v>310</v>
      </c>
      <c r="E85" t="s">
        <v>317</v>
      </c>
      <c r="F85">
        <v>2</v>
      </c>
      <c r="G85" s="70">
        <v>27992</v>
      </c>
      <c r="H85" t="s">
        <v>297</v>
      </c>
      <c r="I85" t="s">
        <v>800</v>
      </c>
      <c r="J85" t="s">
        <v>304</v>
      </c>
      <c r="K85" t="s">
        <v>56</v>
      </c>
      <c r="L85" t="s">
        <v>304</v>
      </c>
      <c r="M85" t="s">
        <v>56</v>
      </c>
      <c r="N85" t="s">
        <v>304</v>
      </c>
    </row>
    <row r="86" spans="1:14">
      <c r="A86" t="s">
        <v>290</v>
      </c>
      <c r="B86" t="s">
        <v>830</v>
      </c>
      <c r="C86" t="s">
        <v>59</v>
      </c>
      <c r="D86" t="s">
        <v>284</v>
      </c>
      <c r="E86" t="s">
        <v>285</v>
      </c>
      <c r="F86">
        <v>3</v>
      </c>
      <c r="G86" s="70">
        <v>847691</v>
      </c>
      <c r="H86" t="s">
        <v>149</v>
      </c>
    </row>
    <row r="87" spans="1:14">
      <c r="A87" t="s">
        <v>290</v>
      </c>
      <c r="B87" t="s">
        <v>515</v>
      </c>
      <c r="C87" t="s">
        <v>59</v>
      </c>
      <c r="D87" t="s">
        <v>310</v>
      </c>
      <c r="E87" t="s">
        <v>273</v>
      </c>
      <c r="F87">
        <v>26</v>
      </c>
      <c r="G87" s="70">
        <v>2435786</v>
      </c>
      <c r="H87" t="s">
        <v>276</v>
      </c>
      <c r="I87" t="s">
        <v>917</v>
      </c>
      <c r="J87" t="s">
        <v>56</v>
      </c>
      <c r="K87" t="s">
        <v>56</v>
      </c>
      <c r="L87" t="s">
        <v>56</v>
      </c>
      <c r="M87" t="s">
        <v>56</v>
      </c>
      <c r="N87" t="s">
        <v>57</v>
      </c>
    </row>
    <row r="88" spans="1:14">
      <c r="A88" t="s">
        <v>290</v>
      </c>
      <c r="B88" t="s">
        <v>825</v>
      </c>
      <c r="C88" t="s">
        <v>59</v>
      </c>
      <c r="D88" t="s">
        <v>321</v>
      </c>
      <c r="E88" t="s">
        <v>317</v>
      </c>
      <c r="F88">
        <v>1</v>
      </c>
      <c r="G88" s="70">
        <v>14520</v>
      </c>
      <c r="H88" t="s">
        <v>149</v>
      </c>
      <c r="I88" t="s">
        <v>149</v>
      </c>
      <c r="J88" t="s">
        <v>322</v>
      </c>
      <c r="K88" t="s">
        <v>56</v>
      </c>
      <c r="L88" t="s">
        <v>73</v>
      </c>
      <c r="M88" t="s">
        <v>73</v>
      </c>
      <c r="N88" t="s">
        <v>57</v>
      </c>
    </row>
    <row r="89" spans="1:14">
      <c r="A89" t="s">
        <v>290</v>
      </c>
      <c r="B89" t="s">
        <v>776</v>
      </c>
      <c r="C89" t="s">
        <v>59</v>
      </c>
      <c r="D89" t="s">
        <v>284</v>
      </c>
      <c r="E89" t="s">
        <v>331</v>
      </c>
      <c r="F89">
        <v>33</v>
      </c>
      <c r="G89" s="70">
        <v>1585651</v>
      </c>
      <c r="H89" t="s">
        <v>303</v>
      </c>
      <c r="I89" t="s">
        <v>149</v>
      </c>
      <c r="J89" t="s">
        <v>322</v>
      </c>
      <c r="K89" t="s">
        <v>56</v>
      </c>
      <c r="L89" t="s">
        <v>73</v>
      </c>
      <c r="M89" t="s">
        <v>56</v>
      </c>
      <c r="N89" t="s">
        <v>57</v>
      </c>
    </row>
    <row r="90" spans="1:14">
      <c r="A90" t="s">
        <v>290</v>
      </c>
      <c r="B90" t="s">
        <v>539</v>
      </c>
      <c r="C90" t="s">
        <v>46</v>
      </c>
      <c r="D90" t="s">
        <v>316</v>
      </c>
      <c r="E90" t="s">
        <v>317</v>
      </c>
      <c r="G90" s="70">
        <v>172963.83</v>
      </c>
      <c r="H90" t="s">
        <v>281</v>
      </c>
      <c r="J90" t="s">
        <v>304</v>
      </c>
      <c r="K90" t="s">
        <v>304</v>
      </c>
      <c r="L90" t="s">
        <v>304</v>
      </c>
      <c r="M90" t="s">
        <v>304</v>
      </c>
      <c r="N90" t="s">
        <v>304</v>
      </c>
    </row>
  </sheetData>
  <mergeCells count="2">
    <mergeCell ref="A2:N2"/>
    <mergeCell ref="A3:N3"/>
  </mergeCells>
  <conditionalFormatting sqref="D6:D90">
    <cfRule type="containsText" dxfId="65" priority="1" operator="containsText" text="SHIPPED">
      <formula>NOT(ISERROR(SEARCH("SHIPPED",D6)))</formula>
    </cfRule>
    <cfRule type="containsText" dxfId="64" priority="2" operator="containsText" text="OB">
      <formula>NOT(ISERROR(SEARCH("OB",D6)))</formula>
    </cfRule>
    <cfRule type="containsText" dxfId="63" priority="3" operator="containsText" text="FC">
      <formula>NOT(ISERROR(SEARCH("FC",D6)))</formula>
    </cfRule>
    <cfRule type="containsText" dxfId="62" priority="4" operator="containsText" text="NOR">
      <formula>NOT(ISERROR(SEARCH("NOR",D6)))</formula>
    </cfRule>
  </conditionalFormatting>
  <conditionalFormatting sqref="J6:N90">
    <cfRule type="containsText" dxfId="61" priority="5" operator="containsText" text="Approved">
      <formula>NOT(ISERROR(SEARCH("Approved",J6)))</formula>
    </cfRule>
    <cfRule type="containsText" dxfId="60" priority="6" operator="containsText" text="In Progress">
      <formula>NOT(ISERROR(SEARCH("In Progress",J6)))</formula>
    </cfRule>
    <cfRule type="containsText" dxfId="59" priority="7" operator="containsText" text="Pending">
      <formula>NOT(ISERROR(SEARCH("Pending",J6)))</formula>
    </cfRule>
    <cfRule type="containsText" dxfId="58"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Props1.xml><?xml version="1.0" encoding="utf-8"?>
<ds:datastoreItem xmlns:ds="http://schemas.openxmlformats.org/officeDocument/2006/customXml" ds:itemID="{09CBF3A8-C3EE-4F1B-83E3-3405C3E09415}">
  <ds:schemaRefs>
    <ds:schemaRef ds:uri="http://schemas.microsoft.com/sharepoint/v3/contenttype/forms"/>
  </ds:schemaRefs>
</ds:datastoreItem>
</file>

<file path=customXml/itemProps2.xml><?xml version="1.0" encoding="utf-8"?>
<ds:datastoreItem xmlns:ds="http://schemas.openxmlformats.org/officeDocument/2006/customXml" ds:itemID="{F8510E86-E6AA-41CB-B9CC-5A2C41638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f83339-76b3-4b2c-b6ea-7e607d350028"/>
    <ds:schemaRef ds:uri="ee0eb624-82ca-416e-afe3-ca7f052cf3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09032E2-5A4D-45E6-BCC1-051CE90619F8}">
  <ds:schemaRef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2006/metadata/properties"/>
    <ds:schemaRef ds:uri="ee0eb624-82ca-416e-afe3-ca7f052cf3cf"/>
    <ds:schemaRef ds:uri="http://schemas.microsoft.com/office/infopath/2007/PartnerControls"/>
    <ds:schemaRef ds:uri="f2f83339-76b3-4b2c-b6ea-7e607d350028"/>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OLD</vt:lpstr>
      <vt:lpstr>Detail_New</vt:lpstr>
      <vt:lpstr>OVERALL.</vt:lpstr>
      <vt:lpstr>MOM Project</vt:lpstr>
      <vt:lpstr>MOM Project (2)</vt:lpstr>
      <vt:lpstr>2026</vt:lpstr>
      <vt:lpstr>2027</vt:lpstr>
      <vt:lpstr>PROTOTYPE</vt:lpstr>
      <vt:lpstr>BE</vt:lpstr>
      <vt:lpstr>OVERVIEW</vt:lpstr>
      <vt:lpstr>PIC</vt:lpstr>
      <vt:lpstr>CUS VALUE</vt:lpstr>
      <vt:lpstr>RH PIC</vt:lpstr>
      <vt:lpstr>Customer </vt:lpstr>
      <vt:lpstr>Detail</vt:lpstr>
      <vt:lpstr>STAGE DEFINITION</vt:lpstr>
      <vt:lpstr>2026 Calendar</vt:lpstr>
      <vt:lpstr>NPD Analysis</vt:lpstr>
      <vt:lpstr>Sheet1</vt:lpstr>
      <vt:lpstr>Folder structure</vt:lpstr>
      <vt:lpstr>Drop list</vt:lpstr>
      <vt:lpstr>Sheet2</vt:lpstr>
      <vt:lpstr>BACK SCHEDULE</vt:lpstr>
      <vt:lpstr>PDHS</vt:lpstr>
      <vt:lpstr>PIC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Annie Van, Pham Thi Ai / Hospitality Assistant Manager</cp:lastModifiedBy>
  <cp:revision/>
  <dcterms:created xsi:type="dcterms:W3CDTF">2026-01-08T06:23:28Z</dcterms:created>
  <dcterms:modified xsi:type="dcterms:W3CDTF">2026-10-30T05:08:30Z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