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schl\Documents\git\qb-excel-workpaper\sample-files\"/>
    </mc:Choice>
  </mc:AlternateContent>
  <xr:revisionPtr revIDLastSave="0" documentId="8_{1AAF79B7-1F89-48CE-B9CD-4D179A26B60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Balance Sheet" sheetId="2" r:id="rId1"/>
    <sheet name="Income Statement" sheetId="1" r:id="rId2"/>
    <sheet name="AJE's" sheetId="3" r:id="rId3"/>
  </sheets>
  <definedNames>
    <definedName name="cName">'AJE''s'!$C:$C</definedName>
    <definedName name="cVal">'AJE''s'!$E:$E</definedName>
    <definedName name="dName">'AJE''s'!$B:$B</definedName>
    <definedName name="dVal">'AJE''s'!$D:$D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2" l="1"/>
  <c r="F55" i="2"/>
  <c r="F73" i="1"/>
  <c r="F72" i="1"/>
  <c r="F71" i="1"/>
  <c r="D47" i="2"/>
  <c r="C47" i="2"/>
  <c r="D46" i="2"/>
  <c r="C46" i="2"/>
  <c r="D42" i="2"/>
  <c r="C42" i="2"/>
  <c r="D38" i="2"/>
  <c r="C38" i="2"/>
  <c r="D37" i="2"/>
  <c r="C37" i="2"/>
  <c r="D36" i="2"/>
  <c r="C36" i="2"/>
  <c r="D33" i="2"/>
  <c r="C33" i="2"/>
  <c r="D30" i="2"/>
  <c r="C30" i="2"/>
  <c r="D22" i="2"/>
  <c r="C22" i="2"/>
  <c r="D17" i="2"/>
  <c r="C17" i="2"/>
  <c r="D16" i="2"/>
  <c r="C16" i="2"/>
  <c r="D13" i="2"/>
  <c r="C13" i="2"/>
  <c r="D10" i="2"/>
  <c r="C10" i="2"/>
  <c r="D9" i="2"/>
  <c r="C9" i="2"/>
  <c r="D64" i="1"/>
  <c r="C64" i="1"/>
  <c r="D59" i="1"/>
  <c r="C59" i="1"/>
  <c r="D58" i="1"/>
  <c r="C58" i="1"/>
  <c r="D56" i="1"/>
  <c r="C56" i="1"/>
  <c r="D55" i="1"/>
  <c r="C55" i="1"/>
  <c r="D54" i="1"/>
  <c r="C54" i="1"/>
  <c r="D53" i="1"/>
  <c r="C53" i="1"/>
  <c r="D51" i="1"/>
  <c r="C51" i="1"/>
  <c r="D50" i="1"/>
  <c r="C50" i="1"/>
  <c r="D48" i="1"/>
  <c r="C48" i="1"/>
  <c r="D47" i="1"/>
  <c r="C47" i="1"/>
  <c r="D46" i="1"/>
  <c r="C46" i="1"/>
  <c r="D45" i="1"/>
  <c r="C45" i="1"/>
  <c r="D42" i="1"/>
  <c r="C42" i="1"/>
  <c r="D41" i="1"/>
  <c r="C41" i="1"/>
  <c r="D40" i="1"/>
  <c r="C40" i="1"/>
  <c r="D37" i="1"/>
  <c r="C37" i="1"/>
  <c r="D36" i="1"/>
  <c r="C36" i="1"/>
  <c r="D35" i="1"/>
  <c r="C35" i="1"/>
  <c r="D34" i="1"/>
  <c r="C34" i="1"/>
  <c r="D33" i="1"/>
  <c r="C33" i="1"/>
  <c r="D31" i="1"/>
  <c r="C31" i="1"/>
  <c r="D30" i="1"/>
  <c r="C30" i="1"/>
  <c r="D29" i="1"/>
  <c r="C29" i="1"/>
  <c r="D25" i="1"/>
  <c r="C25" i="1"/>
  <c r="D22" i="1"/>
  <c r="C22" i="1"/>
  <c r="D21" i="1"/>
  <c r="C21" i="1"/>
  <c r="D20" i="1"/>
  <c r="C20" i="1"/>
  <c r="D17" i="1"/>
  <c r="C17" i="1"/>
  <c r="D16" i="1"/>
  <c r="C16" i="1"/>
  <c r="D13" i="1"/>
  <c r="C13" i="1"/>
  <c r="D12" i="1"/>
  <c r="C12" i="1"/>
  <c r="D11" i="1"/>
  <c r="C11" i="1"/>
  <c r="D9" i="1"/>
  <c r="C9" i="1"/>
  <c r="D8" i="1"/>
  <c r="C8" i="1"/>
  <c r="D7" i="1"/>
  <c r="C7" i="1"/>
  <c r="B9" i="2"/>
  <c r="G9" i="2"/>
  <c r="G11" i="2" s="1"/>
  <c r="B10" i="2"/>
  <c r="B13" i="2"/>
  <c r="B14" i="2" s="1"/>
  <c r="G13" i="2"/>
  <c r="G14" i="2"/>
  <c r="B16" i="2"/>
  <c r="B17" i="2"/>
  <c r="G18" i="2"/>
  <c r="B22" i="2"/>
  <c r="B23" i="2"/>
  <c r="B24" i="2" s="1"/>
  <c r="G23" i="2"/>
  <c r="G24" i="2" s="1"/>
  <c r="B30" i="2"/>
  <c r="B31" i="2" s="1"/>
  <c r="G30" i="2"/>
  <c r="G31" i="2" s="1"/>
  <c r="B33" i="2"/>
  <c r="B34" i="2" s="1"/>
  <c r="G34" i="2"/>
  <c r="B36" i="2"/>
  <c r="B37" i="2"/>
  <c r="G37" i="2"/>
  <c r="G39" i="2" s="1"/>
  <c r="B38" i="2"/>
  <c r="B42" i="2"/>
  <c r="B43" i="2" s="1"/>
  <c r="G43" i="2"/>
  <c r="B46" i="2"/>
  <c r="B49" i="2" s="1"/>
  <c r="G46" i="2"/>
  <c r="B47" i="2"/>
  <c r="G47" i="2"/>
  <c r="B48" i="2"/>
  <c r="G65" i="1"/>
  <c r="G66" i="1" s="1"/>
  <c r="B64" i="1"/>
  <c r="B65" i="1" s="1"/>
  <c r="B66" i="1" s="1"/>
  <c r="G60" i="1"/>
  <c r="B59" i="1"/>
  <c r="B58" i="1"/>
  <c r="B56" i="1"/>
  <c r="B55" i="1"/>
  <c r="B54" i="1"/>
  <c r="B53" i="1"/>
  <c r="G52" i="1"/>
  <c r="B51" i="1"/>
  <c r="B50" i="1"/>
  <c r="G48" i="1"/>
  <c r="G49" i="1" s="1"/>
  <c r="B48" i="1"/>
  <c r="B47" i="1"/>
  <c r="B46" i="1"/>
  <c r="B45" i="1"/>
  <c r="G43" i="1"/>
  <c r="B42" i="1"/>
  <c r="B41" i="1"/>
  <c r="B40" i="1"/>
  <c r="G38" i="1"/>
  <c r="B37" i="1"/>
  <c r="B36" i="1"/>
  <c r="B35" i="1"/>
  <c r="B34" i="1"/>
  <c r="B33" i="1"/>
  <c r="G32" i="1"/>
  <c r="B31" i="1"/>
  <c r="B30" i="1"/>
  <c r="B29" i="1"/>
  <c r="G26" i="1"/>
  <c r="B25" i="1"/>
  <c r="B26" i="1" s="1"/>
  <c r="B22" i="1"/>
  <c r="B21" i="1"/>
  <c r="G20" i="1"/>
  <c r="B20" i="1"/>
  <c r="G18" i="1"/>
  <c r="B17" i="1"/>
  <c r="B16" i="1"/>
  <c r="B18" i="1" s="1"/>
  <c r="B13" i="1"/>
  <c r="G12" i="1"/>
  <c r="G14" i="1" s="1"/>
  <c r="B12" i="1"/>
  <c r="B11" i="1"/>
  <c r="G9" i="1"/>
  <c r="B9" i="1"/>
  <c r="B8" i="1"/>
  <c r="B7" i="1"/>
  <c r="F54" i="1" l="1"/>
  <c r="F9" i="1"/>
  <c r="F22" i="2"/>
  <c r="F23" i="2" s="1"/>
  <c r="F24" i="2" s="1"/>
  <c r="C69" i="1"/>
  <c r="C48" i="2" s="1"/>
  <c r="F10" i="2"/>
  <c r="F30" i="1"/>
  <c r="F59" i="1"/>
  <c r="F22" i="1"/>
  <c r="F47" i="2"/>
  <c r="F47" i="1"/>
  <c r="F37" i="2"/>
  <c r="F38" i="2"/>
  <c r="F34" i="1"/>
  <c r="F12" i="1"/>
  <c r="F42" i="1"/>
  <c r="F55" i="1"/>
  <c r="D69" i="1"/>
  <c r="D48" i="2" s="1"/>
  <c r="F48" i="2" s="1"/>
  <c r="F20" i="1"/>
  <c r="F35" i="1"/>
  <c r="F48" i="1"/>
  <c r="F36" i="2"/>
  <c r="F31" i="1"/>
  <c r="F51" i="1"/>
  <c r="F42" i="2"/>
  <c r="F43" i="2" s="1"/>
  <c r="F17" i="2"/>
  <c r="F16" i="2"/>
  <c r="B11" i="2"/>
  <c r="F33" i="2"/>
  <c r="F34" i="2" s="1"/>
  <c r="F9" i="2"/>
  <c r="F13" i="2"/>
  <c r="F14" i="2" s="1"/>
  <c r="F30" i="2"/>
  <c r="F31" i="2" s="1"/>
  <c r="F46" i="2"/>
  <c r="B18" i="2"/>
  <c r="F11" i="1"/>
  <c r="F41" i="1"/>
  <c r="F50" i="1"/>
  <c r="F58" i="1"/>
  <c r="F60" i="1" s="1"/>
  <c r="F7" i="1"/>
  <c r="B32" i="1"/>
  <c r="B38" i="1"/>
  <c r="B52" i="1"/>
  <c r="F56" i="1"/>
  <c r="F21" i="1"/>
  <c r="F8" i="1"/>
  <c r="F37" i="1"/>
  <c r="F29" i="1"/>
  <c r="F46" i="1"/>
  <c r="F17" i="1"/>
  <c r="F33" i="1"/>
  <c r="F40" i="1"/>
  <c r="F53" i="1"/>
  <c r="F13" i="1"/>
  <c r="F45" i="1"/>
  <c r="F49" i="1" s="1"/>
  <c r="F64" i="1"/>
  <c r="F65" i="1" s="1"/>
  <c r="F66" i="1" s="1"/>
  <c r="F25" i="1"/>
  <c r="F26" i="1" s="1"/>
  <c r="F16" i="1"/>
  <c r="F36" i="1"/>
  <c r="F38" i="1" s="1"/>
  <c r="B49" i="1"/>
  <c r="G40" i="2"/>
  <c r="G44" i="2" s="1"/>
  <c r="B39" i="2"/>
  <c r="B40" i="2" s="1"/>
  <c r="B44" i="2" s="1"/>
  <c r="B50" i="2" s="1"/>
  <c r="G19" i="2"/>
  <c r="G25" i="2" s="1"/>
  <c r="G49" i="2"/>
  <c r="B19" i="1"/>
  <c r="B23" i="1" s="1"/>
  <c r="B27" i="1" s="1"/>
  <c r="G44" i="1"/>
  <c r="G61" i="1" s="1"/>
  <c r="B60" i="1"/>
  <c r="B14" i="1"/>
  <c r="B43" i="1"/>
  <c r="B19" i="2"/>
  <c r="B25" i="2" s="1"/>
  <c r="G19" i="1"/>
  <c r="G23" i="1" s="1"/>
  <c r="G27" i="1" s="1"/>
  <c r="F32" i="1" l="1"/>
  <c r="F43" i="1"/>
  <c r="F44" i="1" s="1"/>
  <c r="F18" i="2"/>
  <c r="F14" i="1"/>
  <c r="F18" i="1"/>
  <c r="F49" i="2"/>
  <c r="F39" i="2"/>
  <c r="F52" i="1"/>
  <c r="F11" i="2"/>
  <c r="F19" i="2" s="1"/>
  <c r="F25" i="2" s="1"/>
  <c r="F54" i="2"/>
  <c r="F19" i="1"/>
  <c r="F23" i="1" s="1"/>
  <c r="F27" i="1" s="1"/>
  <c r="F40" i="2"/>
  <c r="F44" i="2" s="1"/>
  <c r="B44" i="1"/>
  <c r="B61" i="1" s="1"/>
  <c r="B62" i="1" s="1"/>
  <c r="B67" i="1" s="1"/>
  <c r="G50" i="2"/>
  <c r="G62" i="1"/>
  <c r="G67" i="1" s="1"/>
  <c r="F50" i="2" l="1"/>
  <c r="F61" i="1"/>
  <c r="F62" i="1" s="1"/>
  <c r="F67" i="1" s="1"/>
</calcChain>
</file>

<file path=xl/sharedStrings.xml><?xml version="1.0" encoding="utf-8"?>
<sst xmlns="http://schemas.openxmlformats.org/spreadsheetml/2006/main" count="127" uniqueCount="115">
  <si>
    <t>Jan - Dec 2020</t>
  </si>
  <si>
    <t>Jan - Dec 2019 (PY)</t>
  </si>
  <si>
    <t>Income</t>
  </si>
  <si>
    <t>Total Income</t>
  </si>
  <si>
    <t>Cost of Goods Sold</t>
  </si>
  <si>
    <t>Total Cost of Goods Sold</t>
  </si>
  <si>
    <t>Gross Profit</t>
  </si>
  <si>
    <t>Expenses</t>
  </si>
  <si>
    <t>Total Expenses</t>
  </si>
  <si>
    <t>Net Operating Income</t>
  </si>
  <si>
    <t>Other Expenses</t>
  </si>
  <si>
    <t>Total Other Expenses</t>
  </si>
  <si>
    <t>Net Other Income</t>
  </si>
  <si>
    <t>Net Income</t>
  </si>
  <si>
    <t>Sandbox Company_US_1</t>
  </si>
  <si>
    <t>Profit and Loss Comparison</t>
  </si>
  <si>
    <t>January - December 2020</t>
  </si>
  <si>
    <t>TOTAL LIABILITIES AND EQUITY</t>
  </si>
  <si>
    <t>LIABILITIES AND EQUITY</t>
  </si>
  <si>
    <t>TOTAL ASSETS</t>
  </si>
  <si>
    <t>ASSETS</t>
  </si>
  <si>
    <t>As of Dec 31, 2019 (PP)</t>
  </si>
  <si>
    <t>As of Dec 31, 2020</t>
  </si>
  <si>
    <t>As of December 31, 2020</t>
  </si>
  <si>
    <t xml:space="preserve">Balance Sheet Comparison </t>
  </si>
  <si>
    <t>Current Assets</t>
  </si>
  <si>
    <t>Bank Accounts</t>
  </si>
  <si>
    <t>Checking</t>
  </si>
  <si>
    <t>Savings</t>
  </si>
  <si>
    <t>Total Bank Accounts</t>
  </si>
  <si>
    <t>Accounts Receivable</t>
  </si>
  <si>
    <t>Accounts Receivable (A/R)</t>
  </si>
  <si>
    <t>Total Accounts Receivable</t>
  </si>
  <si>
    <t>Other Current Assets</t>
  </si>
  <si>
    <t>Inventory Asset</t>
  </si>
  <si>
    <t>Undeposited Funds</t>
  </si>
  <si>
    <t>Total Other Current Assets</t>
  </si>
  <si>
    <t>Total Current Assets</t>
  </si>
  <si>
    <t>Fixed Assets</t>
  </si>
  <si>
    <t>Truck</t>
  </si>
  <si>
    <t>Original Cost</t>
  </si>
  <si>
    <t>Total Truck</t>
  </si>
  <si>
    <t>Total Fixed Assets</t>
  </si>
  <si>
    <t>Liabilities</t>
  </si>
  <si>
    <t>Current Liabilities</t>
  </si>
  <si>
    <t>Accounts Payable</t>
  </si>
  <si>
    <t>Accounts Payable (A/P)</t>
  </si>
  <si>
    <t>Total Accounts Payable</t>
  </si>
  <si>
    <t>Credit Cards</t>
  </si>
  <si>
    <t>Mastercard</t>
  </si>
  <si>
    <t>Total Credit Cards</t>
  </si>
  <si>
    <t>Other Current Liabilities</t>
  </si>
  <si>
    <t>Arizona Dept. of Revenue Payable</t>
  </si>
  <si>
    <t>Board of Equalization Payable</t>
  </si>
  <si>
    <t>Loan Payable</t>
  </si>
  <si>
    <t>Total Other Current Liabilities</t>
  </si>
  <si>
    <t>Total Current Liabilities</t>
  </si>
  <si>
    <t>Long-Term Liabilities</t>
  </si>
  <si>
    <t>Notes Payable</t>
  </si>
  <si>
    <t>Total Long-Term Liabilities</t>
  </si>
  <si>
    <t>Total Liabilities</t>
  </si>
  <si>
    <t>Equity</t>
  </si>
  <si>
    <t>Opening Balance Equity</t>
  </si>
  <si>
    <t>Retained Earnings</t>
  </si>
  <si>
    <t>Total Equity</t>
  </si>
  <si>
    <t>Design income</t>
  </si>
  <si>
    <t>Discounts given</t>
  </si>
  <si>
    <t>Landscaping Services</t>
  </si>
  <si>
    <t>Job Materials</t>
  </si>
  <si>
    <t>Fountains and Garden Lighting</t>
  </si>
  <si>
    <t>Plants and Soil</t>
  </si>
  <si>
    <t>Sprinklers and Drip Systems</t>
  </si>
  <si>
    <t>Total Job Materials</t>
  </si>
  <si>
    <t>Labor</t>
  </si>
  <si>
    <t>Installation</t>
  </si>
  <si>
    <t>Maintenance and Repair</t>
  </si>
  <si>
    <t>Total Labor</t>
  </si>
  <si>
    <t>Total Landscaping Services</t>
  </si>
  <si>
    <t>Pest Control Services</t>
  </si>
  <si>
    <t>Sales of Product Income</t>
  </si>
  <si>
    <t>Services</t>
  </si>
  <si>
    <t>Advertising</t>
  </si>
  <si>
    <t>Automobile</t>
  </si>
  <si>
    <t>Fuel</t>
  </si>
  <si>
    <t>Total Automobile</t>
  </si>
  <si>
    <t>Equipment Rental</t>
  </si>
  <si>
    <t>Insurance</t>
  </si>
  <si>
    <t>Job Expenses</t>
  </si>
  <si>
    <t>Cost of Labor</t>
  </si>
  <si>
    <t>Maintenance and Repairs</t>
  </si>
  <si>
    <t>Total Cost of Labor</t>
  </si>
  <si>
    <t>Decks and Patios</t>
  </si>
  <si>
    <t>Total Job Expenses</t>
  </si>
  <si>
    <t>Legal &amp; Professional Fees</t>
  </si>
  <si>
    <t>Accounting</t>
  </si>
  <si>
    <t>Bookkeeper</t>
  </si>
  <si>
    <t>Lawyer</t>
  </si>
  <si>
    <t>Total Legal &amp; Professional Fees</t>
  </si>
  <si>
    <t>Equipment Repairs</t>
  </si>
  <si>
    <t>Total Maintenance and Repair</t>
  </si>
  <si>
    <t>Meals and Entertainment</t>
  </si>
  <si>
    <t>Office Expenses</t>
  </si>
  <si>
    <t>Rent or Lease</t>
  </si>
  <si>
    <t>Travel</t>
  </si>
  <si>
    <t>Utilities</t>
  </si>
  <si>
    <t>Gas and Electric</t>
  </si>
  <si>
    <t>Telephone</t>
  </si>
  <si>
    <t>Total Utilities</t>
  </si>
  <si>
    <t>Miscellaneous</t>
  </si>
  <si>
    <t>AJE's</t>
  </si>
  <si>
    <t>Adjusted</t>
  </si>
  <si>
    <t>Cash</t>
  </si>
  <si>
    <t>client said no inventory at year end</t>
  </si>
  <si>
    <t>accounting</t>
  </si>
  <si>
    <t>lawyers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</si>
</sst>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.00_);_(* \(#,##0.00\);_(* &quot;-&quot;_);_(@_)"/>
  </numFmts>
  <fonts count="3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Continuous"/>
    </xf>
    <xf numFmtId="166" fontId="0" fillId="0" borderId="0" xfId="0" applyNumberFormat="1" applyAlignment="1">
      <alignment horizontal="centerContinuous"/>
    </xf>
    <xf numFmtId="166" fontId="0" fillId="0" borderId="0" xfId="0" applyNumberFormat="1"/>
    <xf numFmtId="0" fontId="0" fillId="0" borderId="0" xfId="0" applyFont="1" applyAlignment="1">
      <alignment horizontal="centerContinuous"/>
    </xf>
    <xf numFmtId="1" fontId="0" fillId="0" borderId="0" xfId="0" applyNumberFormat="1" applyFont="1" applyAlignment="1">
      <alignment horizontal="centerContinuous"/>
    </xf>
    <xf numFmtId="0" fontId="0" fillId="0" borderId="0" xfId="0" applyFont="1" applyAlignment="1"/>
    <xf numFmtId="0" fontId="1" fillId="0" borderId="0" xfId="0" applyFont="1" applyAlignment="1">
      <alignment horizontal="centerContinuous"/>
    </xf>
    <xf numFmtId="0" fontId="0" fillId="0" borderId="0" xfId="0" applyFont="1"/>
    <xf numFmtId="1" fontId="0" fillId="0" borderId="0" xfId="0" applyNumberFormat="1" applyFont="1"/>
    <xf numFmtId="166" fontId="0" fillId="0" borderId="0" xfId="0" applyNumberFormat="1" applyFont="1"/>
    <xf numFmtId="166" fontId="0" fillId="0" borderId="0" xfId="0" applyNumberFormat="1" applyFont="1" applyAlignment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166" fontId="0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4"/>
    </xf>
    <xf numFmtId="0" fontId="1" fillId="0" borderId="0" xfId="0" applyFont="1" applyAlignment="1">
      <alignment horizontal="left" indent="6"/>
    </xf>
    <xf numFmtId="166" fontId="1" fillId="0" borderId="2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left" indent="8"/>
    </xf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89EA-0C52-4A50-8FA8-23793D1F73BB}">
  <sheetPr codeName="Sheet2">
    <pageSetUpPr fitToPage="1"/>
  </sheetPr>
  <dimension ref="A1:G60"/>
  <sheetViews>
    <sheetView topLeftCell="A39" workbookViewId="0">
      <selection activeCell="A16" sqref="A16"/>
    </sheetView>
  </sheetViews>
  <sheetFormatPr defaultRowHeight="13.2" x14ac:dyDescent="0.25"/>
  <cols>
    <col min="1" max="1" width="44.77734375" style="6" bestFit="1" customWidth="1"/>
    <col min="2" max="2" width="14.33203125" style="6" customWidth="1"/>
    <col min="3" max="4" width="14.33203125" style="8" customWidth="1"/>
    <col min="5" max="5" width="3.6640625" style="9" customWidth="1"/>
    <col min="6" max="7" width="14.33203125" style="6" customWidth="1"/>
    <col min="8" max="16384" width="8.88671875" style="6"/>
  </cols>
  <sheetData>
    <row r="1" spans="1:7" x14ac:dyDescent="0.25">
      <c r="A1" s="7" t="s">
        <v>14</v>
      </c>
      <c r="B1" s="4"/>
      <c r="C1" s="4"/>
      <c r="D1" s="4"/>
      <c r="E1" s="5"/>
      <c r="F1" s="4"/>
      <c r="G1" s="4"/>
    </row>
    <row r="2" spans="1:7" x14ac:dyDescent="0.25">
      <c r="A2" s="7" t="s">
        <v>24</v>
      </c>
      <c r="B2" s="4"/>
      <c r="C2" s="4"/>
      <c r="D2" s="4"/>
      <c r="E2" s="5"/>
      <c r="F2" s="4"/>
      <c r="G2" s="4"/>
    </row>
    <row r="3" spans="1:7" x14ac:dyDescent="0.25">
      <c r="A3" s="7" t="s">
        <v>23</v>
      </c>
      <c r="B3" s="4"/>
      <c r="C3" s="4"/>
      <c r="D3" s="4"/>
      <c r="E3" s="5"/>
      <c r="F3" s="4"/>
      <c r="G3" s="4"/>
    </row>
    <row r="5" spans="1:7" ht="26.4" x14ac:dyDescent="0.25">
      <c r="B5" s="12" t="s">
        <v>22</v>
      </c>
      <c r="F5" s="12" t="s">
        <v>110</v>
      </c>
      <c r="G5" s="12" t="s">
        <v>21</v>
      </c>
    </row>
    <row r="6" spans="1:7" x14ac:dyDescent="0.25">
      <c r="A6" s="13" t="s">
        <v>20</v>
      </c>
      <c r="B6" s="11"/>
      <c r="C6" s="10"/>
      <c r="D6" s="10"/>
      <c r="F6" s="11"/>
      <c r="G6" s="11"/>
    </row>
    <row r="7" spans="1:7" x14ac:dyDescent="0.25">
      <c r="A7" s="14" t="s">
        <v>25</v>
      </c>
      <c r="B7" s="11"/>
      <c r="C7" s="10"/>
      <c r="D7" s="10"/>
      <c r="F7" s="11"/>
      <c r="G7" s="11"/>
    </row>
    <row r="8" spans="1:7" x14ac:dyDescent="0.25">
      <c r="A8" s="16" t="s">
        <v>26</v>
      </c>
      <c r="B8" s="11"/>
      <c r="C8" s="10"/>
      <c r="D8" s="10"/>
      <c r="F8" s="11"/>
      <c r="G8" s="11"/>
    </row>
    <row r="9" spans="1:7" x14ac:dyDescent="0.25">
      <c r="A9" s="17" t="s">
        <v>27</v>
      </c>
      <c r="B9" s="15">
        <f>-1499</f>
        <v>-1499</v>
      </c>
      <c r="C9" s="10">
        <f>SUMIF(dName,A9,dVal)</f>
        <v>0</v>
      </c>
      <c r="D9" s="10">
        <f>SUMIF(cName,A9,cVal)</f>
        <v>0</v>
      </c>
      <c r="E9" s="9">
        <v>1</v>
      </c>
      <c r="F9" s="15">
        <f>B9+C9-D9</f>
        <v>-1499</v>
      </c>
      <c r="G9" s="15">
        <f>5000</f>
        <v>5000</v>
      </c>
    </row>
    <row r="10" spans="1:7" x14ac:dyDescent="0.25">
      <c r="A10" s="17" t="s">
        <v>28</v>
      </c>
      <c r="B10" s="15">
        <f>800</f>
        <v>800</v>
      </c>
      <c r="C10" s="10">
        <f>SUMIF(dName,A10,dVal)</f>
        <v>0</v>
      </c>
      <c r="D10" s="10">
        <f>SUMIF(cName,A10,cVal)</f>
        <v>0</v>
      </c>
      <c r="E10" s="9">
        <v>1</v>
      </c>
      <c r="F10" s="15">
        <f>B10+C10-D10</f>
        <v>800</v>
      </c>
      <c r="G10" s="11"/>
    </row>
    <row r="11" spans="1:7" x14ac:dyDescent="0.25">
      <c r="A11" s="16" t="s">
        <v>29</v>
      </c>
      <c r="B11" s="19">
        <f>(B9)+(B10)</f>
        <v>-699</v>
      </c>
      <c r="C11" s="10"/>
      <c r="D11" s="10"/>
      <c r="F11" s="19">
        <f>SUM(F9:F10)</f>
        <v>-699</v>
      </c>
      <c r="G11" s="19">
        <f>(G9)+(G10)</f>
        <v>5000</v>
      </c>
    </row>
    <row r="12" spans="1:7" x14ac:dyDescent="0.25">
      <c r="A12" s="16" t="s">
        <v>30</v>
      </c>
      <c r="B12" s="11"/>
      <c r="C12" s="10"/>
      <c r="D12" s="10"/>
      <c r="F12" s="11"/>
      <c r="G12" s="11"/>
    </row>
    <row r="13" spans="1:7" x14ac:dyDescent="0.25">
      <c r="A13" s="17" t="s">
        <v>31</v>
      </c>
      <c r="B13" s="15">
        <f>6081.52</f>
        <v>6081.52</v>
      </c>
      <c r="C13" s="10">
        <f>SUMIF(dName,A13,dVal)</f>
        <v>0</v>
      </c>
      <c r="D13" s="10">
        <f>SUMIF(cName,A13,cVal)</f>
        <v>0</v>
      </c>
      <c r="F13" s="15">
        <f>B13+C13-D13</f>
        <v>6081.52</v>
      </c>
      <c r="G13" s="15">
        <f>401.75</f>
        <v>401.75</v>
      </c>
    </row>
    <row r="14" spans="1:7" x14ac:dyDescent="0.25">
      <c r="A14" s="16" t="s">
        <v>32</v>
      </c>
      <c r="B14" s="19">
        <f>B13</f>
        <v>6081.52</v>
      </c>
      <c r="C14" s="10"/>
      <c r="D14" s="10"/>
      <c r="F14" s="19">
        <f>SUM(F13:F13)</f>
        <v>6081.52</v>
      </c>
      <c r="G14" s="19">
        <f>G13</f>
        <v>401.75</v>
      </c>
    </row>
    <row r="15" spans="1:7" x14ac:dyDescent="0.25">
      <c r="A15" s="16" t="s">
        <v>33</v>
      </c>
      <c r="B15" s="11"/>
      <c r="C15" s="10"/>
      <c r="D15" s="10"/>
      <c r="F15" s="11"/>
      <c r="G15" s="11"/>
    </row>
    <row r="16" spans="1:7" x14ac:dyDescent="0.25">
      <c r="A16" s="17" t="s">
        <v>34</v>
      </c>
      <c r="B16" s="15">
        <f>596.25</f>
        <v>596.25</v>
      </c>
      <c r="C16" s="10">
        <f>SUMIF(dName,A16,dVal)</f>
        <v>0</v>
      </c>
      <c r="D16" s="10">
        <f>SUMIF(cName,A16,cVal)</f>
        <v>596.25</v>
      </c>
      <c r="F16" s="15">
        <f>B16+C16-D16</f>
        <v>0</v>
      </c>
      <c r="G16" s="11"/>
    </row>
    <row r="17" spans="1:7" x14ac:dyDescent="0.25">
      <c r="A17" s="17" t="s">
        <v>35</v>
      </c>
      <c r="B17" s="15">
        <f>2062.52</f>
        <v>2062.52</v>
      </c>
      <c r="C17" s="10">
        <f>SUMIF(dName,A17,dVal)</f>
        <v>0</v>
      </c>
      <c r="D17" s="10">
        <f>SUMIF(cName,A17,cVal)</f>
        <v>0</v>
      </c>
      <c r="E17" s="9">
        <v>1</v>
      </c>
      <c r="F17" s="15">
        <f>B17+C17-D17</f>
        <v>2062.52</v>
      </c>
      <c r="G17" s="11"/>
    </row>
    <row r="18" spans="1:7" x14ac:dyDescent="0.25">
      <c r="A18" s="16" t="s">
        <v>36</v>
      </c>
      <c r="B18" s="19">
        <f>(B16)+(B17)</f>
        <v>2658.77</v>
      </c>
      <c r="C18" s="10"/>
      <c r="D18" s="10"/>
      <c r="F18" s="19">
        <f>SUM(F16:F17)</f>
        <v>2062.52</v>
      </c>
      <c r="G18" s="19">
        <f>(G16)+(G17)</f>
        <v>0</v>
      </c>
    </row>
    <row r="19" spans="1:7" x14ac:dyDescent="0.25">
      <c r="A19" s="14" t="s">
        <v>37</v>
      </c>
      <c r="B19" s="19">
        <f>((B11)+(B14))+(B18)</f>
        <v>8041.2900000000009</v>
      </c>
      <c r="C19" s="10"/>
      <c r="D19" s="10"/>
      <c r="F19" s="19">
        <f>SUM(F11:F11,F14:F14,F18:F18)</f>
        <v>7445.0400000000009</v>
      </c>
      <c r="G19" s="19">
        <f>((G11)+(G14))+(G18)</f>
        <v>5401.75</v>
      </c>
    </row>
    <row r="20" spans="1:7" x14ac:dyDescent="0.25">
      <c r="A20" s="14" t="s">
        <v>38</v>
      </c>
      <c r="B20" s="11"/>
      <c r="C20" s="10"/>
      <c r="D20" s="10"/>
      <c r="F20" s="11"/>
      <c r="G20" s="11"/>
    </row>
    <row r="21" spans="1:7" x14ac:dyDescent="0.25">
      <c r="A21" s="16" t="s">
        <v>39</v>
      </c>
      <c r="B21" s="11"/>
      <c r="C21" s="10"/>
      <c r="D21" s="10"/>
      <c r="F21" s="11"/>
      <c r="G21" s="11"/>
    </row>
    <row r="22" spans="1:7" x14ac:dyDescent="0.25">
      <c r="A22" s="17" t="s">
        <v>40</v>
      </c>
      <c r="B22" s="15">
        <f>13495</f>
        <v>13495</v>
      </c>
      <c r="C22" s="10">
        <f>SUMIF(dName,A22,dVal)</f>
        <v>0</v>
      </c>
      <c r="D22" s="10">
        <f>SUMIF(cName,A22,cVal)</f>
        <v>0</v>
      </c>
      <c r="F22" s="15">
        <f>B22+C22-D22</f>
        <v>13495</v>
      </c>
      <c r="G22" s="11"/>
    </row>
    <row r="23" spans="1:7" x14ac:dyDescent="0.25">
      <c r="A23" s="16" t="s">
        <v>41</v>
      </c>
      <c r="B23" s="19">
        <f>(B21)+(B22)</f>
        <v>13495</v>
      </c>
      <c r="C23" s="10"/>
      <c r="D23" s="10"/>
      <c r="F23" s="19">
        <f>SUM(F21:F22)</f>
        <v>13495</v>
      </c>
      <c r="G23" s="19">
        <f>(G21)+(G22)</f>
        <v>0</v>
      </c>
    </row>
    <row r="24" spans="1:7" x14ac:dyDescent="0.25">
      <c r="A24" s="14" t="s">
        <v>42</v>
      </c>
      <c r="B24" s="19">
        <f>B23</f>
        <v>13495</v>
      </c>
      <c r="C24" s="10"/>
      <c r="D24" s="10"/>
      <c r="F24" s="19">
        <f>SUM(F23:F23)</f>
        <v>13495</v>
      </c>
      <c r="G24" s="19">
        <f>G23</f>
        <v>0</v>
      </c>
    </row>
    <row r="25" spans="1:7" x14ac:dyDescent="0.25">
      <c r="A25" s="13" t="s">
        <v>19</v>
      </c>
      <c r="B25" s="19">
        <f>(B19)+(B24)</f>
        <v>21536.29</v>
      </c>
      <c r="C25" s="10"/>
      <c r="D25" s="10"/>
      <c r="F25" s="19">
        <f>SUM(F19:F19,F24:F24)</f>
        <v>20940.04</v>
      </c>
      <c r="G25" s="19">
        <f>(G19)+(G24)</f>
        <v>5401.75</v>
      </c>
    </row>
    <row r="26" spans="1:7" x14ac:dyDescent="0.25">
      <c r="A26" s="13" t="s">
        <v>18</v>
      </c>
      <c r="B26" s="11"/>
      <c r="C26" s="10"/>
      <c r="D26" s="10"/>
      <c r="F26" s="11"/>
      <c r="G26" s="11"/>
    </row>
    <row r="27" spans="1:7" x14ac:dyDescent="0.25">
      <c r="A27" s="14" t="s">
        <v>43</v>
      </c>
      <c r="B27" s="11"/>
      <c r="C27" s="10"/>
      <c r="D27" s="10"/>
      <c r="F27" s="11"/>
      <c r="G27" s="11"/>
    </row>
    <row r="28" spans="1:7" x14ac:dyDescent="0.25">
      <c r="A28" s="16" t="s">
        <v>44</v>
      </c>
      <c r="B28" s="11"/>
      <c r="C28" s="10"/>
      <c r="D28" s="10"/>
      <c r="F28" s="11"/>
      <c r="G28" s="11"/>
    </row>
    <row r="29" spans="1:7" x14ac:dyDescent="0.25">
      <c r="A29" s="17" t="s">
        <v>45</v>
      </c>
      <c r="B29" s="11"/>
      <c r="C29" s="10"/>
      <c r="D29" s="10"/>
      <c r="F29" s="11"/>
      <c r="G29" s="11"/>
    </row>
    <row r="30" spans="1:7" x14ac:dyDescent="0.25">
      <c r="A30" s="20" t="s">
        <v>46</v>
      </c>
      <c r="B30" s="15">
        <f>1602.67</f>
        <v>1602.67</v>
      </c>
      <c r="C30" s="10">
        <f>SUMIF(dName,A30,dVal)</f>
        <v>0</v>
      </c>
      <c r="D30" s="10">
        <f>SUMIF(cName,A30,cVal)</f>
        <v>0</v>
      </c>
      <c r="F30" s="15">
        <f>B30-C30+D30</f>
        <v>1602.67</v>
      </c>
      <c r="G30" s="15">
        <f>300</f>
        <v>300</v>
      </c>
    </row>
    <row r="31" spans="1:7" x14ac:dyDescent="0.25">
      <c r="A31" s="17" t="s">
        <v>47</v>
      </c>
      <c r="B31" s="19">
        <f>B30</f>
        <v>1602.67</v>
      </c>
      <c r="C31" s="10"/>
      <c r="D31" s="10"/>
      <c r="F31" s="19">
        <f>SUM(F30:F30)</f>
        <v>1602.67</v>
      </c>
      <c r="G31" s="19">
        <f>G30</f>
        <v>300</v>
      </c>
    </row>
    <row r="32" spans="1:7" x14ac:dyDescent="0.25">
      <c r="A32" s="17" t="s">
        <v>48</v>
      </c>
      <c r="B32" s="11"/>
      <c r="C32" s="10"/>
      <c r="D32" s="10"/>
      <c r="F32" s="11"/>
      <c r="G32" s="11"/>
    </row>
    <row r="33" spans="1:7" x14ac:dyDescent="0.25">
      <c r="A33" s="20" t="s">
        <v>49</v>
      </c>
      <c r="B33" s="15">
        <f>157.72</f>
        <v>157.72</v>
      </c>
      <c r="C33" s="10">
        <f>SUMIF(dName,A33,dVal)</f>
        <v>0</v>
      </c>
      <c r="D33" s="10">
        <f>SUMIF(cName,A33,cVal)</f>
        <v>0</v>
      </c>
      <c r="F33" s="15">
        <f>B33-C33+D33</f>
        <v>157.72</v>
      </c>
      <c r="G33" s="11"/>
    </row>
    <row r="34" spans="1:7" x14ac:dyDescent="0.25">
      <c r="A34" s="17" t="s">
        <v>50</v>
      </c>
      <c r="B34" s="19">
        <f>B33</f>
        <v>157.72</v>
      </c>
      <c r="C34" s="10"/>
      <c r="D34" s="10"/>
      <c r="F34" s="19">
        <f>SUM(F33:F33)</f>
        <v>157.72</v>
      </c>
      <c r="G34" s="19">
        <f>G33</f>
        <v>0</v>
      </c>
    </row>
    <row r="35" spans="1:7" x14ac:dyDescent="0.25">
      <c r="A35" s="17" t="s">
        <v>51</v>
      </c>
      <c r="B35" s="11"/>
      <c r="C35" s="10"/>
      <c r="D35" s="10"/>
      <c r="F35" s="11"/>
      <c r="G35" s="11"/>
    </row>
    <row r="36" spans="1:7" x14ac:dyDescent="0.25">
      <c r="A36" s="20" t="s">
        <v>52</v>
      </c>
      <c r="B36" s="15">
        <f>0</f>
        <v>0</v>
      </c>
      <c r="C36" s="10">
        <f>SUMIF(dName,A36,dVal)</f>
        <v>0</v>
      </c>
      <c r="D36" s="10">
        <f>SUMIF(cName,A36,cVal)</f>
        <v>0</v>
      </c>
      <c r="F36" s="15">
        <f>B36-C36+D36</f>
        <v>0</v>
      </c>
      <c r="G36" s="11"/>
    </row>
    <row r="37" spans="1:7" x14ac:dyDescent="0.25">
      <c r="A37" s="20" t="s">
        <v>53</v>
      </c>
      <c r="B37" s="15">
        <f>370.94</f>
        <v>370.94</v>
      </c>
      <c r="C37" s="10">
        <f>SUMIF(dName,A37,dVal)</f>
        <v>0</v>
      </c>
      <c r="D37" s="10">
        <f>SUMIF(cName,A37,cVal)</f>
        <v>0</v>
      </c>
      <c r="F37" s="15">
        <f>B37-C37+D37</f>
        <v>370.94</v>
      </c>
      <c r="G37" s="15">
        <f>10.5</f>
        <v>10.5</v>
      </c>
    </row>
    <row r="38" spans="1:7" x14ac:dyDescent="0.25">
      <c r="A38" s="20" t="s">
        <v>54</v>
      </c>
      <c r="B38" s="15">
        <f>4000</f>
        <v>4000</v>
      </c>
      <c r="C38" s="10">
        <f>SUMIF(dName,A38,dVal)</f>
        <v>0</v>
      </c>
      <c r="D38" s="10">
        <f>SUMIF(cName,A38,cVal)</f>
        <v>0</v>
      </c>
      <c r="F38" s="15">
        <f>B38-C38+D38</f>
        <v>4000</v>
      </c>
      <c r="G38" s="11"/>
    </row>
    <row r="39" spans="1:7" x14ac:dyDescent="0.25">
      <c r="A39" s="17" t="s">
        <v>55</v>
      </c>
      <c r="B39" s="19">
        <f>((B36)+(B37))+(B38)</f>
        <v>4370.9399999999996</v>
      </c>
      <c r="C39" s="10"/>
      <c r="D39" s="10"/>
      <c r="F39" s="19">
        <f>SUM(F36:F38)</f>
        <v>4370.9399999999996</v>
      </c>
      <c r="G39" s="19">
        <f>((G36)+(G37))+(G38)</f>
        <v>10.5</v>
      </c>
    </row>
    <row r="40" spans="1:7" x14ac:dyDescent="0.25">
      <c r="A40" s="16" t="s">
        <v>56</v>
      </c>
      <c r="B40" s="19">
        <f>((B31)+(B34))+(B39)</f>
        <v>6131.33</v>
      </c>
      <c r="C40" s="10"/>
      <c r="D40" s="10"/>
      <c r="F40" s="19">
        <f>SUM(F31:F31,F34:F34,F39:F39)</f>
        <v>6131.33</v>
      </c>
      <c r="G40" s="19">
        <f>((G31)+(G34))+(G39)</f>
        <v>310.5</v>
      </c>
    </row>
    <row r="41" spans="1:7" x14ac:dyDescent="0.25">
      <c r="A41" s="16" t="s">
        <v>57</v>
      </c>
      <c r="B41" s="11"/>
      <c r="C41" s="10"/>
      <c r="D41" s="10"/>
      <c r="F41" s="11"/>
      <c r="G41" s="11"/>
    </row>
    <row r="42" spans="1:7" x14ac:dyDescent="0.25">
      <c r="A42" s="17" t="s">
        <v>58</v>
      </c>
      <c r="B42" s="15">
        <f>25700</f>
        <v>25700</v>
      </c>
      <c r="C42" s="10">
        <f>SUMIF(dName,A42,dVal)</f>
        <v>0</v>
      </c>
      <c r="D42" s="10">
        <f>SUMIF(cName,A42,cVal)</f>
        <v>0</v>
      </c>
      <c r="F42" s="15">
        <f>B42-C42+D42</f>
        <v>25700</v>
      </c>
      <c r="G42" s="11"/>
    </row>
    <row r="43" spans="1:7" x14ac:dyDescent="0.25">
      <c r="A43" s="16" t="s">
        <v>59</v>
      </c>
      <c r="B43" s="19">
        <f>B42</f>
        <v>25700</v>
      </c>
      <c r="C43" s="10"/>
      <c r="D43" s="10"/>
      <c r="F43" s="19">
        <f>SUM(F42:F42)</f>
        <v>25700</v>
      </c>
      <c r="G43" s="19">
        <f>G42</f>
        <v>0</v>
      </c>
    </row>
    <row r="44" spans="1:7" x14ac:dyDescent="0.25">
      <c r="A44" s="14" t="s">
        <v>60</v>
      </c>
      <c r="B44" s="19">
        <f>(B40)+(B43)</f>
        <v>31831.33</v>
      </c>
      <c r="C44" s="10"/>
      <c r="D44" s="10"/>
      <c r="F44" s="19">
        <f>SUM(F40:F40,F43:F43)</f>
        <v>31831.33</v>
      </c>
      <c r="G44" s="19">
        <f>(G40)+(G43)</f>
        <v>310.5</v>
      </c>
    </row>
    <row r="45" spans="1:7" x14ac:dyDescent="0.25">
      <c r="A45" s="14" t="s">
        <v>61</v>
      </c>
      <c r="B45" s="11"/>
      <c r="C45" s="10"/>
      <c r="D45" s="10"/>
      <c r="F45" s="11"/>
      <c r="G45" s="11"/>
    </row>
    <row r="46" spans="1:7" x14ac:dyDescent="0.25">
      <c r="A46" s="16" t="s">
        <v>62</v>
      </c>
      <c r="B46" s="15">
        <f>-9337.5</f>
        <v>-9337.5</v>
      </c>
      <c r="C46" s="10">
        <f>SUMIF(dName,A46,dVal)</f>
        <v>0</v>
      </c>
      <c r="D46" s="10">
        <f>SUMIF(cName,A46,cVal)</f>
        <v>0</v>
      </c>
      <c r="F46" s="15">
        <f>B46-C46+D46</f>
        <v>-9337.5</v>
      </c>
      <c r="G46" s="15">
        <f>5000</f>
        <v>5000</v>
      </c>
    </row>
    <row r="47" spans="1:7" x14ac:dyDescent="0.25">
      <c r="A47" s="16" t="s">
        <v>63</v>
      </c>
      <c r="B47" s="15">
        <f>91.25</f>
        <v>91.25</v>
      </c>
      <c r="C47" s="10">
        <f>SUMIF(dName,A47,dVal)</f>
        <v>0</v>
      </c>
      <c r="D47" s="10">
        <f>SUMIF(cName,A47,cVal)</f>
        <v>0</v>
      </c>
      <c r="F47" s="15">
        <f>B47-C47+D47</f>
        <v>91.25</v>
      </c>
      <c r="G47" s="15">
        <f>91.25</f>
        <v>91.25</v>
      </c>
    </row>
    <row r="48" spans="1:7" x14ac:dyDescent="0.25">
      <c r="A48" s="16" t="s">
        <v>13</v>
      </c>
      <c r="B48" s="15">
        <f>-1048.79</f>
        <v>-1048.79</v>
      </c>
      <c r="C48" s="10">
        <f>'Income Statement'!C69</f>
        <v>596.25</v>
      </c>
      <c r="D48" s="10">
        <f>'Income Statement'!D69</f>
        <v>0</v>
      </c>
      <c r="F48" s="15">
        <f>B48-C48+D48</f>
        <v>-1645.04</v>
      </c>
      <c r="G48" s="11"/>
    </row>
    <row r="49" spans="1:7" x14ac:dyDescent="0.25">
      <c r="A49" s="14" t="s">
        <v>64</v>
      </c>
      <c r="B49" s="19">
        <f>((B46)+(B47))+(B48)</f>
        <v>-10295.040000000001</v>
      </c>
      <c r="C49" s="10"/>
      <c r="D49" s="10"/>
      <c r="F49" s="19">
        <f>SUM(F46:F48)</f>
        <v>-10891.29</v>
      </c>
      <c r="G49" s="19">
        <f>((G46)+(G47))+(G48)</f>
        <v>5091.25</v>
      </c>
    </row>
    <row r="50" spans="1:7" x14ac:dyDescent="0.25">
      <c r="A50" s="13" t="s">
        <v>17</v>
      </c>
      <c r="B50" s="19">
        <f>(B44)+(B49)</f>
        <v>21536.29</v>
      </c>
      <c r="C50" s="10"/>
      <c r="D50" s="10"/>
      <c r="F50" s="19">
        <f>SUM(F44:F44,F49:F49)</f>
        <v>20940.04</v>
      </c>
      <c r="G50" s="19">
        <f>(G44)+(G49)</f>
        <v>5401.75</v>
      </c>
    </row>
    <row r="51" spans="1:7" x14ac:dyDescent="0.25">
      <c r="A51" s="13"/>
      <c r="B51" s="11"/>
      <c r="C51" s="10"/>
      <c r="D51" s="10"/>
      <c r="F51" s="11"/>
      <c r="G51" s="11"/>
    </row>
    <row r="52" spans="1:7" x14ac:dyDescent="0.25">
      <c r="B52" s="11"/>
      <c r="C52" s="10"/>
      <c r="D52" s="10"/>
      <c r="F52" s="11"/>
      <c r="G52" s="11"/>
    </row>
    <row r="53" spans="1:7" x14ac:dyDescent="0.25">
      <c r="B53" s="11"/>
      <c r="C53" s="10"/>
      <c r="D53" s="10"/>
      <c r="F53" s="11"/>
      <c r="G53" s="11"/>
    </row>
    <row r="54" spans="1:7" x14ac:dyDescent="0.25">
      <c r="B54" s="11"/>
      <c r="C54" s="10"/>
      <c r="D54" s="10" t="s">
        <v>111</v>
      </c>
      <c r="E54" s="9">
        <v>1</v>
      </c>
      <c r="F54" s="11">
        <f>SUMIF($E$1:$E$50,$E54,F$1:F$50)-SUMIF($E$1:$E$50,-$E54,F$1:F$50)</f>
        <v>1363.52</v>
      </c>
      <c r="G54" s="11"/>
    </row>
    <row r="55" spans="1:7" x14ac:dyDescent="0.25">
      <c r="B55" s="11"/>
      <c r="C55" s="10"/>
      <c r="D55" s="10"/>
      <c r="E55" s="9">
        <v>2</v>
      </c>
      <c r="F55" s="11">
        <f>SUMIF($E$1:$E$50,$E55,F$1:F$50)-SUMIF($E$1:$E$50,-$E55,F$1:F$50)</f>
        <v>0</v>
      </c>
      <c r="G55" s="11"/>
    </row>
    <row r="56" spans="1:7" x14ac:dyDescent="0.25">
      <c r="B56" s="11"/>
      <c r="C56" s="10"/>
      <c r="D56" s="10"/>
      <c r="E56" s="9">
        <v>3</v>
      </c>
      <c r="F56" s="11">
        <f>SUMIF($E$1:$E$50,$E56,F$1:F$50)-SUMIF($E$1:$E$50,-$E56,F$1:F$50)</f>
        <v>0</v>
      </c>
      <c r="G56" s="11"/>
    </row>
    <row r="57" spans="1:7" x14ac:dyDescent="0.25">
      <c r="B57" s="11"/>
      <c r="C57" s="10"/>
      <c r="D57" s="10"/>
      <c r="F57" s="11"/>
      <c r="G57" s="11"/>
    </row>
    <row r="58" spans="1:7" x14ac:dyDescent="0.25">
      <c r="B58" s="11"/>
      <c r="C58" s="10"/>
      <c r="D58" s="10"/>
      <c r="F58" s="11"/>
      <c r="G58" s="11"/>
    </row>
    <row r="59" spans="1:7" x14ac:dyDescent="0.25">
      <c r="B59" s="11"/>
      <c r="C59" s="10"/>
      <c r="D59" s="10"/>
      <c r="F59" s="11"/>
      <c r="G59" s="11"/>
    </row>
    <row r="60" spans="1:7" x14ac:dyDescent="0.25">
      <c r="B60" s="11"/>
      <c r="C60" s="10"/>
      <c r="D60" s="10"/>
      <c r="F60" s="11"/>
      <c r="G60" s="11"/>
    </row>
  </sheetData>
  <pageMargins left="0.7" right="0.7" top="0.75" bottom="0.75" header="0.3" footer="0.3"/>
  <pageSetup scale="7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78"/>
  <sheetViews>
    <sheetView tabSelected="1" workbookViewId="0">
      <selection activeCell="D73" sqref="D73"/>
    </sheetView>
  </sheetViews>
  <sheetFormatPr defaultRowHeight="13.2" x14ac:dyDescent="0.25"/>
  <cols>
    <col min="1" max="1" width="38.88671875" style="6" bestFit="1" customWidth="1"/>
    <col min="2" max="2" width="14.33203125" style="6" customWidth="1"/>
    <col min="3" max="4" width="14.33203125" style="8" customWidth="1"/>
    <col min="5" max="5" width="3.6640625" style="9" customWidth="1"/>
    <col min="6" max="7" width="14.33203125" style="6" customWidth="1"/>
    <col min="8" max="16384" width="8.88671875" style="6"/>
  </cols>
  <sheetData>
    <row r="1" spans="1:7" x14ac:dyDescent="0.25">
      <c r="A1" s="7" t="s">
        <v>14</v>
      </c>
      <c r="B1" s="4"/>
      <c r="C1" s="4"/>
      <c r="D1" s="4"/>
      <c r="E1" s="5"/>
      <c r="F1" s="4"/>
      <c r="G1" s="4"/>
    </row>
    <row r="2" spans="1:7" x14ac:dyDescent="0.25">
      <c r="A2" s="7" t="s">
        <v>15</v>
      </c>
      <c r="B2" s="4"/>
      <c r="C2" s="4"/>
      <c r="D2" s="4"/>
      <c r="E2" s="5"/>
      <c r="F2" s="4"/>
      <c r="G2" s="4"/>
    </row>
    <row r="3" spans="1:7" x14ac:dyDescent="0.25">
      <c r="A3" s="7" t="s">
        <v>16</v>
      </c>
      <c r="B3" s="4"/>
      <c r="C3" s="4"/>
      <c r="D3" s="4"/>
      <c r="E3" s="5"/>
      <c r="F3" s="4"/>
      <c r="G3" s="4"/>
    </row>
    <row r="5" spans="1:7" ht="26.4" x14ac:dyDescent="0.25">
      <c r="B5" s="12" t="s">
        <v>0</v>
      </c>
      <c r="F5" s="12" t="s">
        <v>110</v>
      </c>
      <c r="G5" s="12" t="s">
        <v>1</v>
      </c>
    </row>
    <row r="6" spans="1:7" x14ac:dyDescent="0.25">
      <c r="A6" s="13" t="s">
        <v>2</v>
      </c>
      <c r="B6" s="11"/>
      <c r="C6" s="10"/>
      <c r="D6" s="10"/>
      <c r="F6" s="11"/>
      <c r="G6" s="11"/>
    </row>
    <row r="7" spans="1:7" x14ac:dyDescent="0.25">
      <c r="A7" s="14" t="s">
        <v>65</v>
      </c>
      <c r="B7" s="15">
        <f>2250</f>
        <v>2250</v>
      </c>
      <c r="C7" s="10">
        <f>SUMIF(dName,A7,dVal)</f>
        <v>0</v>
      </c>
      <c r="D7" s="10">
        <f>SUMIF(cName,A7,cVal)</f>
        <v>0</v>
      </c>
      <c r="F7" s="15">
        <f>B7-C7+D7</f>
        <v>2250</v>
      </c>
      <c r="G7" s="11"/>
    </row>
    <row r="8" spans="1:7" x14ac:dyDescent="0.25">
      <c r="A8" s="14" t="s">
        <v>66</v>
      </c>
      <c r="B8" s="15">
        <f>-89.5</f>
        <v>-89.5</v>
      </c>
      <c r="C8" s="10">
        <f>SUMIF(dName,A8,dVal)</f>
        <v>0</v>
      </c>
      <c r="D8" s="10">
        <f>SUMIF(cName,A8,cVal)</f>
        <v>0</v>
      </c>
      <c r="F8" s="15">
        <f>B8-C8+D8</f>
        <v>-89.5</v>
      </c>
      <c r="G8" s="11"/>
    </row>
    <row r="9" spans="1:7" x14ac:dyDescent="0.25">
      <c r="A9" s="14" t="s">
        <v>67</v>
      </c>
      <c r="B9" s="15">
        <f>1287.5</f>
        <v>1287.5</v>
      </c>
      <c r="C9" s="10">
        <f>SUMIF(dName,A9,dVal)</f>
        <v>0</v>
      </c>
      <c r="D9" s="10">
        <f>SUMIF(cName,A9,cVal)</f>
        <v>0</v>
      </c>
      <c r="F9" s="15">
        <f>B9-C9+D9</f>
        <v>1287.5</v>
      </c>
      <c r="G9" s="15">
        <f>190</f>
        <v>190</v>
      </c>
    </row>
    <row r="10" spans="1:7" x14ac:dyDescent="0.25">
      <c r="A10" s="16" t="s">
        <v>68</v>
      </c>
      <c r="B10" s="11"/>
      <c r="C10" s="10"/>
      <c r="D10" s="10"/>
      <c r="F10" s="11"/>
      <c r="G10" s="11"/>
    </row>
    <row r="11" spans="1:7" x14ac:dyDescent="0.25">
      <c r="A11" s="17" t="s">
        <v>69</v>
      </c>
      <c r="B11" s="15">
        <f>2246.5</f>
        <v>2246.5</v>
      </c>
      <c r="C11" s="10">
        <f>SUMIF(dName,A11,dVal)</f>
        <v>0</v>
      </c>
      <c r="D11" s="10">
        <f>SUMIF(cName,A11,cVal)</f>
        <v>0</v>
      </c>
      <c r="F11" s="15">
        <f>B11-C11+D11</f>
        <v>2246.5</v>
      </c>
      <c r="G11" s="11"/>
    </row>
    <row r="12" spans="1:7" x14ac:dyDescent="0.25">
      <c r="A12" s="17" t="s">
        <v>70</v>
      </c>
      <c r="B12" s="15">
        <f>2220.72</f>
        <v>2220.7199999999998</v>
      </c>
      <c r="C12" s="10">
        <f>SUMIF(dName,A12,dVal)</f>
        <v>0</v>
      </c>
      <c r="D12" s="10">
        <f>SUMIF(cName,A12,cVal)</f>
        <v>0</v>
      </c>
      <c r="F12" s="15">
        <f>B12-C12+D12</f>
        <v>2220.7199999999998</v>
      </c>
      <c r="G12" s="15">
        <f>131.25</f>
        <v>131.25</v>
      </c>
    </row>
    <row r="13" spans="1:7" x14ac:dyDescent="0.25">
      <c r="A13" s="17" t="s">
        <v>71</v>
      </c>
      <c r="B13" s="15">
        <f>138</f>
        <v>138</v>
      </c>
      <c r="C13" s="10">
        <f>SUMIF(dName,A13,dVal)</f>
        <v>0</v>
      </c>
      <c r="D13" s="10">
        <f>SUMIF(cName,A13,cVal)</f>
        <v>0</v>
      </c>
      <c r="F13" s="15">
        <f>B13-C13+D13</f>
        <v>138</v>
      </c>
      <c r="G13" s="11"/>
    </row>
    <row r="14" spans="1:7" x14ac:dyDescent="0.25">
      <c r="A14" s="16" t="s">
        <v>72</v>
      </c>
      <c r="B14" s="18">
        <f>(((B10)+(B11))+(B12))+(B13)</f>
        <v>4605.2199999999993</v>
      </c>
      <c r="C14" s="10"/>
      <c r="D14" s="10"/>
      <c r="F14" s="18">
        <f>SUM(F10:F13)</f>
        <v>4605.2199999999993</v>
      </c>
      <c r="G14" s="18">
        <f>(((G10)+(G11))+(G12))+(G13)</f>
        <v>131.25</v>
      </c>
    </row>
    <row r="15" spans="1:7" x14ac:dyDescent="0.25">
      <c r="A15" s="16" t="s">
        <v>73</v>
      </c>
      <c r="B15" s="11"/>
      <c r="C15" s="10"/>
      <c r="D15" s="10"/>
      <c r="F15" s="11"/>
      <c r="G15" s="11"/>
    </row>
    <row r="16" spans="1:7" x14ac:dyDescent="0.25">
      <c r="A16" s="17" t="s">
        <v>74</v>
      </c>
      <c r="B16" s="15">
        <f>250</f>
        <v>250</v>
      </c>
      <c r="C16" s="10">
        <f>SUMIF(dName,A16,dVal)</f>
        <v>0</v>
      </c>
      <c r="D16" s="10">
        <f>SUMIF(cName,A16,cVal)</f>
        <v>0</v>
      </c>
      <c r="F16" s="15">
        <f>B16-C16+D16</f>
        <v>250</v>
      </c>
      <c r="G16" s="11"/>
    </row>
    <row r="17" spans="1:7" x14ac:dyDescent="0.25">
      <c r="A17" s="17" t="s">
        <v>75</v>
      </c>
      <c r="B17" s="15">
        <f>50</f>
        <v>50</v>
      </c>
      <c r="C17" s="10">
        <f>SUMIF(dName,A17,dVal)</f>
        <v>0</v>
      </c>
      <c r="D17" s="10">
        <f>SUMIF(cName,A17,cVal)</f>
        <v>0</v>
      </c>
      <c r="F17" s="15">
        <f>B17-C17+D17</f>
        <v>50</v>
      </c>
      <c r="G17" s="11"/>
    </row>
    <row r="18" spans="1:7" x14ac:dyDescent="0.25">
      <c r="A18" s="16" t="s">
        <v>76</v>
      </c>
      <c r="B18" s="18">
        <f>((B15)+(B16))+(B17)</f>
        <v>300</v>
      </c>
      <c r="C18" s="10"/>
      <c r="D18" s="10"/>
      <c r="F18" s="18">
        <f>SUM(F15:F17)</f>
        <v>300</v>
      </c>
      <c r="G18" s="18">
        <f>((G15)+(G16))+(G17)</f>
        <v>0</v>
      </c>
    </row>
    <row r="19" spans="1:7" x14ac:dyDescent="0.25">
      <c r="A19" s="14" t="s">
        <v>77</v>
      </c>
      <c r="B19" s="18">
        <f>((B9)+(B14))+(B18)</f>
        <v>6192.7199999999993</v>
      </c>
      <c r="C19" s="10"/>
      <c r="D19" s="10"/>
      <c r="F19" s="18">
        <f>SUM(F9:F9,F14:F14,F18:F18)</f>
        <v>6192.7199999999993</v>
      </c>
      <c r="G19" s="18">
        <f>((G9)+(G14))+(G18)</f>
        <v>321.25</v>
      </c>
    </row>
    <row r="20" spans="1:7" x14ac:dyDescent="0.25">
      <c r="A20" s="14" t="s">
        <v>78</v>
      </c>
      <c r="B20" s="15">
        <f>40</f>
        <v>40</v>
      </c>
      <c r="C20" s="10">
        <f>SUMIF(dName,A20,dVal)</f>
        <v>0</v>
      </c>
      <c r="D20" s="10">
        <f>SUMIF(cName,A20,cVal)</f>
        <v>0</v>
      </c>
      <c r="F20" s="15">
        <f>B20-C20+D20</f>
        <v>40</v>
      </c>
      <c r="G20" s="15">
        <f>70</f>
        <v>70</v>
      </c>
    </row>
    <row r="21" spans="1:7" x14ac:dyDescent="0.25">
      <c r="A21" s="14" t="s">
        <v>79</v>
      </c>
      <c r="B21" s="15">
        <f>912.75</f>
        <v>912.75</v>
      </c>
      <c r="C21" s="10">
        <f>SUMIF(dName,A21,dVal)</f>
        <v>0</v>
      </c>
      <c r="D21" s="10">
        <f>SUMIF(cName,A21,cVal)</f>
        <v>0</v>
      </c>
      <c r="F21" s="15">
        <f>B21-C21+D21</f>
        <v>912.75</v>
      </c>
      <c r="G21" s="11"/>
    </row>
    <row r="22" spans="1:7" x14ac:dyDescent="0.25">
      <c r="A22" s="14" t="s">
        <v>80</v>
      </c>
      <c r="B22" s="15">
        <f>303.55</f>
        <v>303.55</v>
      </c>
      <c r="C22" s="10">
        <f>SUMIF(dName,A22,dVal)</f>
        <v>0</v>
      </c>
      <c r="D22" s="10">
        <f>SUMIF(cName,A22,cVal)</f>
        <v>0</v>
      </c>
      <c r="F22" s="15">
        <f>B22-C22+D22</f>
        <v>303.55</v>
      </c>
      <c r="G22" s="11"/>
    </row>
    <row r="23" spans="1:7" x14ac:dyDescent="0.25">
      <c r="A23" s="13" t="s">
        <v>3</v>
      </c>
      <c r="B23" s="18">
        <f>(((((B7)+(B8))+(B19))+(B20))+(B21))+(B22)</f>
        <v>9609.5199999999986</v>
      </c>
      <c r="C23" s="10"/>
      <c r="D23" s="10"/>
      <c r="F23" s="18">
        <f>SUM(F7:F8,F19:F22)</f>
        <v>9609.5199999999986</v>
      </c>
      <c r="G23" s="18">
        <f>(((((G7)+(G8))+(G19))+(G20))+(G21))+(G22)</f>
        <v>391.25</v>
      </c>
    </row>
    <row r="24" spans="1:7" x14ac:dyDescent="0.25">
      <c r="A24" s="13" t="s">
        <v>4</v>
      </c>
      <c r="B24" s="11"/>
      <c r="C24" s="10"/>
      <c r="D24" s="10"/>
      <c r="F24" s="11"/>
      <c r="G24" s="11"/>
    </row>
    <row r="25" spans="1:7" x14ac:dyDescent="0.25">
      <c r="A25" s="14" t="s">
        <v>4</v>
      </c>
      <c r="B25" s="15">
        <f>405</f>
        <v>405</v>
      </c>
      <c r="C25" s="10">
        <f>SUMIF(dName,A25,dVal)</f>
        <v>596.25</v>
      </c>
      <c r="D25" s="10">
        <f>SUMIF(cName,A25,cVal)</f>
        <v>0</v>
      </c>
      <c r="F25" s="15">
        <f>B25+C25-D25</f>
        <v>1001.25</v>
      </c>
      <c r="G25" s="11"/>
    </row>
    <row r="26" spans="1:7" x14ac:dyDescent="0.25">
      <c r="A26" s="13" t="s">
        <v>5</v>
      </c>
      <c r="B26" s="18">
        <f>B25</f>
        <v>405</v>
      </c>
      <c r="C26" s="10"/>
      <c r="D26" s="10"/>
      <c r="F26" s="18">
        <f>SUM(F25:F25)</f>
        <v>1001.25</v>
      </c>
      <c r="G26" s="18">
        <f>G25</f>
        <v>0</v>
      </c>
    </row>
    <row r="27" spans="1:7" x14ac:dyDescent="0.25">
      <c r="A27" s="13" t="s">
        <v>6</v>
      </c>
      <c r="B27" s="18">
        <f>(B23)-(B26)</f>
        <v>9204.5199999999986</v>
      </c>
      <c r="C27" s="10"/>
      <c r="D27" s="10"/>
      <c r="F27" s="18">
        <f>(F23)-(F26)</f>
        <v>8608.2699999999986</v>
      </c>
      <c r="G27" s="18">
        <f>(G23)-(G26)</f>
        <v>391.25</v>
      </c>
    </row>
    <row r="28" spans="1:7" x14ac:dyDescent="0.25">
      <c r="A28" s="13" t="s">
        <v>7</v>
      </c>
      <c r="B28" s="11"/>
      <c r="C28" s="10"/>
      <c r="D28" s="10"/>
      <c r="F28" s="11"/>
      <c r="G28" s="11"/>
    </row>
    <row r="29" spans="1:7" x14ac:dyDescent="0.25">
      <c r="A29" s="14" t="s">
        <v>81</v>
      </c>
      <c r="B29" s="15">
        <f>74.86</f>
        <v>74.86</v>
      </c>
      <c r="C29" s="10">
        <f>SUMIF(dName,A29,dVal)</f>
        <v>0</v>
      </c>
      <c r="D29" s="10">
        <f>SUMIF(cName,A29,cVal)</f>
        <v>0</v>
      </c>
      <c r="F29" s="15">
        <f>B29+C29-D29</f>
        <v>74.86</v>
      </c>
      <c r="G29" s="11"/>
    </row>
    <row r="30" spans="1:7" x14ac:dyDescent="0.25">
      <c r="A30" s="14" t="s">
        <v>82</v>
      </c>
      <c r="B30" s="15">
        <f>113.96</f>
        <v>113.96</v>
      </c>
      <c r="C30" s="10">
        <f>SUMIF(dName,A30,dVal)</f>
        <v>0</v>
      </c>
      <c r="D30" s="10">
        <f>SUMIF(cName,A30,cVal)</f>
        <v>0</v>
      </c>
      <c r="F30" s="15">
        <f>B30+C30-D30</f>
        <v>113.96</v>
      </c>
      <c r="G30" s="11"/>
    </row>
    <row r="31" spans="1:7" x14ac:dyDescent="0.25">
      <c r="A31" s="16" t="s">
        <v>83</v>
      </c>
      <c r="B31" s="15">
        <f>349.41</f>
        <v>349.41</v>
      </c>
      <c r="C31" s="10">
        <f>SUMIF(dName,A31,dVal)</f>
        <v>0</v>
      </c>
      <c r="D31" s="10">
        <f>SUMIF(cName,A31,cVal)</f>
        <v>0</v>
      </c>
      <c r="F31" s="15">
        <f>B31+C31-D31</f>
        <v>349.41</v>
      </c>
      <c r="G31" s="11"/>
    </row>
    <row r="32" spans="1:7" x14ac:dyDescent="0.25">
      <c r="A32" s="14" t="s">
        <v>84</v>
      </c>
      <c r="B32" s="18">
        <f>(B30)+(B31)</f>
        <v>463.37</v>
      </c>
      <c r="C32" s="10"/>
      <c r="D32" s="10"/>
      <c r="F32" s="18">
        <f>SUM(F30:F31)</f>
        <v>463.37</v>
      </c>
      <c r="G32" s="18">
        <f>(G30)+(G31)</f>
        <v>0</v>
      </c>
    </row>
    <row r="33" spans="1:7" x14ac:dyDescent="0.25">
      <c r="A33" s="14" t="s">
        <v>85</v>
      </c>
      <c r="B33" s="15">
        <f>112</f>
        <v>112</v>
      </c>
      <c r="C33" s="10">
        <f>SUMIF(dName,A33,dVal)</f>
        <v>0</v>
      </c>
      <c r="D33" s="10">
        <f>SUMIF(cName,A33,cVal)</f>
        <v>0</v>
      </c>
      <c r="F33" s="15">
        <f>B33+C33-D33</f>
        <v>112</v>
      </c>
      <c r="G33" s="11"/>
    </row>
    <row r="34" spans="1:7" x14ac:dyDescent="0.25">
      <c r="A34" s="14" t="s">
        <v>86</v>
      </c>
      <c r="B34" s="15">
        <f>241.23</f>
        <v>241.23</v>
      </c>
      <c r="C34" s="10">
        <f>SUMIF(dName,A34,dVal)</f>
        <v>0</v>
      </c>
      <c r="D34" s="10">
        <f>SUMIF(cName,A34,cVal)</f>
        <v>0</v>
      </c>
      <c r="F34" s="15">
        <f>B34+C34-D34</f>
        <v>241.23</v>
      </c>
      <c r="G34" s="11"/>
    </row>
    <row r="35" spans="1:7" x14ac:dyDescent="0.25">
      <c r="A35" s="14" t="s">
        <v>87</v>
      </c>
      <c r="B35" s="15">
        <f>155.07</f>
        <v>155.07</v>
      </c>
      <c r="C35" s="10">
        <f>SUMIF(dName,A35,dVal)</f>
        <v>0</v>
      </c>
      <c r="D35" s="10">
        <f>SUMIF(cName,A35,cVal)</f>
        <v>0</v>
      </c>
      <c r="F35" s="15">
        <f>B35+C35-D35</f>
        <v>155.07</v>
      </c>
      <c r="G35" s="11"/>
    </row>
    <row r="36" spans="1:7" x14ac:dyDescent="0.25">
      <c r="A36" s="16" t="s">
        <v>88</v>
      </c>
      <c r="B36" s="15">
        <f>350</f>
        <v>350</v>
      </c>
      <c r="C36" s="10">
        <f>SUMIF(dName,A36,dVal)</f>
        <v>0</v>
      </c>
      <c r="D36" s="10">
        <f>SUMIF(cName,A36,cVal)</f>
        <v>0</v>
      </c>
      <c r="F36" s="15">
        <f>B36+C36-D36</f>
        <v>350</v>
      </c>
      <c r="G36" s="11"/>
    </row>
    <row r="37" spans="1:7" x14ac:dyDescent="0.25">
      <c r="A37" s="17" t="s">
        <v>89</v>
      </c>
      <c r="B37" s="15">
        <f>350</f>
        <v>350</v>
      </c>
      <c r="C37" s="10">
        <f>SUMIF(dName,A37,dVal)</f>
        <v>0</v>
      </c>
      <c r="D37" s="10">
        <f>SUMIF(cName,A37,cVal)</f>
        <v>0</v>
      </c>
      <c r="F37" s="15">
        <f>B37+C37-D37</f>
        <v>350</v>
      </c>
      <c r="G37" s="11"/>
    </row>
    <row r="38" spans="1:7" x14ac:dyDescent="0.25">
      <c r="A38" s="16" t="s">
        <v>90</v>
      </c>
      <c r="B38" s="18">
        <f>(B36)+(B37)</f>
        <v>700</v>
      </c>
      <c r="C38" s="10"/>
      <c r="D38" s="10"/>
      <c r="F38" s="18">
        <f>SUM(F36:F37)</f>
        <v>700</v>
      </c>
      <c r="G38" s="18">
        <f>(G36)+(G37)</f>
        <v>0</v>
      </c>
    </row>
    <row r="39" spans="1:7" x14ac:dyDescent="0.25">
      <c r="A39" s="16" t="s">
        <v>68</v>
      </c>
      <c r="B39" s="11"/>
      <c r="C39" s="10"/>
      <c r="D39" s="10"/>
      <c r="F39" s="11"/>
      <c r="G39" s="11"/>
    </row>
    <row r="40" spans="1:7" x14ac:dyDescent="0.25">
      <c r="A40" s="17" t="s">
        <v>91</v>
      </c>
      <c r="B40" s="15">
        <f>234.04</f>
        <v>234.04</v>
      </c>
      <c r="C40" s="10">
        <f>SUMIF(dName,A40,dVal)</f>
        <v>0</v>
      </c>
      <c r="D40" s="10">
        <f>SUMIF(cName,A40,cVal)</f>
        <v>0</v>
      </c>
      <c r="F40" s="15">
        <f>B40+C40-D40</f>
        <v>234.04</v>
      </c>
      <c r="G40" s="11"/>
    </row>
    <row r="41" spans="1:7" x14ac:dyDescent="0.25">
      <c r="A41" s="17" t="s">
        <v>70</v>
      </c>
      <c r="B41" s="15">
        <f>353.12</f>
        <v>353.12</v>
      </c>
      <c r="C41" s="10">
        <f>SUMIF(dName,A41,dVal)</f>
        <v>0</v>
      </c>
      <c r="D41" s="10">
        <f>SUMIF(cName,A41,cVal)</f>
        <v>0</v>
      </c>
      <c r="F41" s="15">
        <f>B41+C41-D41</f>
        <v>353.12</v>
      </c>
      <c r="G41" s="11"/>
    </row>
    <row r="42" spans="1:7" x14ac:dyDescent="0.25">
      <c r="A42" s="17" t="s">
        <v>71</v>
      </c>
      <c r="B42" s="15">
        <f>215.66</f>
        <v>215.66</v>
      </c>
      <c r="C42" s="10">
        <f>SUMIF(dName,A42,dVal)</f>
        <v>0</v>
      </c>
      <c r="D42" s="10">
        <f>SUMIF(cName,A42,cVal)</f>
        <v>0</v>
      </c>
      <c r="F42" s="15">
        <f>B42+C42-D42</f>
        <v>215.66</v>
      </c>
      <c r="G42" s="11"/>
    </row>
    <row r="43" spans="1:7" x14ac:dyDescent="0.25">
      <c r="A43" s="16" t="s">
        <v>72</v>
      </c>
      <c r="B43" s="18">
        <f>(((B39)+(B40))+(B41))+(B42)</f>
        <v>802.81999999999994</v>
      </c>
      <c r="C43" s="10"/>
      <c r="D43" s="10"/>
      <c r="F43" s="18">
        <f>SUM(F39:F42)</f>
        <v>802.81999999999994</v>
      </c>
      <c r="G43" s="18">
        <f>(((G39)+(G40))+(G41))+(G42)</f>
        <v>0</v>
      </c>
    </row>
    <row r="44" spans="1:7" x14ac:dyDescent="0.25">
      <c r="A44" s="14" t="s">
        <v>92</v>
      </c>
      <c r="B44" s="18">
        <f>((B35)+(B38))+(B43)</f>
        <v>1657.8899999999999</v>
      </c>
      <c r="C44" s="10"/>
      <c r="D44" s="10"/>
      <c r="F44" s="18">
        <f>SUM(F35:F35,F38:F38,F43:F43)</f>
        <v>1657.8899999999999</v>
      </c>
      <c r="G44" s="18">
        <f>((G35)+(G38))+(G43)</f>
        <v>0</v>
      </c>
    </row>
    <row r="45" spans="1:7" x14ac:dyDescent="0.25">
      <c r="A45" s="14" t="s">
        <v>93</v>
      </c>
      <c r="B45" s="15">
        <f>75</f>
        <v>75</v>
      </c>
      <c r="C45" s="10">
        <f>SUMIF(dName,A45,dVal)</f>
        <v>0</v>
      </c>
      <c r="D45" s="10">
        <f>SUMIF(cName,A45,cVal)</f>
        <v>0</v>
      </c>
      <c r="E45" s="9">
        <v>2</v>
      </c>
      <c r="F45" s="15">
        <f>B45+C45-D45</f>
        <v>75</v>
      </c>
      <c r="G45" s="11"/>
    </row>
    <row r="46" spans="1:7" x14ac:dyDescent="0.25">
      <c r="A46" s="16" t="s">
        <v>94</v>
      </c>
      <c r="B46" s="15">
        <f>640</f>
        <v>640</v>
      </c>
      <c r="C46" s="10">
        <f>SUMIF(dName,A46,dVal)</f>
        <v>0</v>
      </c>
      <c r="D46" s="10">
        <f>SUMIF(cName,A46,cVal)</f>
        <v>0</v>
      </c>
      <c r="E46" s="9">
        <v>1</v>
      </c>
      <c r="F46" s="15">
        <f>B46+C46-D46</f>
        <v>640</v>
      </c>
      <c r="G46" s="11"/>
    </row>
    <row r="47" spans="1:7" x14ac:dyDescent="0.25">
      <c r="A47" s="16" t="s">
        <v>95</v>
      </c>
      <c r="B47" s="15">
        <f>55</f>
        <v>55</v>
      </c>
      <c r="C47" s="10">
        <f>SUMIF(dName,A47,dVal)</f>
        <v>0</v>
      </c>
      <c r="D47" s="10">
        <f>SUMIF(cName,A47,cVal)</f>
        <v>0</v>
      </c>
      <c r="E47" s="9">
        <v>1</v>
      </c>
      <c r="F47" s="15">
        <f>B47+C47-D47</f>
        <v>55</v>
      </c>
      <c r="G47" s="11"/>
    </row>
    <row r="48" spans="1:7" x14ac:dyDescent="0.25">
      <c r="A48" s="16" t="s">
        <v>96</v>
      </c>
      <c r="B48" s="15">
        <f>100</f>
        <v>100</v>
      </c>
      <c r="C48" s="10">
        <f>SUMIF(dName,A48,dVal)</f>
        <v>0</v>
      </c>
      <c r="D48" s="10">
        <f>SUMIF(cName,A48,cVal)</f>
        <v>0</v>
      </c>
      <c r="E48" s="9">
        <v>2</v>
      </c>
      <c r="F48" s="15">
        <f>B48+C48-D48</f>
        <v>100</v>
      </c>
      <c r="G48" s="15">
        <f>300</f>
        <v>300</v>
      </c>
    </row>
    <row r="49" spans="1:7" x14ac:dyDescent="0.25">
      <c r="A49" s="14" t="s">
        <v>97</v>
      </c>
      <c r="B49" s="18">
        <f>(((B45)+(B46))+(B47))+(B48)</f>
        <v>870</v>
      </c>
      <c r="C49" s="10"/>
      <c r="D49" s="10"/>
      <c r="F49" s="18">
        <f>SUM(F45:F48)</f>
        <v>870</v>
      </c>
      <c r="G49" s="18">
        <f>(((G45)+(G46))+(G47))+(G48)</f>
        <v>300</v>
      </c>
    </row>
    <row r="50" spans="1:7" x14ac:dyDescent="0.25">
      <c r="A50" s="14" t="s">
        <v>75</v>
      </c>
      <c r="B50" s="15">
        <f>185</f>
        <v>185</v>
      </c>
      <c r="C50" s="10">
        <f>SUMIF(dName,A50,dVal)</f>
        <v>0</v>
      </c>
      <c r="D50" s="10">
        <f>SUMIF(cName,A50,cVal)</f>
        <v>0</v>
      </c>
      <c r="F50" s="15">
        <f>B50+C50-D50</f>
        <v>185</v>
      </c>
      <c r="G50" s="11"/>
    </row>
    <row r="51" spans="1:7" x14ac:dyDescent="0.25">
      <c r="A51" s="16" t="s">
        <v>98</v>
      </c>
      <c r="B51" s="15">
        <f>755</f>
        <v>755</v>
      </c>
      <c r="C51" s="10">
        <f>SUMIF(dName,A51,dVal)</f>
        <v>0</v>
      </c>
      <c r="D51" s="10">
        <f>SUMIF(cName,A51,cVal)</f>
        <v>0</v>
      </c>
      <c r="F51" s="15">
        <f>B51+C51-D51</f>
        <v>755</v>
      </c>
      <c r="G51" s="11"/>
    </row>
    <row r="52" spans="1:7" x14ac:dyDescent="0.25">
      <c r="A52" s="14" t="s">
        <v>99</v>
      </c>
      <c r="B52" s="18">
        <f>(B50)+(B51)</f>
        <v>940</v>
      </c>
      <c r="C52" s="10"/>
      <c r="D52" s="10"/>
      <c r="F52" s="18">
        <f>SUM(F50:F51)</f>
        <v>940</v>
      </c>
      <c r="G52" s="18">
        <f>(G50)+(G51)</f>
        <v>0</v>
      </c>
    </row>
    <row r="53" spans="1:7" x14ac:dyDescent="0.25">
      <c r="A53" s="14" t="s">
        <v>100</v>
      </c>
      <c r="B53" s="15">
        <f>28.49</f>
        <v>28.49</v>
      </c>
      <c r="C53" s="10">
        <f>SUMIF(dName,A53,dVal)</f>
        <v>0</v>
      </c>
      <c r="D53" s="10">
        <f>SUMIF(cName,A53,cVal)</f>
        <v>0</v>
      </c>
      <c r="F53" s="15">
        <f>B53+C53-D53</f>
        <v>28.49</v>
      </c>
      <c r="G53" s="11"/>
    </row>
    <row r="54" spans="1:7" x14ac:dyDescent="0.25">
      <c r="A54" s="14" t="s">
        <v>101</v>
      </c>
      <c r="B54" s="15">
        <f>18.08</f>
        <v>18.079999999999998</v>
      </c>
      <c r="C54" s="10">
        <f>SUMIF(dName,A54,dVal)</f>
        <v>0</v>
      </c>
      <c r="D54" s="10">
        <f>SUMIF(cName,A54,cVal)</f>
        <v>0</v>
      </c>
      <c r="F54" s="15">
        <f>B54+C54-D54</f>
        <v>18.079999999999998</v>
      </c>
      <c r="G54" s="11"/>
    </row>
    <row r="55" spans="1:7" x14ac:dyDescent="0.25">
      <c r="A55" s="14" t="s">
        <v>102</v>
      </c>
      <c r="B55" s="15">
        <f>900</f>
        <v>900</v>
      </c>
      <c r="C55" s="10">
        <f>SUMIF(dName,A55,dVal)</f>
        <v>0</v>
      </c>
      <c r="D55" s="10">
        <f>SUMIF(cName,A55,cVal)</f>
        <v>0</v>
      </c>
      <c r="F55" s="15">
        <f>B55+C55-D55</f>
        <v>900</v>
      </c>
      <c r="G55" s="11"/>
    </row>
    <row r="56" spans="1:7" x14ac:dyDescent="0.25">
      <c r="A56" s="14" t="s">
        <v>103</v>
      </c>
      <c r="B56" s="15">
        <f>1700</f>
        <v>1700</v>
      </c>
      <c r="C56" s="10">
        <f>SUMIF(dName,A56,dVal)</f>
        <v>0</v>
      </c>
      <c r="D56" s="10">
        <f>SUMIF(cName,A56,cVal)</f>
        <v>0</v>
      </c>
      <c r="F56" s="15">
        <f>B56+C56-D56</f>
        <v>1700</v>
      </c>
      <c r="G56" s="11"/>
    </row>
    <row r="57" spans="1:7" x14ac:dyDescent="0.25">
      <c r="A57" s="14" t="s">
        <v>104</v>
      </c>
      <c r="B57" s="11"/>
      <c r="C57" s="10"/>
      <c r="D57" s="10"/>
      <c r="F57" s="11"/>
      <c r="G57" s="11"/>
    </row>
    <row r="58" spans="1:7" x14ac:dyDescent="0.25">
      <c r="A58" s="16" t="s">
        <v>105</v>
      </c>
      <c r="B58" s="15">
        <f>200.53</f>
        <v>200.53</v>
      </c>
      <c r="C58" s="10">
        <f>SUMIF(dName,A58,dVal)</f>
        <v>0</v>
      </c>
      <c r="D58" s="10">
        <f>SUMIF(cName,A58,cVal)</f>
        <v>0</v>
      </c>
      <c r="F58" s="15">
        <f>B58+C58-D58</f>
        <v>200.53</v>
      </c>
      <c r="G58" s="11"/>
    </row>
    <row r="59" spans="1:7" x14ac:dyDescent="0.25">
      <c r="A59" s="16" t="s">
        <v>106</v>
      </c>
      <c r="B59" s="15">
        <f>130.86</f>
        <v>130.86000000000001</v>
      </c>
      <c r="C59" s="10">
        <f>SUMIF(dName,A59,dVal)</f>
        <v>0</v>
      </c>
      <c r="D59" s="10">
        <f>SUMIF(cName,A59,cVal)</f>
        <v>0</v>
      </c>
      <c r="F59" s="15">
        <f>B59+C59-D59</f>
        <v>130.86000000000001</v>
      </c>
      <c r="G59" s="11"/>
    </row>
    <row r="60" spans="1:7" x14ac:dyDescent="0.25">
      <c r="A60" s="14" t="s">
        <v>107</v>
      </c>
      <c r="B60" s="18">
        <f>((B57)+(B58))+(B59)</f>
        <v>331.39</v>
      </c>
      <c r="C60" s="10"/>
      <c r="D60" s="10"/>
      <c r="F60" s="18">
        <f>SUM(F57:F59)</f>
        <v>331.39</v>
      </c>
      <c r="G60" s="18">
        <f>((G57)+(G58))+(G59)</f>
        <v>0</v>
      </c>
    </row>
    <row r="61" spans="1:7" x14ac:dyDescent="0.25">
      <c r="A61" s="13" t="s">
        <v>8</v>
      </c>
      <c r="B61" s="18">
        <f>(((((((((((B29)+(B32))+(B33))+(B34))+(B44))+(B49))+(B52))+(B53))+(B54))+(B55))+(B56))+(B60)</f>
        <v>7337.31</v>
      </c>
      <c r="C61" s="10"/>
      <c r="D61" s="10"/>
      <c r="F61" s="18">
        <f>SUM(F29:F29,F32:F34,F44:F44,F49:F49,F52:F56,F60:F60)</f>
        <v>7337.31</v>
      </c>
      <c r="G61" s="18">
        <f>(((((((((((G29)+(G32))+(G33))+(G34))+(G44))+(G49))+(G52))+(G53))+(G54))+(G55))+(G56))+(G60)</f>
        <v>300</v>
      </c>
    </row>
    <row r="62" spans="1:7" x14ac:dyDescent="0.25">
      <c r="A62" s="13" t="s">
        <v>9</v>
      </c>
      <c r="B62" s="18">
        <f>(B27)-(B61)</f>
        <v>1867.2099999999982</v>
      </c>
      <c r="C62" s="10"/>
      <c r="D62" s="10"/>
      <c r="F62" s="18">
        <f>(F27)-(F61)</f>
        <v>1270.9599999999982</v>
      </c>
      <c r="G62" s="18">
        <f>(G27)-(G61)</f>
        <v>91.25</v>
      </c>
    </row>
    <row r="63" spans="1:7" x14ac:dyDescent="0.25">
      <c r="A63" s="13" t="s">
        <v>10</v>
      </c>
      <c r="B63" s="11"/>
      <c r="C63" s="10"/>
      <c r="D63" s="10"/>
      <c r="F63" s="11"/>
      <c r="G63" s="11"/>
    </row>
    <row r="64" spans="1:7" x14ac:dyDescent="0.25">
      <c r="A64" s="14" t="s">
        <v>108</v>
      </c>
      <c r="B64" s="15">
        <f>2916</f>
        <v>2916</v>
      </c>
      <c r="C64" s="10">
        <f>SUMIF(dName,A64,dVal)</f>
        <v>0</v>
      </c>
      <c r="D64" s="10">
        <f>SUMIF(cName,A64,cVal)</f>
        <v>0</v>
      </c>
      <c r="F64" s="15">
        <f>B64+C64-D64</f>
        <v>2916</v>
      </c>
      <c r="G64" s="11"/>
    </row>
    <row r="65" spans="1:7" x14ac:dyDescent="0.25">
      <c r="A65" s="13" t="s">
        <v>11</v>
      </c>
      <c r="B65" s="18">
        <f>B64</f>
        <v>2916</v>
      </c>
      <c r="C65" s="10"/>
      <c r="D65" s="10"/>
      <c r="F65" s="18">
        <f>SUM(F64:F64)</f>
        <v>2916</v>
      </c>
      <c r="G65" s="18">
        <f>G64</f>
        <v>0</v>
      </c>
    </row>
    <row r="66" spans="1:7" x14ac:dyDescent="0.25">
      <c r="A66" s="13" t="s">
        <v>12</v>
      </c>
      <c r="B66" s="18">
        <f>(0)-(B65)</f>
        <v>-2916</v>
      </c>
      <c r="C66" s="10"/>
      <c r="D66" s="10"/>
      <c r="F66" s="18">
        <f>(0)-(F65)</f>
        <v>-2916</v>
      </c>
      <c r="G66" s="18">
        <f>(0)-(G65)</f>
        <v>0</v>
      </c>
    </row>
    <row r="67" spans="1:7" x14ac:dyDescent="0.25">
      <c r="A67" s="13" t="s">
        <v>13</v>
      </c>
      <c r="B67" s="19">
        <f>(B62)+(B66)</f>
        <v>-1048.7900000000018</v>
      </c>
      <c r="C67" s="10"/>
      <c r="D67" s="10"/>
      <c r="F67" s="19">
        <f>SUM(F62:F62,F66:F66)</f>
        <v>-1645.0400000000018</v>
      </c>
      <c r="G67" s="19">
        <f>(G62)+(G66)</f>
        <v>91.25</v>
      </c>
    </row>
    <row r="68" spans="1:7" x14ac:dyDescent="0.25">
      <c r="A68" s="13"/>
      <c r="B68" s="11"/>
      <c r="C68" s="10"/>
      <c r="D68" s="10"/>
      <c r="F68" s="11"/>
      <c r="G68" s="11"/>
    </row>
    <row r="69" spans="1:7" x14ac:dyDescent="0.25">
      <c r="B69" s="11"/>
      <c r="C69" s="10">
        <f>SUM(C1:C67)</f>
        <v>596.25</v>
      </c>
      <c r="D69" s="10">
        <f>SUM(D1:D67)</f>
        <v>0</v>
      </c>
      <c r="F69" s="11"/>
      <c r="G69" s="11"/>
    </row>
    <row r="70" spans="1:7" x14ac:dyDescent="0.25">
      <c r="B70" s="11"/>
      <c r="C70" s="10"/>
      <c r="D70" s="10"/>
      <c r="F70" s="11"/>
      <c r="G70" s="11"/>
    </row>
    <row r="71" spans="1:7" x14ac:dyDescent="0.25">
      <c r="B71" s="11"/>
      <c r="C71" s="10"/>
      <c r="D71" s="10" t="s">
        <v>113</v>
      </c>
      <c r="E71" s="9">
        <v>1</v>
      </c>
      <c r="F71" s="11">
        <f>SUMIF($E$1:$E$67,$E71,F$1:F$67)-SUMIF($E$1:$E$67,-$E71,F$1:F$67)</f>
        <v>695</v>
      </c>
      <c r="G71" s="11"/>
    </row>
    <row r="72" spans="1:7" x14ac:dyDescent="0.25">
      <c r="B72" s="11"/>
      <c r="C72" s="10"/>
      <c r="D72" s="10" t="s">
        <v>114</v>
      </c>
      <c r="E72" s="9">
        <v>2</v>
      </c>
      <c r="F72" s="11">
        <f>SUMIF($E$1:$E$67,$E72,F$1:F$67)-SUMIF($E$1:$E$67,-$E72,F$1:F$67)</f>
        <v>175</v>
      </c>
      <c r="G72" s="11"/>
    </row>
    <row r="73" spans="1:7" x14ac:dyDescent="0.25">
      <c r="B73" s="11"/>
      <c r="C73" s="10"/>
      <c r="D73" s="10"/>
      <c r="E73" s="9">
        <v>3</v>
      </c>
      <c r="F73" s="11">
        <f>SUMIF($E$1:$E$67,$E73,F$1:F$67)-SUMIF($E$1:$E$67,-$E73,F$1:F$67)</f>
        <v>0</v>
      </c>
      <c r="G73" s="11"/>
    </row>
    <row r="74" spans="1:7" x14ac:dyDescent="0.25">
      <c r="B74" s="11"/>
      <c r="C74" s="10"/>
      <c r="D74" s="10"/>
      <c r="F74" s="11"/>
      <c r="G74" s="11"/>
    </row>
    <row r="75" spans="1:7" x14ac:dyDescent="0.25">
      <c r="B75" s="11"/>
      <c r="C75" s="10"/>
      <c r="D75" s="10"/>
      <c r="F75" s="11"/>
      <c r="G75" s="11"/>
    </row>
    <row r="76" spans="1:7" x14ac:dyDescent="0.25">
      <c r="B76" s="11"/>
      <c r="C76" s="10"/>
      <c r="D76" s="10"/>
      <c r="F76" s="11"/>
      <c r="G76" s="11"/>
    </row>
    <row r="77" spans="1:7" x14ac:dyDescent="0.25">
      <c r="B77" s="11"/>
      <c r="C77" s="10"/>
      <c r="D77" s="10"/>
      <c r="F77" s="11"/>
      <c r="G77" s="11"/>
    </row>
    <row r="78" spans="1:7" x14ac:dyDescent="0.25">
      <c r="B78" s="11"/>
      <c r="C78" s="10"/>
      <c r="D78" s="10"/>
      <c r="F78" s="11"/>
      <c r="G78" s="11"/>
    </row>
  </sheetData>
  <pageMargins left="0.7" right="0.7" top="0.75" bottom="0.75" header="0.3" footer="0.3"/>
  <pageSetup scale="8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5FEB-AC4B-4198-8D4A-DE3F75313544}">
  <sheetPr>
    <pageSetUpPr fitToPage="1"/>
  </sheetPr>
  <dimension ref="A1:E6"/>
  <sheetViews>
    <sheetView workbookViewId="0">
      <selection activeCell="D6" sqref="D6"/>
    </sheetView>
  </sheetViews>
  <sheetFormatPr defaultRowHeight="13.2" x14ac:dyDescent="0.25"/>
  <cols>
    <col min="1" max="2" width="3.6640625" customWidth="1"/>
    <col min="3" max="3" width="45.77734375" customWidth="1"/>
    <col min="4" max="5" width="14.33203125" style="3" customWidth="1"/>
  </cols>
  <sheetData>
    <row r="1" spans="1:5" x14ac:dyDescent="0.25">
      <c r="A1" s="1" t="s">
        <v>14</v>
      </c>
      <c r="B1" s="1"/>
      <c r="C1" s="1"/>
      <c r="D1" s="2"/>
      <c r="E1" s="2"/>
    </row>
    <row r="2" spans="1:5" x14ac:dyDescent="0.25">
      <c r="A2" s="1" t="s">
        <v>109</v>
      </c>
      <c r="B2" s="1"/>
      <c r="C2" s="1"/>
      <c r="D2" s="2"/>
      <c r="E2" s="2"/>
    </row>
    <row r="4" spans="1:5" x14ac:dyDescent="0.25">
      <c r="A4">
        <v>1</v>
      </c>
      <c r="B4" t="s">
        <v>4</v>
      </c>
      <c r="D4" s="3">
        <v>596.25</v>
      </c>
    </row>
    <row r="5" spans="1:5" x14ac:dyDescent="0.25">
      <c r="C5" t="s">
        <v>34</v>
      </c>
      <c r="E5" s="3">
        <v>596.25</v>
      </c>
    </row>
    <row r="6" spans="1:5" x14ac:dyDescent="0.25">
      <c r="B6" s="21" t="s">
        <v>112</v>
      </c>
    </row>
  </sheetData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Balance Sheet</vt:lpstr>
      <vt:lpstr>Income Statement</vt:lpstr>
      <vt:lpstr>AJE's</vt:lpstr>
      <vt:lpstr>cName</vt:lpstr>
      <vt:lpstr>cVal</vt:lpstr>
      <vt:lpstr>dName</vt:lpstr>
      <vt:lpstr>dVal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Ryan Schlemer</cp:lastModifiedBy>
  <cp:lastPrinted>2021-04-04T02:40:46Z</cp:lastPrinted>
  <dcterms:created xsi:type="dcterms:W3CDTF">2021-04-04T01:51:09Z</dcterms:created>
  <dcterms:modified xsi:type="dcterms:W3CDTF">2021-04-04T02:43:24Z</dcterms:modified>
</cp:coreProperties>
</file>