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chl\Documents\git\qb-excel-workpaper\sample-files\"/>
    </mc:Choice>
  </mc:AlternateContent>
  <xr:revisionPtr revIDLastSave="0" documentId="8_{3516DD93-516E-4223-B93D-C7ADDAA11EE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alance Sheet Comparison " sheetId="2" r:id="rId1"/>
    <sheet name="Profit and Los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C10" i="2"/>
  <c r="B11" i="2"/>
  <c r="B12" i="2"/>
  <c r="C12" i="2"/>
  <c r="C20" i="2" s="1"/>
  <c r="C26" i="2" s="1"/>
  <c r="B14" i="2"/>
  <c r="B15" i="2" s="1"/>
  <c r="C14" i="2"/>
  <c r="C15" i="2"/>
  <c r="B17" i="2"/>
  <c r="B18" i="2"/>
  <c r="B19" i="2"/>
  <c r="C19" i="2"/>
  <c r="B23" i="2"/>
  <c r="B24" i="2"/>
  <c r="B25" i="2" s="1"/>
  <c r="C24" i="2"/>
  <c r="C25" i="2" s="1"/>
  <c r="B31" i="2"/>
  <c r="B32" i="2" s="1"/>
  <c r="B41" i="2" s="1"/>
  <c r="B45" i="2" s="1"/>
  <c r="B51" i="2" s="1"/>
  <c r="C31" i="2"/>
  <c r="C32" i="2" s="1"/>
  <c r="C41" i="2" s="1"/>
  <c r="C45" i="2" s="1"/>
  <c r="C51" i="2" s="1"/>
  <c r="B34" i="2"/>
  <c r="B35" i="2"/>
  <c r="C35" i="2"/>
  <c r="B37" i="2"/>
  <c r="B40" i="2" s="1"/>
  <c r="B38" i="2"/>
  <c r="C38" i="2"/>
  <c r="B39" i="2"/>
  <c r="C40" i="2"/>
  <c r="B43" i="2"/>
  <c r="B44" i="2"/>
  <c r="C44" i="2"/>
  <c r="B47" i="2"/>
  <c r="C47" i="2"/>
  <c r="C50" i="2" s="1"/>
  <c r="B48" i="2"/>
  <c r="C48" i="2"/>
  <c r="B49" i="2"/>
  <c r="B50" i="2"/>
  <c r="C66" i="1"/>
  <c r="C67" i="1" s="1"/>
  <c r="B66" i="1"/>
  <c r="B67" i="1" s="1"/>
  <c r="B65" i="1"/>
  <c r="C61" i="1"/>
  <c r="B60" i="1"/>
  <c r="B59" i="1"/>
  <c r="B61" i="1" s="1"/>
  <c r="B57" i="1"/>
  <c r="B56" i="1"/>
  <c r="B55" i="1"/>
  <c r="B54" i="1"/>
  <c r="C53" i="1"/>
  <c r="B52" i="1"/>
  <c r="B51" i="1"/>
  <c r="B53" i="1" s="1"/>
  <c r="C50" i="1"/>
  <c r="C49" i="1"/>
  <c r="B49" i="1"/>
  <c r="B48" i="1"/>
  <c r="B47" i="1"/>
  <c r="B46" i="1"/>
  <c r="B50" i="1" s="1"/>
  <c r="C44" i="1"/>
  <c r="B43" i="1"/>
  <c r="B42" i="1"/>
  <c r="B44" i="1" s="1"/>
  <c r="B41" i="1"/>
  <c r="C39" i="1"/>
  <c r="C45" i="1" s="1"/>
  <c r="C62" i="1" s="1"/>
  <c r="B38" i="1"/>
  <c r="B37" i="1"/>
  <c r="B39" i="1" s="1"/>
  <c r="B36" i="1"/>
  <c r="B35" i="1"/>
  <c r="B34" i="1"/>
  <c r="C33" i="1"/>
  <c r="B32" i="1"/>
  <c r="B31" i="1"/>
  <c r="B33" i="1" s="1"/>
  <c r="B30" i="1"/>
  <c r="C27" i="1"/>
  <c r="B26" i="1"/>
  <c r="B27" i="1" s="1"/>
  <c r="B23" i="1"/>
  <c r="B22" i="1"/>
  <c r="C21" i="1"/>
  <c r="B21" i="1"/>
  <c r="C19" i="1"/>
  <c r="B18" i="1"/>
  <c r="B17" i="1"/>
  <c r="B19" i="1" s="1"/>
  <c r="B14" i="1"/>
  <c r="C13" i="1"/>
  <c r="C15" i="1" s="1"/>
  <c r="B13" i="1"/>
  <c r="B12" i="1"/>
  <c r="B15" i="1" s="1"/>
  <c r="C10" i="1"/>
  <c r="C20" i="1" s="1"/>
  <c r="C24" i="1" s="1"/>
  <c r="C28" i="1" s="1"/>
  <c r="B10" i="1"/>
  <c r="B9" i="1"/>
  <c r="B8" i="1"/>
  <c r="B20" i="2" l="1"/>
  <c r="B26" i="2" s="1"/>
  <c r="B45" i="1"/>
  <c r="C63" i="1"/>
  <c r="C68" i="1" s="1"/>
  <c r="B62" i="1"/>
  <c r="B20" i="1"/>
  <c r="B24" i="1" s="1"/>
  <c r="B28" i="1" s="1"/>
  <c r="B63" i="1" s="1"/>
  <c r="B68" i="1" s="1"/>
</calcChain>
</file>

<file path=xl/sharedStrings.xml><?xml version="1.0" encoding="utf-8"?>
<sst xmlns="http://schemas.openxmlformats.org/spreadsheetml/2006/main" count="121" uniqueCount="115">
  <si>
    <t>Total</t>
  </si>
  <si>
    <t>Jan - Dec 2020</t>
  </si>
  <si>
    <t>Jan - Dec 2019 (PP)</t>
  </si>
  <si>
    <t>Income</t>
  </si>
  <si>
    <t xml:space="preserve">   Design income</t>
  </si>
  <si>
    <t xml:space="preserve">   Discounts given</t>
  </si>
  <si>
    <t xml:space="preserve">   Landscaping Services</t>
  </si>
  <si>
    <t xml:space="preserve">      Job Materials</t>
  </si>
  <si>
    <t xml:space="preserve">         Fountains and Garden Lighting</t>
  </si>
  <si>
    <t xml:space="preserve">         Plants and Soil</t>
  </si>
  <si>
    <t xml:space="preserve">         Sprinklers and Drip Systems</t>
  </si>
  <si>
    <t xml:space="preserve">      Total Job Materials</t>
  </si>
  <si>
    <t xml:space="preserve">      Labor</t>
  </si>
  <si>
    <t xml:space="preserve">         Installation</t>
  </si>
  <si>
    <t xml:space="preserve">         Maintenance and Repair</t>
  </si>
  <si>
    <t xml:space="preserve">      Total Labor</t>
  </si>
  <si>
    <t xml:space="preserve">   Total Landscaping Services</t>
  </si>
  <si>
    <t xml:space="preserve">   Pest Control Services</t>
  </si>
  <si>
    <t xml:space="preserve">   Sales of Product Income</t>
  </si>
  <si>
    <t xml:space="preserve">   Services</t>
  </si>
  <si>
    <t>Total Income</t>
  </si>
  <si>
    <t>Cost of Goods Sold</t>
  </si>
  <si>
    <t xml:space="preserve">   Cost of Goods Sold</t>
  </si>
  <si>
    <t>Total Cost of Goods Sold</t>
  </si>
  <si>
    <t>Gross Profit</t>
  </si>
  <si>
    <t>Expenses</t>
  </si>
  <si>
    <t xml:space="preserve">   Advertising</t>
  </si>
  <si>
    <t xml:space="preserve">   Automobile</t>
  </si>
  <si>
    <t xml:space="preserve">      Fuel</t>
  </si>
  <si>
    <t xml:space="preserve">   Total Automobile</t>
  </si>
  <si>
    <t xml:space="preserve">   Equipment Rental</t>
  </si>
  <si>
    <t xml:space="preserve">   Insurance</t>
  </si>
  <si>
    <t xml:space="preserve">   Job Expenses</t>
  </si>
  <si>
    <t xml:space="preserve">      Cost of Labor</t>
  </si>
  <si>
    <t xml:space="preserve">         Maintenance and Repairs</t>
  </si>
  <si>
    <t xml:space="preserve">      Total Cost of Labor</t>
  </si>
  <si>
    <t xml:space="preserve">         Decks and Patios</t>
  </si>
  <si>
    <t xml:space="preserve">   Total Job Expenses</t>
  </si>
  <si>
    <t xml:space="preserve">   Legal &amp; Professional Fees</t>
  </si>
  <si>
    <t xml:space="preserve">      Accounting</t>
  </si>
  <si>
    <t xml:space="preserve">      Bookkeeper</t>
  </si>
  <si>
    <t xml:space="preserve">      Lawyer</t>
  </si>
  <si>
    <t xml:space="preserve">   Total Legal &amp; Professional Fees</t>
  </si>
  <si>
    <t xml:space="preserve">   Maintenance and Repair</t>
  </si>
  <si>
    <t xml:space="preserve">      Equipment Repairs</t>
  </si>
  <si>
    <t xml:space="preserve">   Total Maintenance and Repair</t>
  </si>
  <si>
    <t xml:space="preserve">   Meals and Entertainment</t>
  </si>
  <si>
    <t xml:space="preserve">   Office Expenses</t>
  </si>
  <si>
    <t xml:space="preserve">   Rent or Lease</t>
  </si>
  <si>
    <t xml:space="preserve">   Travel</t>
  </si>
  <si>
    <t xml:space="preserve">   Utilities</t>
  </si>
  <si>
    <t xml:space="preserve">      Gas and Electric</t>
  </si>
  <si>
    <t xml:space="preserve">      Telephone</t>
  </si>
  <si>
    <t xml:space="preserve">   Total Utilities</t>
  </si>
  <si>
    <t>Total Expenses</t>
  </si>
  <si>
    <t>Net Operating Income</t>
  </si>
  <si>
    <t>Other Expenses</t>
  </si>
  <si>
    <t xml:space="preserve">   Miscellaneous</t>
  </si>
  <si>
    <t>Total Other Expenses</t>
  </si>
  <si>
    <t>Net Other Income</t>
  </si>
  <si>
    <t>Net Income</t>
  </si>
  <si>
    <t>Saturday, Apr 03, 2021 07:45:23 PM GMT-7 - Accrual Basis</t>
  </si>
  <si>
    <t>Sandbox Company_US_1</t>
  </si>
  <si>
    <t>Profit and Loss</t>
  </si>
  <si>
    <t>January - December 2020</t>
  </si>
  <si>
    <t>Saturday, Apr 03, 2021 06:58:39 PM GMT-7 - Accrual Basis</t>
  </si>
  <si>
    <t>TOTAL LIABILITIES AND EQUITY</t>
  </si>
  <si>
    <t xml:space="preserve">   Total Equity</t>
  </si>
  <si>
    <t xml:space="preserve">      Net Income</t>
  </si>
  <si>
    <t xml:space="preserve">      Retained Earnings</t>
  </si>
  <si>
    <t xml:space="preserve">      Opening Balance Equity</t>
  </si>
  <si>
    <t xml:space="preserve">   Equity</t>
  </si>
  <si>
    <t xml:space="preserve">   Total Liabilities</t>
  </si>
  <si>
    <t xml:space="preserve">      Total Long-Term Liabilities</t>
  </si>
  <si>
    <t xml:space="preserve">         Notes Payable</t>
  </si>
  <si>
    <t xml:space="preserve">      Long-Term Liabilities</t>
  </si>
  <si>
    <t xml:space="preserve">      Total Current Liabilities</t>
  </si>
  <si>
    <t xml:space="preserve">         Total Other Current Liabilities</t>
  </si>
  <si>
    <t xml:space="preserve">            Loan Payable</t>
  </si>
  <si>
    <t xml:space="preserve">            Board of Equalization Payable</t>
  </si>
  <si>
    <t xml:space="preserve">            Arizona Dept. of Revenue Payable</t>
  </si>
  <si>
    <t xml:space="preserve">         Other Current Liabilities</t>
  </si>
  <si>
    <t xml:space="preserve">         Total Credit Cards</t>
  </si>
  <si>
    <t xml:space="preserve">            Mastercard</t>
  </si>
  <si>
    <t xml:space="preserve">         Credit Cards</t>
  </si>
  <si>
    <t xml:space="preserve">         Total Accounts Payable</t>
  </si>
  <si>
    <t xml:space="preserve">            Accounts Payable (A/P)</t>
  </si>
  <si>
    <t xml:space="preserve">         Accounts Payable</t>
  </si>
  <si>
    <t xml:space="preserve">      Current Liabilities</t>
  </si>
  <si>
    <t xml:space="preserve">   Liabilities</t>
  </si>
  <si>
    <t>LIABILITIES AND EQUITY</t>
  </si>
  <si>
    <t>TOTAL ASSETS</t>
  </si>
  <si>
    <t xml:space="preserve">   Total Fixed Assets</t>
  </si>
  <si>
    <t xml:space="preserve">      Total Truck</t>
  </si>
  <si>
    <t xml:space="preserve">         Original Cost</t>
  </si>
  <si>
    <t xml:space="preserve">      Truck</t>
  </si>
  <si>
    <t xml:space="preserve">   Fixed Assets</t>
  </si>
  <si>
    <t xml:space="preserve">   Total Current Assets</t>
  </si>
  <si>
    <t xml:space="preserve">      Total Other Current Assets</t>
  </si>
  <si>
    <t xml:space="preserve">         Undeposited Funds</t>
  </si>
  <si>
    <t xml:space="preserve">         Inventory Asset</t>
  </si>
  <si>
    <t xml:space="preserve">      Other Current Assets</t>
  </si>
  <si>
    <t xml:space="preserve">      Total Accounts Receivable</t>
  </si>
  <si>
    <t xml:space="preserve">         Accounts Receivable (A/R)</t>
  </si>
  <si>
    <t xml:space="preserve">      Accounts Receivable</t>
  </si>
  <si>
    <t xml:space="preserve">      Total Bank Accounts</t>
  </si>
  <si>
    <t xml:space="preserve">         Savings</t>
  </si>
  <si>
    <t xml:space="preserve">         Checking</t>
  </si>
  <si>
    <t xml:space="preserve">      Bank Accounts</t>
  </si>
  <si>
    <t xml:space="preserve">   Current Assets</t>
  </si>
  <si>
    <t>ASSETS</t>
  </si>
  <si>
    <t>As of Dec 31, 2019 (PP)</t>
  </si>
  <si>
    <t>As of Dec 31, 2020</t>
  </si>
  <si>
    <t>As of December 31, 2020</t>
  </si>
  <si>
    <t xml:space="preserve">Balance Sheet Comparison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</si>
</sst>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557D4-CD2D-4E59-B3F4-B8855379CAF0}">
  <dimension ref="A1:C55"/>
  <sheetViews>
    <sheetView tabSelected="1" workbookViewId="0">
      <selection sqref="A1:C1"/>
    </sheetView>
  </sheetViews>
  <sheetFormatPr defaultRowHeight="14.4" x14ac:dyDescent="0.3"/>
  <cols>
    <col min="1" max="1" width="38.6640625" customWidth="1"/>
    <col min="2" max="3" width="14.5546875" customWidth="1"/>
  </cols>
  <sheetData>
    <row r="1" spans="1:3" ht="17.399999999999999" x14ac:dyDescent="0.3">
      <c r="A1" s="12" t="s">
        <v>62</v>
      </c>
      <c r="B1" s="11"/>
      <c r="C1" s="11"/>
    </row>
    <row r="2" spans="1:3" ht="17.399999999999999" x14ac:dyDescent="0.3">
      <c r="A2" s="12" t="s">
        <v>114</v>
      </c>
      <c r="B2" s="11"/>
      <c r="C2" s="11"/>
    </row>
    <row r="3" spans="1:3" x14ac:dyDescent="0.3">
      <c r="A3" s="13" t="s">
        <v>113</v>
      </c>
      <c r="B3" s="11"/>
      <c r="C3" s="11"/>
    </row>
    <row r="5" spans="1:3" x14ac:dyDescent="0.3">
      <c r="A5" s="1"/>
      <c r="B5" s="8" t="s">
        <v>0</v>
      </c>
      <c r="C5" s="9"/>
    </row>
    <row r="6" spans="1:3" ht="24.6" x14ac:dyDescent="0.3">
      <c r="A6" s="1"/>
      <c r="B6" s="2" t="s">
        <v>112</v>
      </c>
      <c r="C6" s="2" t="s">
        <v>111</v>
      </c>
    </row>
    <row r="7" spans="1:3" x14ac:dyDescent="0.3">
      <c r="A7" s="3" t="s">
        <v>110</v>
      </c>
      <c r="B7" s="4"/>
      <c r="C7" s="4"/>
    </row>
    <row r="8" spans="1:3" x14ac:dyDescent="0.3">
      <c r="A8" s="3" t="s">
        <v>109</v>
      </c>
      <c r="B8" s="4"/>
      <c r="C8" s="4"/>
    </row>
    <row r="9" spans="1:3" x14ac:dyDescent="0.3">
      <c r="A9" s="3" t="s">
        <v>108</v>
      </c>
      <c r="B9" s="4"/>
      <c r="C9" s="4"/>
    </row>
    <row r="10" spans="1:3" x14ac:dyDescent="0.3">
      <c r="A10" s="3" t="s">
        <v>107</v>
      </c>
      <c r="B10" s="5">
        <f>-1499</f>
        <v>-1499</v>
      </c>
      <c r="C10" s="5">
        <f>5000</f>
        <v>5000</v>
      </c>
    </row>
    <row r="11" spans="1:3" x14ac:dyDescent="0.3">
      <c r="A11" s="3" t="s">
        <v>106</v>
      </c>
      <c r="B11" s="5">
        <f>800</f>
        <v>800</v>
      </c>
      <c r="C11" s="4"/>
    </row>
    <row r="12" spans="1:3" x14ac:dyDescent="0.3">
      <c r="A12" s="3" t="s">
        <v>105</v>
      </c>
      <c r="B12" s="7">
        <f>(B10)+(B11)</f>
        <v>-699</v>
      </c>
      <c r="C12" s="7">
        <f>(C10)+(C11)</f>
        <v>5000</v>
      </c>
    </row>
    <row r="13" spans="1:3" x14ac:dyDescent="0.3">
      <c r="A13" s="3" t="s">
        <v>104</v>
      </c>
      <c r="B13" s="4"/>
      <c r="C13" s="4"/>
    </row>
    <row r="14" spans="1:3" x14ac:dyDescent="0.3">
      <c r="A14" s="3" t="s">
        <v>103</v>
      </c>
      <c r="B14" s="5">
        <f>6081.52</f>
        <v>6081.52</v>
      </c>
      <c r="C14" s="5">
        <f>401.75</f>
        <v>401.75</v>
      </c>
    </row>
    <row r="15" spans="1:3" x14ac:dyDescent="0.3">
      <c r="A15" s="3" t="s">
        <v>102</v>
      </c>
      <c r="B15" s="7">
        <f>B14</f>
        <v>6081.52</v>
      </c>
      <c r="C15" s="7">
        <f>C14</f>
        <v>401.75</v>
      </c>
    </row>
    <row r="16" spans="1:3" x14ac:dyDescent="0.3">
      <c r="A16" s="3" t="s">
        <v>101</v>
      </c>
      <c r="B16" s="4"/>
      <c r="C16" s="4"/>
    </row>
    <row r="17" spans="1:3" x14ac:dyDescent="0.3">
      <c r="A17" s="3" t="s">
        <v>100</v>
      </c>
      <c r="B17" s="5">
        <f>596.25</f>
        <v>596.25</v>
      </c>
      <c r="C17" s="4"/>
    </row>
    <row r="18" spans="1:3" x14ac:dyDescent="0.3">
      <c r="A18" s="3" t="s">
        <v>99</v>
      </c>
      <c r="B18" s="5">
        <f>2062.52</f>
        <v>2062.52</v>
      </c>
      <c r="C18" s="4"/>
    </row>
    <row r="19" spans="1:3" x14ac:dyDescent="0.3">
      <c r="A19" s="3" t="s">
        <v>98</v>
      </c>
      <c r="B19" s="7">
        <f>(B17)+(B18)</f>
        <v>2658.77</v>
      </c>
      <c r="C19" s="7">
        <f>(C17)+(C18)</f>
        <v>0</v>
      </c>
    </row>
    <row r="20" spans="1:3" x14ac:dyDescent="0.3">
      <c r="A20" s="3" t="s">
        <v>97</v>
      </c>
      <c r="B20" s="7">
        <f>((B12)+(B15))+(B19)</f>
        <v>8041.2900000000009</v>
      </c>
      <c r="C20" s="7">
        <f>((C12)+(C15))+(C19)</f>
        <v>5401.75</v>
      </c>
    </row>
    <row r="21" spans="1:3" x14ac:dyDescent="0.3">
      <c r="A21" s="3" t="s">
        <v>96</v>
      </c>
      <c r="B21" s="4"/>
      <c r="C21" s="4"/>
    </row>
    <row r="22" spans="1:3" x14ac:dyDescent="0.3">
      <c r="A22" s="3" t="s">
        <v>95</v>
      </c>
      <c r="B22" s="4"/>
      <c r="C22" s="4"/>
    </row>
    <row r="23" spans="1:3" x14ac:dyDescent="0.3">
      <c r="A23" s="3" t="s">
        <v>94</v>
      </c>
      <c r="B23" s="5">
        <f>13495</f>
        <v>13495</v>
      </c>
      <c r="C23" s="4"/>
    </row>
    <row r="24" spans="1:3" x14ac:dyDescent="0.3">
      <c r="A24" s="3" t="s">
        <v>93</v>
      </c>
      <c r="B24" s="7">
        <f>(B22)+(B23)</f>
        <v>13495</v>
      </c>
      <c r="C24" s="7">
        <f>(C22)+(C23)</f>
        <v>0</v>
      </c>
    </row>
    <row r="25" spans="1:3" x14ac:dyDescent="0.3">
      <c r="A25" s="3" t="s">
        <v>92</v>
      </c>
      <c r="B25" s="7">
        <f>B24</f>
        <v>13495</v>
      </c>
      <c r="C25" s="7">
        <f>C24</f>
        <v>0</v>
      </c>
    </row>
    <row r="26" spans="1:3" x14ac:dyDescent="0.3">
      <c r="A26" s="3" t="s">
        <v>91</v>
      </c>
      <c r="B26" s="7">
        <f>(B20)+(B25)</f>
        <v>21536.29</v>
      </c>
      <c r="C26" s="7">
        <f>(C20)+(C25)</f>
        <v>5401.75</v>
      </c>
    </row>
    <row r="27" spans="1:3" x14ac:dyDescent="0.3">
      <c r="A27" s="3" t="s">
        <v>90</v>
      </c>
      <c r="B27" s="4"/>
      <c r="C27" s="4"/>
    </row>
    <row r="28" spans="1:3" x14ac:dyDescent="0.3">
      <c r="A28" s="3" t="s">
        <v>89</v>
      </c>
      <c r="B28" s="4"/>
      <c r="C28" s="4"/>
    </row>
    <row r="29" spans="1:3" x14ac:dyDescent="0.3">
      <c r="A29" s="3" t="s">
        <v>88</v>
      </c>
      <c r="B29" s="4"/>
      <c r="C29" s="4"/>
    </row>
    <row r="30" spans="1:3" x14ac:dyDescent="0.3">
      <c r="A30" s="3" t="s">
        <v>87</v>
      </c>
      <c r="B30" s="4"/>
      <c r="C30" s="4"/>
    </row>
    <row r="31" spans="1:3" x14ac:dyDescent="0.3">
      <c r="A31" s="3" t="s">
        <v>86</v>
      </c>
      <c r="B31" s="5">
        <f>1602.67</f>
        <v>1602.67</v>
      </c>
      <c r="C31" s="5">
        <f>300</f>
        <v>300</v>
      </c>
    </row>
    <row r="32" spans="1:3" x14ac:dyDescent="0.3">
      <c r="A32" s="3" t="s">
        <v>85</v>
      </c>
      <c r="B32" s="7">
        <f>B31</f>
        <v>1602.67</v>
      </c>
      <c r="C32" s="7">
        <f>C31</f>
        <v>300</v>
      </c>
    </row>
    <row r="33" spans="1:3" x14ac:dyDescent="0.3">
      <c r="A33" s="3" t="s">
        <v>84</v>
      </c>
      <c r="B33" s="4"/>
      <c r="C33" s="4"/>
    </row>
    <row r="34" spans="1:3" x14ac:dyDescent="0.3">
      <c r="A34" s="3" t="s">
        <v>83</v>
      </c>
      <c r="B34" s="5">
        <f>157.72</f>
        <v>157.72</v>
      </c>
      <c r="C34" s="4"/>
    </row>
    <row r="35" spans="1:3" x14ac:dyDescent="0.3">
      <c r="A35" s="3" t="s">
        <v>82</v>
      </c>
      <c r="B35" s="7">
        <f>B34</f>
        <v>157.72</v>
      </c>
      <c r="C35" s="7">
        <f>C34</f>
        <v>0</v>
      </c>
    </row>
    <row r="36" spans="1:3" x14ac:dyDescent="0.3">
      <c r="A36" s="3" t="s">
        <v>81</v>
      </c>
      <c r="B36" s="4"/>
      <c r="C36" s="4"/>
    </row>
    <row r="37" spans="1:3" x14ac:dyDescent="0.3">
      <c r="A37" s="3" t="s">
        <v>80</v>
      </c>
      <c r="B37" s="5">
        <f>0</f>
        <v>0</v>
      </c>
      <c r="C37" s="4"/>
    </row>
    <row r="38" spans="1:3" x14ac:dyDescent="0.3">
      <c r="A38" s="3" t="s">
        <v>79</v>
      </c>
      <c r="B38" s="5">
        <f>370.94</f>
        <v>370.94</v>
      </c>
      <c r="C38" s="5">
        <f>10.5</f>
        <v>10.5</v>
      </c>
    </row>
    <row r="39" spans="1:3" x14ac:dyDescent="0.3">
      <c r="A39" s="3" t="s">
        <v>78</v>
      </c>
      <c r="B39" s="5">
        <f>4000</f>
        <v>4000</v>
      </c>
      <c r="C39" s="4"/>
    </row>
    <row r="40" spans="1:3" x14ac:dyDescent="0.3">
      <c r="A40" s="3" t="s">
        <v>77</v>
      </c>
      <c r="B40" s="7">
        <f>((B37)+(B38))+(B39)</f>
        <v>4370.9399999999996</v>
      </c>
      <c r="C40" s="7">
        <f>((C37)+(C38))+(C39)</f>
        <v>10.5</v>
      </c>
    </row>
    <row r="41" spans="1:3" x14ac:dyDescent="0.3">
      <c r="A41" s="3" t="s">
        <v>76</v>
      </c>
      <c r="B41" s="7">
        <f>((B32)+(B35))+(B40)</f>
        <v>6131.33</v>
      </c>
      <c r="C41" s="7">
        <f>((C32)+(C35))+(C40)</f>
        <v>310.5</v>
      </c>
    </row>
    <row r="42" spans="1:3" x14ac:dyDescent="0.3">
      <c r="A42" s="3" t="s">
        <v>75</v>
      </c>
      <c r="B42" s="4"/>
      <c r="C42" s="4"/>
    </row>
    <row r="43" spans="1:3" x14ac:dyDescent="0.3">
      <c r="A43" s="3" t="s">
        <v>74</v>
      </c>
      <c r="B43" s="5">
        <f>25700</f>
        <v>25700</v>
      </c>
      <c r="C43" s="4"/>
    </row>
    <row r="44" spans="1:3" x14ac:dyDescent="0.3">
      <c r="A44" s="3" t="s">
        <v>73</v>
      </c>
      <c r="B44" s="7">
        <f>B43</f>
        <v>25700</v>
      </c>
      <c r="C44" s="7">
        <f>C43</f>
        <v>0</v>
      </c>
    </row>
    <row r="45" spans="1:3" x14ac:dyDescent="0.3">
      <c r="A45" s="3" t="s">
        <v>72</v>
      </c>
      <c r="B45" s="7">
        <f>(B41)+(B44)</f>
        <v>31831.33</v>
      </c>
      <c r="C45" s="7">
        <f>(C41)+(C44)</f>
        <v>310.5</v>
      </c>
    </row>
    <row r="46" spans="1:3" x14ac:dyDescent="0.3">
      <c r="A46" s="3" t="s">
        <v>71</v>
      </c>
      <c r="B46" s="4"/>
      <c r="C46" s="4"/>
    </row>
    <row r="47" spans="1:3" x14ac:dyDescent="0.3">
      <c r="A47" s="3" t="s">
        <v>70</v>
      </c>
      <c r="B47" s="5">
        <f>-9337.5</f>
        <v>-9337.5</v>
      </c>
      <c r="C47" s="5">
        <f>5000</f>
        <v>5000</v>
      </c>
    </row>
    <row r="48" spans="1:3" x14ac:dyDescent="0.3">
      <c r="A48" s="3" t="s">
        <v>69</v>
      </c>
      <c r="B48" s="5">
        <f>91.25</f>
        <v>91.25</v>
      </c>
      <c r="C48" s="5">
        <f>91.25</f>
        <v>91.25</v>
      </c>
    </row>
    <row r="49" spans="1:3" x14ac:dyDescent="0.3">
      <c r="A49" s="3" t="s">
        <v>68</v>
      </c>
      <c r="B49" s="5">
        <f>-1048.79</f>
        <v>-1048.79</v>
      </c>
      <c r="C49" s="4"/>
    </row>
    <row r="50" spans="1:3" x14ac:dyDescent="0.3">
      <c r="A50" s="3" t="s">
        <v>67</v>
      </c>
      <c r="B50" s="7">
        <f>((B47)+(B48))+(B49)</f>
        <v>-10295.040000000001</v>
      </c>
      <c r="C50" s="7">
        <f>((C47)+(C48))+(C49)</f>
        <v>5091.25</v>
      </c>
    </row>
    <row r="51" spans="1:3" x14ac:dyDescent="0.3">
      <c r="A51" s="3" t="s">
        <v>66</v>
      </c>
      <c r="B51" s="7">
        <f>(B45)+(B50)</f>
        <v>21536.29</v>
      </c>
      <c r="C51" s="7">
        <f>(C45)+(C50)</f>
        <v>5401.75</v>
      </c>
    </row>
    <row r="52" spans="1:3" x14ac:dyDescent="0.3">
      <c r="A52" s="3"/>
      <c r="B52" s="4"/>
      <c r="C52" s="4"/>
    </row>
    <row r="55" spans="1:3" x14ac:dyDescent="0.3">
      <c r="A55" s="10" t="s">
        <v>65</v>
      </c>
      <c r="B55" s="11"/>
      <c r="C55" s="11"/>
    </row>
  </sheetData>
  <mergeCells count="5">
    <mergeCell ref="B5:C5"/>
    <mergeCell ref="A55:C55"/>
    <mergeCell ref="A1:C1"/>
    <mergeCell ref="A2:C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workbookViewId="0">
      <selection sqref="A1:C1"/>
    </sheetView>
  </sheetViews>
  <sheetFormatPr defaultRowHeight="14.4" x14ac:dyDescent="0.3"/>
  <cols>
    <col min="1" max="1" width="33.5546875" customWidth="1"/>
    <col min="2" max="3" width="12" customWidth="1"/>
  </cols>
  <sheetData>
    <row r="1" spans="1:3" ht="17.399999999999999" x14ac:dyDescent="0.3">
      <c r="A1" s="12" t="s">
        <v>62</v>
      </c>
      <c r="B1" s="11"/>
      <c r="C1" s="11"/>
    </row>
    <row r="2" spans="1:3" ht="17.399999999999999" x14ac:dyDescent="0.3">
      <c r="A2" s="12" t="s">
        <v>63</v>
      </c>
      <c r="B2" s="11"/>
      <c r="C2" s="11"/>
    </row>
    <row r="3" spans="1:3" x14ac:dyDescent="0.3">
      <c r="A3" s="13" t="s">
        <v>64</v>
      </c>
      <c r="B3" s="11"/>
      <c r="C3" s="11"/>
    </row>
    <row r="5" spans="1:3" x14ac:dyDescent="0.3">
      <c r="A5" s="1"/>
      <c r="B5" s="8" t="s">
        <v>0</v>
      </c>
      <c r="C5" s="9"/>
    </row>
    <row r="6" spans="1:3" ht="24.6" x14ac:dyDescent="0.3">
      <c r="A6" s="1"/>
      <c r="B6" s="2" t="s">
        <v>1</v>
      </c>
      <c r="C6" s="2" t="s">
        <v>2</v>
      </c>
    </row>
    <row r="7" spans="1:3" x14ac:dyDescent="0.3">
      <c r="A7" s="3" t="s">
        <v>3</v>
      </c>
      <c r="B7" s="4"/>
      <c r="C7" s="4"/>
    </row>
    <row r="8" spans="1:3" x14ac:dyDescent="0.3">
      <c r="A8" s="3" t="s">
        <v>4</v>
      </c>
      <c r="B8" s="5">
        <f>2250</f>
        <v>2250</v>
      </c>
      <c r="C8" s="4"/>
    </row>
    <row r="9" spans="1:3" x14ac:dyDescent="0.3">
      <c r="A9" s="3" t="s">
        <v>5</v>
      </c>
      <c r="B9" s="5">
        <f>-89.5</f>
        <v>-89.5</v>
      </c>
      <c r="C9" s="4"/>
    </row>
    <row r="10" spans="1:3" x14ac:dyDescent="0.3">
      <c r="A10" s="3" t="s">
        <v>6</v>
      </c>
      <c r="B10" s="5">
        <f>1287.5</f>
        <v>1287.5</v>
      </c>
      <c r="C10" s="5">
        <f>190</f>
        <v>190</v>
      </c>
    </row>
    <row r="11" spans="1:3" x14ac:dyDescent="0.3">
      <c r="A11" s="3" t="s">
        <v>7</v>
      </c>
      <c r="B11" s="4"/>
      <c r="C11" s="4"/>
    </row>
    <row r="12" spans="1:3" x14ac:dyDescent="0.3">
      <c r="A12" s="3" t="s">
        <v>8</v>
      </c>
      <c r="B12" s="5">
        <f>2246.5</f>
        <v>2246.5</v>
      </c>
      <c r="C12" s="4"/>
    </row>
    <row r="13" spans="1:3" x14ac:dyDescent="0.3">
      <c r="A13" s="3" t="s">
        <v>9</v>
      </c>
      <c r="B13" s="5">
        <f>2220.72</f>
        <v>2220.7199999999998</v>
      </c>
      <c r="C13" s="5">
        <f>131.25</f>
        <v>131.25</v>
      </c>
    </row>
    <row r="14" spans="1:3" x14ac:dyDescent="0.3">
      <c r="A14" s="3" t="s">
        <v>10</v>
      </c>
      <c r="B14" s="5">
        <f>138</f>
        <v>138</v>
      </c>
      <c r="C14" s="4"/>
    </row>
    <row r="15" spans="1:3" x14ac:dyDescent="0.3">
      <c r="A15" s="3" t="s">
        <v>11</v>
      </c>
      <c r="B15" s="6">
        <f>(((B11)+(B12))+(B13))+(B14)</f>
        <v>4605.2199999999993</v>
      </c>
      <c r="C15" s="6">
        <f>(((C11)+(C12))+(C13))+(C14)</f>
        <v>131.25</v>
      </c>
    </row>
    <row r="16" spans="1:3" x14ac:dyDescent="0.3">
      <c r="A16" s="3" t="s">
        <v>12</v>
      </c>
      <c r="B16" s="4"/>
      <c r="C16" s="4"/>
    </row>
    <row r="17" spans="1:3" x14ac:dyDescent="0.3">
      <c r="A17" s="3" t="s">
        <v>13</v>
      </c>
      <c r="B17" s="5">
        <f>250</f>
        <v>250</v>
      </c>
      <c r="C17" s="4"/>
    </row>
    <row r="18" spans="1:3" x14ac:dyDescent="0.3">
      <c r="A18" s="3" t="s">
        <v>14</v>
      </c>
      <c r="B18" s="5">
        <f>50</f>
        <v>50</v>
      </c>
      <c r="C18" s="4"/>
    </row>
    <row r="19" spans="1:3" x14ac:dyDescent="0.3">
      <c r="A19" s="3" t="s">
        <v>15</v>
      </c>
      <c r="B19" s="6">
        <f>((B16)+(B17))+(B18)</f>
        <v>300</v>
      </c>
      <c r="C19" s="6">
        <f>((C16)+(C17))+(C18)</f>
        <v>0</v>
      </c>
    </row>
    <row r="20" spans="1:3" x14ac:dyDescent="0.3">
      <c r="A20" s="3" t="s">
        <v>16</v>
      </c>
      <c r="B20" s="6">
        <f>((B10)+(B15))+(B19)</f>
        <v>6192.7199999999993</v>
      </c>
      <c r="C20" s="6">
        <f>((C10)+(C15))+(C19)</f>
        <v>321.25</v>
      </c>
    </row>
    <row r="21" spans="1:3" x14ac:dyDescent="0.3">
      <c r="A21" s="3" t="s">
        <v>17</v>
      </c>
      <c r="B21" s="5">
        <f>40</f>
        <v>40</v>
      </c>
      <c r="C21" s="5">
        <f>70</f>
        <v>70</v>
      </c>
    </row>
    <row r="22" spans="1:3" x14ac:dyDescent="0.3">
      <c r="A22" s="3" t="s">
        <v>18</v>
      </c>
      <c r="B22" s="5">
        <f>912.75</f>
        <v>912.75</v>
      </c>
      <c r="C22" s="4"/>
    </row>
    <row r="23" spans="1:3" x14ac:dyDescent="0.3">
      <c r="A23" s="3" t="s">
        <v>19</v>
      </c>
      <c r="B23" s="5">
        <f>303.55</f>
        <v>303.55</v>
      </c>
      <c r="C23" s="4"/>
    </row>
    <row r="24" spans="1:3" x14ac:dyDescent="0.3">
      <c r="A24" s="3" t="s">
        <v>20</v>
      </c>
      <c r="B24" s="6">
        <f>(((((B8)+(B9))+(B20))+(B21))+(B22))+(B23)</f>
        <v>9609.5199999999986</v>
      </c>
      <c r="C24" s="6">
        <f>(((((C8)+(C9))+(C20))+(C21))+(C22))+(C23)</f>
        <v>391.25</v>
      </c>
    </row>
    <row r="25" spans="1:3" x14ac:dyDescent="0.3">
      <c r="A25" s="3" t="s">
        <v>21</v>
      </c>
      <c r="B25" s="4"/>
      <c r="C25" s="4"/>
    </row>
    <row r="26" spans="1:3" x14ac:dyDescent="0.3">
      <c r="A26" s="3" t="s">
        <v>22</v>
      </c>
      <c r="B26" s="5">
        <f>405</f>
        <v>405</v>
      </c>
      <c r="C26" s="4"/>
    </row>
    <row r="27" spans="1:3" x14ac:dyDescent="0.3">
      <c r="A27" s="3" t="s">
        <v>23</v>
      </c>
      <c r="B27" s="6">
        <f>B26</f>
        <v>405</v>
      </c>
      <c r="C27" s="6">
        <f>C26</f>
        <v>0</v>
      </c>
    </row>
    <row r="28" spans="1:3" x14ac:dyDescent="0.3">
      <c r="A28" s="3" t="s">
        <v>24</v>
      </c>
      <c r="B28" s="6">
        <f>(B24)-(B27)</f>
        <v>9204.5199999999986</v>
      </c>
      <c r="C28" s="6">
        <f>(C24)-(C27)</f>
        <v>391.25</v>
      </c>
    </row>
    <row r="29" spans="1:3" x14ac:dyDescent="0.3">
      <c r="A29" s="3" t="s">
        <v>25</v>
      </c>
      <c r="B29" s="4"/>
      <c r="C29" s="4"/>
    </row>
    <row r="30" spans="1:3" x14ac:dyDescent="0.3">
      <c r="A30" s="3" t="s">
        <v>26</v>
      </c>
      <c r="B30" s="5">
        <f>74.86</f>
        <v>74.86</v>
      </c>
      <c r="C30" s="4"/>
    </row>
    <row r="31" spans="1:3" x14ac:dyDescent="0.3">
      <c r="A31" s="3" t="s">
        <v>27</v>
      </c>
      <c r="B31" s="5">
        <f>113.96</f>
        <v>113.96</v>
      </c>
      <c r="C31" s="4"/>
    </row>
    <row r="32" spans="1:3" x14ac:dyDescent="0.3">
      <c r="A32" s="3" t="s">
        <v>28</v>
      </c>
      <c r="B32" s="5">
        <f>349.41</f>
        <v>349.41</v>
      </c>
      <c r="C32" s="4"/>
    </row>
    <row r="33" spans="1:3" x14ac:dyDescent="0.3">
      <c r="A33" s="3" t="s">
        <v>29</v>
      </c>
      <c r="B33" s="6">
        <f>(B31)+(B32)</f>
        <v>463.37</v>
      </c>
      <c r="C33" s="6">
        <f>(C31)+(C32)</f>
        <v>0</v>
      </c>
    </row>
    <row r="34" spans="1:3" x14ac:dyDescent="0.3">
      <c r="A34" s="3" t="s">
        <v>30</v>
      </c>
      <c r="B34" s="5">
        <f>112</f>
        <v>112</v>
      </c>
      <c r="C34" s="4"/>
    </row>
    <row r="35" spans="1:3" x14ac:dyDescent="0.3">
      <c r="A35" s="3" t="s">
        <v>31</v>
      </c>
      <c r="B35" s="5">
        <f>241.23</f>
        <v>241.23</v>
      </c>
      <c r="C35" s="4"/>
    </row>
    <row r="36" spans="1:3" x14ac:dyDescent="0.3">
      <c r="A36" s="3" t="s">
        <v>32</v>
      </c>
      <c r="B36" s="5">
        <f>155.07</f>
        <v>155.07</v>
      </c>
      <c r="C36" s="4"/>
    </row>
    <row r="37" spans="1:3" x14ac:dyDescent="0.3">
      <c r="A37" s="3" t="s">
        <v>33</v>
      </c>
      <c r="B37" s="5">
        <f>350</f>
        <v>350</v>
      </c>
      <c r="C37" s="4"/>
    </row>
    <row r="38" spans="1:3" x14ac:dyDescent="0.3">
      <c r="A38" s="3" t="s">
        <v>34</v>
      </c>
      <c r="B38" s="5">
        <f>350</f>
        <v>350</v>
      </c>
      <c r="C38" s="4"/>
    </row>
    <row r="39" spans="1:3" x14ac:dyDescent="0.3">
      <c r="A39" s="3" t="s">
        <v>35</v>
      </c>
      <c r="B39" s="6">
        <f>(B37)+(B38)</f>
        <v>700</v>
      </c>
      <c r="C39" s="6">
        <f>(C37)+(C38)</f>
        <v>0</v>
      </c>
    </row>
    <row r="40" spans="1:3" x14ac:dyDescent="0.3">
      <c r="A40" s="3" t="s">
        <v>7</v>
      </c>
      <c r="B40" s="4"/>
      <c r="C40" s="4"/>
    </row>
    <row r="41" spans="1:3" x14ac:dyDescent="0.3">
      <c r="A41" s="3" t="s">
        <v>36</v>
      </c>
      <c r="B41" s="5">
        <f>234.04</f>
        <v>234.04</v>
      </c>
      <c r="C41" s="4"/>
    </row>
    <row r="42" spans="1:3" x14ac:dyDescent="0.3">
      <c r="A42" s="3" t="s">
        <v>9</v>
      </c>
      <c r="B42" s="5">
        <f>353.12</f>
        <v>353.12</v>
      </c>
      <c r="C42" s="4"/>
    </row>
    <row r="43" spans="1:3" x14ac:dyDescent="0.3">
      <c r="A43" s="3" t="s">
        <v>10</v>
      </c>
      <c r="B43" s="5">
        <f>215.66</f>
        <v>215.66</v>
      </c>
      <c r="C43" s="4"/>
    </row>
    <row r="44" spans="1:3" x14ac:dyDescent="0.3">
      <c r="A44" s="3" t="s">
        <v>11</v>
      </c>
      <c r="B44" s="6">
        <f>(((B40)+(B41))+(B42))+(B43)</f>
        <v>802.81999999999994</v>
      </c>
      <c r="C44" s="6">
        <f>(((C40)+(C41))+(C42))+(C43)</f>
        <v>0</v>
      </c>
    </row>
    <row r="45" spans="1:3" x14ac:dyDescent="0.3">
      <c r="A45" s="3" t="s">
        <v>37</v>
      </c>
      <c r="B45" s="6">
        <f>((B36)+(B39))+(B44)</f>
        <v>1657.8899999999999</v>
      </c>
      <c r="C45" s="6">
        <f>((C36)+(C39))+(C44)</f>
        <v>0</v>
      </c>
    </row>
    <row r="46" spans="1:3" x14ac:dyDescent="0.3">
      <c r="A46" s="3" t="s">
        <v>38</v>
      </c>
      <c r="B46" s="5">
        <f>75</f>
        <v>75</v>
      </c>
      <c r="C46" s="4"/>
    </row>
    <row r="47" spans="1:3" x14ac:dyDescent="0.3">
      <c r="A47" s="3" t="s">
        <v>39</v>
      </c>
      <c r="B47" s="5">
        <f>640</f>
        <v>640</v>
      </c>
      <c r="C47" s="4"/>
    </row>
    <row r="48" spans="1:3" x14ac:dyDescent="0.3">
      <c r="A48" s="3" t="s">
        <v>40</v>
      </c>
      <c r="B48" s="5">
        <f>55</f>
        <v>55</v>
      </c>
      <c r="C48" s="4"/>
    </row>
    <row r="49" spans="1:3" x14ac:dyDescent="0.3">
      <c r="A49" s="3" t="s">
        <v>41</v>
      </c>
      <c r="B49" s="5">
        <f>100</f>
        <v>100</v>
      </c>
      <c r="C49" s="5">
        <f>300</f>
        <v>300</v>
      </c>
    </row>
    <row r="50" spans="1:3" x14ac:dyDescent="0.3">
      <c r="A50" s="3" t="s">
        <v>42</v>
      </c>
      <c r="B50" s="6">
        <f>(((B46)+(B47))+(B48))+(B49)</f>
        <v>870</v>
      </c>
      <c r="C50" s="6">
        <f>(((C46)+(C47))+(C48))+(C49)</f>
        <v>300</v>
      </c>
    </row>
    <row r="51" spans="1:3" x14ac:dyDescent="0.3">
      <c r="A51" s="3" t="s">
        <v>43</v>
      </c>
      <c r="B51" s="5">
        <f>185</f>
        <v>185</v>
      </c>
      <c r="C51" s="4"/>
    </row>
    <row r="52" spans="1:3" x14ac:dyDescent="0.3">
      <c r="A52" s="3" t="s">
        <v>44</v>
      </c>
      <c r="B52" s="5">
        <f>755</f>
        <v>755</v>
      </c>
      <c r="C52" s="4"/>
    </row>
    <row r="53" spans="1:3" x14ac:dyDescent="0.3">
      <c r="A53" s="3" t="s">
        <v>45</v>
      </c>
      <c r="B53" s="6">
        <f>(B51)+(B52)</f>
        <v>940</v>
      </c>
      <c r="C53" s="6">
        <f>(C51)+(C52)</f>
        <v>0</v>
      </c>
    </row>
    <row r="54" spans="1:3" x14ac:dyDescent="0.3">
      <c r="A54" s="3" t="s">
        <v>46</v>
      </c>
      <c r="B54" s="5">
        <f>28.49</f>
        <v>28.49</v>
      </c>
      <c r="C54" s="4"/>
    </row>
    <row r="55" spans="1:3" x14ac:dyDescent="0.3">
      <c r="A55" s="3" t="s">
        <v>47</v>
      </c>
      <c r="B55" s="5">
        <f>18.08</f>
        <v>18.079999999999998</v>
      </c>
      <c r="C55" s="4"/>
    </row>
    <row r="56" spans="1:3" x14ac:dyDescent="0.3">
      <c r="A56" s="3" t="s">
        <v>48</v>
      </c>
      <c r="B56" s="5">
        <f>900</f>
        <v>900</v>
      </c>
      <c r="C56" s="4"/>
    </row>
    <row r="57" spans="1:3" x14ac:dyDescent="0.3">
      <c r="A57" s="3" t="s">
        <v>49</v>
      </c>
      <c r="B57" s="5">
        <f>1700</f>
        <v>1700</v>
      </c>
      <c r="C57" s="4"/>
    </row>
    <row r="58" spans="1:3" x14ac:dyDescent="0.3">
      <c r="A58" s="3" t="s">
        <v>50</v>
      </c>
      <c r="B58" s="4"/>
      <c r="C58" s="4"/>
    </row>
    <row r="59" spans="1:3" x14ac:dyDescent="0.3">
      <c r="A59" s="3" t="s">
        <v>51</v>
      </c>
      <c r="B59" s="5">
        <f>200.53</f>
        <v>200.53</v>
      </c>
      <c r="C59" s="4"/>
    </row>
    <row r="60" spans="1:3" x14ac:dyDescent="0.3">
      <c r="A60" s="3" t="s">
        <v>52</v>
      </c>
      <c r="B60" s="5">
        <f>130.86</f>
        <v>130.86000000000001</v>
      </c>
      <c r="C60" s="4"/>
    </row>
    <row r="61" spans="1:3" x14ac:dyDescent="0.3">
      <c r="A61" s="3" t="s">
        <v>53</v>
      </c>
      <c r="B61" s="6">
        <f>((B58)+(B59))+(B60)</f>
        <v>331.39</v>
      </c>
      <c r="C61" s="6">
        <f>((C58)+(C59))+(C60)</f>
        <v>0</v>
      </c>
    </row>
    <row r="62" spans="1:3" x14ac:dyDescent="0.3">
      <c r="A62" s="3" t="s">
        <v>54</v>
      </c>
      <c r="B62" s="6">
        <f>(((((((((((B30)+(B33))+(B34))+(B35))+(B45))+(B50))+(B53))+(B54))+(B55))+(B56))+(B57))+(B61)</f>
        <v>7337.31</v>
      </c>
      <c r="C62" s="6">
        <f>(((((((((((C30)+(C33))+(C34))+(C35))+(C45))+(C50))+(C53))+(C54))+(C55))+(C56))+(C57))+(C61)</f>
        <v>300</v>
      </c>
    </row>
    <row r="63" spans="1:3" x14ac:dyDescent="0.3">
      <c r="A63" s="3" t="s">
        <v>55</v>
      </c>
      <c r="B63" s="6">
        <f>(B28)-(B62)</f>
        <v>1867.2099999999982</v>
      </c>
      <c r="C63" s="6">
        <f>(C28)-(C62)</f>
        <v>91.25</v>
      </c>
    </row>
    <row r="64" spans="1:3" x14ac:dyDescent="0.3">
      <c r="A64" s="3" t="s">
        <v>56</v>
      </c>
      <c r="B64" s="4"/>
      <c r="C64" s="4"/>
    </row>
    <row r="65" spans="1:3" x14ac:dyDescent="0.3">
      <c r="A65" s="3" t="s">
        <v>57</v>
      </c>
      <c r="B65" s="5">
        <f>2916</f>
        <v>2916</v>
      </c>
      <c r="C65" s="4"/>
    </row>
    <row r="66" spans="1:3" x14ac:dyDescent="0.3">
      <c r="A66" s="3" t="s">
        <v>58</v>
      </c>
      <c r="B66" s="6">
        <f>B65</f>
        <v>2916</v>
      </c>
      <c r="C66" s="6">
        <f>C65</f>
        <v>0</v>
      </c>
    </row>
    <row r="67" spans="1:3" x14ac:dyDescent="0.3">
      <c r="A67" s="3" t="s">
        <v>59</v>
      </c>
      <c r="B67" s="6">
        <f>(0)-(B66)</f>
        <v>-2916</v>
      </c>
      <c r="C67" s="6">
        <f>(0)-(C66)</f>
        <v>0</v>
      </c>
    </row>
    <row r="68" spans="1:3" x14ac:dyDescent="0.3">
      <c r="A68" s="3" t="s">
        <v>60</v>
      </c>
      <c r="B68" s="7">
        <f>(B63)+(B67)</f>
        <v>-1048.7900000000018</v>
      </c>
      <c r="C68" s="7">
        <f>(C63)+(C67)</f>
        <v>91.25</v>
      </c>
    </row>
    <row r="69" spans="1:3" x14ac:dyDescent="0.3">
      <c r="A69" s="3"/>
      <c r="B69" s="4"/>
      <c r="C69" s="4"/>
    </row>
    <row r="72" spans="1:3" x14ac:dyDescent="0.3">
      <c r="A72" s="10" t="s">
        <v>61</v>
      </c>
      <c r="B72" s="11"/>
      <c r="C72" s="11"/>
    </row>
  </sheetData>
  <mergeCells count="5">
    <mergeCell ref="B5:C5"/>
    <mergeCell ref="A72:C72"/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 Comparison </vt:lpstr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Ryan Schlemer</cp:lastModifiedBy>
  <dcterms:created xsi:type="dcterms:W3CDTF">2021-04-04T02:45:23Z</dcterms:created>
  <dcterms:modified xsi:type="dcterms:W3CDTF">2021-04-04T02:46:36Z</dcterms:modified>
</cp:coreProperties>
</file>