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9555" windowHeight="7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R27" i="1" l="1"/>
  <c r="R28" i="1"/>
  <c r="R26" i="1"/>
  <c r="N28" i="1"/>
  <c r="N27" i="1"/>
  <c r="N26" i="1"/>
  <c r="M9" i="1"/>
  <c r="M10" i="1"/>
  <c r="M8" i="1"/>
  <c r="N10" i="1"/>
  <c r="N9" i="1"/>
  <c r="N8" i="1"/>
  <c r="L151" i="1" l="1"/>
  <c r="M151" i="1"/>
  <c r="N151" i="1"/>
  <c r="K151" i="1"/>
  <c r="N150" i="1"/>
  <c r="M150" i="1"/>
  <c r="L150" i="1"/>
  <c r="K150" i="1"/>
  <c r="J146" i="1"/>
  <c r="K146" i="1"/>
  <c r="L146" i="1"/>
  <c r="M146" i="1"/>
  <c r="J137" i="1"/>
  <c r="K137" i="1"/>
  <c r="L137" i="1"/>
  <c r="M137" i="1"/>
  <c r="I146" i="1"/>
  <c r="I137" i="1"/>
  <c r="C146" i="1"/>
  <c r="D146" i="1"/>
  <c r="E146" i="1"/>
  <c r="F146" i="1"/>
  <c r="B146" i="1"/>
  <c r="C137" i="1"/>
  <c r="D137" i="1"/>
  <c r="E137" i="1"/>
  <c r="B137" i="1"/>
  <c r="C145" i="1"/>
  <c r="D145" i="1"/>
  <c r="E145" i="1"/>
  <c r="F145" i="1"/>
  <c r="B145" i="1"/>
  <c r="J145" i="1"/>
  <c r="K145" i="1"/>
  <c r="L145" i="1"/>
  <c r="M145" i="1"/>
  <c r="I145" i="1"/>
  <c r="J136" i="1"/>
  <c r="K136" i="1"/>
  <c r="L136" i="1"/>
  <c r="M136" i="1"/>
  <c r="I136" i="1"/>
  <c r="C136" i="1"/>
  <c r="D136" i="1"/>
  <c r="E136" i="1"/>
  <c r="F136" i="1"/>
  <c r="F137" i="1" s="1"/>
  <c r="B136" i="1"/>
  <c r="J142" i="1"/>
  <c r="K142" i="1"/>
  <c r="L142" i="1"/>
  <c r="M142" i="1"/>
  <c r="I142" i="1"/>
  <c r="J133" i="1"/>
  <c r="K133" i="1"/>
  <c r="L133" i="1"/>
  <c r="M133" i="1"/>
  <c r="I133" i="1"/>
  <c r="C142" i="1"/>
  <c r="D142" i="1"/>
  <c r="E142" i="1"/>
  <c r="F142" i="1"/>
  <c r="B142" i="1"/>
  <c r="J141" i="1"/>
  <c r="K141" i="1"/>
  <c r="L141" i="1"/>
  <c r="M141" i="1"/>
  <c r="I141" i="1"/>
  <c r="J132" i="1"/>
  <c r="K132" i="1"/>
  <c r="L132" i="1"/>
  <c r="M132" i="1"/>
  <c r="I132" i="1"/>
  <c r="C141" i="1"/>
  <c r="D141" i="1"/>
  <c r="E141" i="1"/>
  <c r="F141" i="1"/>
  <c r="B141" i="1"/>
  <c r="C133" i="1"/>
  <c r="D133" i="1"/>
  <c r="E133" i="1"/>
  <c r="F133" i="1"/>
  <c r="B133" i="1"/>
  <c r="C132" i="1"/>
  <c r="D132" i="1"/>
  <c r="E132" i="1"/>
  <c r="F132" i="1"/>
  <c r="B132" i="1"/>
  <c r="L129" i="1"/>
  <c r="M129" i="1"/>
  <c r="N129" i="1"/>
  <c r="O129" i="1"/>
  <c r="P129" i="1"/>
  <c r="Q129" i="1"/>
  <c r="K129" i="1"/>
  <c r="D126" i="1"/>
  <c r="E126" i="1"/>
  <c r="F126" i="1"/>
  <c r="H126" i="1"/>
  <c r="B126" i="1"/>
  <c r="C125" i="1"/>
  <c r="C126" i="1" s="1"/>
  <c r="D125" i="1"/>
  <c r="E125" i="1"/>
  <c r="F125" i="1"/>
  <c r="G125" i="1"/>
  <c r="G126" i="1" s="1"/>
  <c r="H125" i="1"/>
  <c r="B125" i="1"/>
  <c r="B127" i="1" l="1"/>
  <c r="O120" i="1" l="1"/>
  <c r="O124" i="1" s="1"/>
  <c r="M122" i="1"/>
  <c r="L120" i="1"/>
  <c r="L124" i="1" s="1"/>
  <c r="M120" i="1"/>
  <c r="M124" i="1" s="1"/>
  <c r="K120" i="1"/>
  <c r="K124" i="1" s="1"/>
  <c r="N120" i="1"/>
  <c r="N124" i="1" s="1"/>
  <c r="E101" i="1" l="1"/>
  <c r="F101" i="1"/>
  <c r="C100" i="1"/>
  <c r="D100" i="1"/>
  <c r="E100" i="1"/>
  <c r="F100" i="1"/>
  <c r="B100" i="1"/>
  <c r="C96" i="1"/>
  <c r="C102" i="1" s="1"/>
  <c r="D96" i="1"/>
  <c r="D102" i="1" s="1"/>
  <c r="E96" i="1"/>
  <c r="F96" i="1"/>
  <c r="F102" i="1" s="1"/>
  <c r="B96" i="1"/>
  <c r="B102" i="1" s="1"/>
  <c r="D101" i="1" l="1"/>
  <c r="D104" i="1"/>
  <c r="B104" i="1"/>
  <c r="E102" i="1"/>
  <c r="E104" i="1" s="1"/>
  <c r="B101" i="1"/>
  <c r="C101" i="1"/>
  <c r="C104" i="1" s="1"/>
  <c r="I70" i="1"/>
  <c r="J70" i="1"/>
  <c r="K70" i="1"/>
  <c r="L70" i="1"/>
  <c r="M70" i="1"/>
  <c r="N70" i="1"/>
  <c r="I71" i="1"/>
  <c r="J71" i="1"/>
  <c r="K71" i="1"/>
  <c r="L71" i="1"/>
  <c r="M71" i="1"/>
  <c r="N71" i="1"/>
  <c r="I72" i="1"/>
  <c r="J72" i="1"/>
  <c r="K72" i="1"/>
  <c r="L72" i="1"/>
  <c r="M72" i="1"/>
  <c r="N72" i="1"/>
  <c r="J69" i="1"/>
  <c r="K69" i="1"/>
  <c r="L69" i="1"/>
  <c r="M69" i="1"/>
  <c r="N69" i="1"/>
  <c r="I69" i="1"/>
  <c r="G56" i="1" l="1"/>
  <c r="H56" i="1"/>
  <c r="I56" i="1"/>
  <c r="J56" i="1"/>
  <c r="K56" i="1"/>
  <c r="L56" i="1"/>
  <c r="F56" i="1"/>
  <c r="B37" i="1"/>
  <c r="B38" i="1"/>
  <c r="B39" i="1"/>
  <c r="B40" i="1"/>
  <c r="B41" i="1"/>
  <c r="B36" i="1"/>
  <c r="D35" i="1"/>
  <c r="C35" i="1"/>
  <c r="F35" i="1"/>
  <c r="E35" i="1"/>
  <c r="B15" i="1" l="1"/>
  <c r="H35" i="1" l="1"/>
  <c r="G35" i="1"/>
  <c r="F28" i="1"/>
  <c r="F27" i="1"/>
  <c r="B16" i="1"/>
  <c r="C28" i="1"/>
  <c r="D28" i="1" s="1"/>
  <c r="C27" i="1"/>
  <c r="D27" i="1" s="1"/>
  <c r="D30" i="1"/>
  <c r="C22" i="1"/>
  <c r="D31" i="1" l="1"/>
  <c r="A42" i="1"/>
  <c r="B42" i="1" s="1"/>
  <c r="S84" i="1"/>
  <c r="M86" i="1"/>
  <c r="O86" i="1"/>
  <c r="P87" i="1"/>
  <c r="N84" i="1"/>
  <c r="H52" i="1"/>
  <c r="L52" i="1"/>
  <c r="H53" i="1"/>
  <c r="O79" i="1" s="1"/>
  <c r="D86" i="1" s="1"/>
  <c r="L53" i="1"/>
  <c r="S79" i="1" s="1"/>
  <c r="H86" i="1" s="1"/>
  <c r="S86" i="1" s="1"/>
  <c r="H54" i="1"/>
  <c r="L54" i="1"/>
  <c r="F53" i="1"/>
  <c r="M79" i="1" s="1"/>
  <c r="B86" i="1" s="1"/>
  <c r="I51" i="1"/>
  <c r="M51" i="1"/>
  <c r="J52" i="1"/>
  <c r="Q78" i="1" s="1"/>
  <c r="F85" i="1" s="1"/>
  <c r="Q85" i="1" s="1"/>
  <c r="J53" i="1"/>
  <c r="J54" i="1"/>
  <c r="Q80" i="1" s="1"/>
  <c r="F87" i="1" s="1"/>
  <c r="Q87" i="1" s="1"/>
  <c r="G51" i="1"/>
  <c r="N77" i="1" s="1"/>
  <c r="C84" i="1" s="1"/>
  <c r="F51" i="1"/>
  <c r="G52" i="1"/>
  <c r="G53" i="1"/>
  <c r="N79" i="1" s="1"/>
  <c r="C86" i="1" s="1"/>
  <c r="N86" i="1" s="1"/>
  <c r="G54" i="1"/>
  <c r="H51" i="1"/>
  <c r="O77" i="1" s="1"/>
  <c r="D84" i="1" s="1"/>
  <c r="O84" i="1" s="1"/>
  <c r="I52" i="1"/>
  <c r="P78" i="1" s="1"/>
  <c r="E85" i="1" s="1"/>
  <c r="P85" i="1" s="1"/>
  <c r="M52" i="1"/>
  <c r="I53" i="1"/>
  <c r="M53" i="1"/>
  <c r="I54" i="1"/>
  <c r="P80" i="1" s="1"/>
  <c r="E87" i="1" s="1"/>
  <c r="M54" i="1"/>
  <c r="F52" i="1"/>
  <c r="M78" i="1" s="1"/>
  <c r="B85" i="1" s="1"/>
  <c r="M85" i="1" s="1"/>
  <c r="J51" i="1"/>
  <c r="N51" i="1"/>
  <c r="N52" i="1"/>
  <c r="T78" i="1" s="1"/>
  <c r="I85" i="1" s="1"/>
  <c r="T85" i="1" s="1"/>
  <c r="N53" i="1"/>
  <c r="N54" i="1"/>
  <c r="K51" i="1"/>
  <c r="R77" i="1" s="1"/>
  <c r="G84" i="1" s="1"/>
  <c r="R84" i="1" s="1"/>
  <c r="K52" i="1"/>
  <c r="K53" i="1"/>
  <c r="R79" i="1" s="1"/>
  <c r="G86" i="1" s="1"/>
  <c r="R86" i="1" s="1"/>
  <c r="K54" i="1"/>
  <c r="F54" i="1"/>
  <c r="L51" i="1"/>
  <c r="S77" i="1" s="1"/>
  <c r="H84" i="1" s="1"/>
  <c r="C38" i="1"/>
  <c r="C36" i="1"/>
  <c r="C40" i="1"/>
  <c r="C39" i="1"/>
  <c r="C37" i="1"/>
  <c r="C41" i="1"/>
  <c r="D40" i="1"/>
  <c r="D38" i="1"/>
  <c r="D36" i="1"/>
  <c r="D37" i="1"/>
  <c r="D41" i="1"/>
  <c r="D39" i="1"/>
  <c r="E28" i="1"/>
  <c r="E27" i="1"/>
  <c r="R80" i="1" l="1"/>
  <c r="G87" i="1" s="1"/>
  <c r="R87" i="1" s="1"/>
  <c r="T80" i="1"/>
  <c r="I87" i="1" s="1"/>
  <c r="T87" i="1" s="1"/>
  <c r="Q77" i="1"/>
  <c r="F84" i="1"/>
  <c r="Q84" i="1" s="1"/>
  <c r="M77" i="1"/>
  <c r="B84" i="1"/>
  <c r="M84" i="1" s="1"/>
  <c r="S80" i="1"/>
  <c r="H87" i="1" s="1"/>
  <c r="S87" i="1" s="1"/>
  <c r="S78" i="1"/>
  <c r="H85" i="1" s="1"/>
  <c r="S85" i="1" s="1"/>
  <c r="T79" i="1"/>
  <c r="I86" i="1"/>
  <c r="T86" i="1" s="1"/>
  <c r="P79" i="1"/>
  <c r="E86" i="1" s="1"/>
  <c r="P86" i="1" s="1"/>
  <c r="N80" i="1"/>
  <c r="C87" i="1"/>
  <c r="N87" i="1" s="1"/>
  <c r="O80" i="1"/>
  <c r="D87" i="1"/>
  <c r="O87" i="1" s="1"/>
  <c r="O78" i="1"/>
  <c r="D85" i="1" s="1"/>
  <c r="O85" i="1" s="1"/>
  <c r="R78" i="1"/>
  <c r="G85" i="1"/>
  <c r="R85" i="1" s="1"/>
  <c r="P77" i="1"/>
  <c r="E84" i="1"/>
  <c r="P84" i="1" s="1"/>
  <c r="M80" i="1"/>
  <c r="B87" i="1"/>
  <c r="M87" i="1" s="1"/>
  <c r="T77" i="1"/>
  <c r="I84" i="1" s="1"/>
  <c r="T84" i="1" s="1"/>
  <c r="N78" i="1"/>
  <c r="C85" i="1" s="1"/>
  <c r="N85" i="1" s="1"/>
  <c r="Q79" i="1"/>
  <c r="F86" i="1" s="1"/>
  <c r="Q86" i="1" s="1"/>
  <c r="G27" i="1"/>
  <c r="A43" i="1"/>
  <c r="G28" i="1"/>
  <c r="A44" i="1"/>
  <c r="D44" i="1" s="1"/>
  <c r="C43" i="1" l="1"/>
</calcChain>
</file>

<file path=xl/sharedStrings.xml><?xml version="1.0" encoding="utf-8"?>
<sst xmlns="http://schemas.openxmlformats.org/spreadsheetml/2006/main" count="173" uniqueCount="79">
  <si>
    <t>α</t>
  </si>
  <si>
    <t>Cya</t>
  </si>
  <si>
    <t>FLIGHTDYNAMICS CALCULATION</t>
  </si>
  <si>
    <t>STALLING CONDITION</t>
  </si>
  <si>
    <t>Cyamax</t>
  </si>
  <si>
    <t>dCy/dAl</t>
  </si>
  <si>
    <t>α0</t>
  </si>
  <si>
    <t>Take-off</t>
  </si>
  <si>
    <t>Landing</t>
  </si>
  <si>
    <t>Take- off mass</t>
  </si>
  <si>
    <t>Flight mass</t>
  </si>
  <si>
    <t>kg</t>
  </si>
  <si>
    <t xml:space="preserve">POLAR COEFFICIENT </t>
  </si>
  <si>
    <t>Take - off</t>
  </si>
  <si>
    <t>Cyaperm</t>
  </si>
  <si>
    <t xml:space="preserve">Δcya </t>
  </si>
  <si>
    <t>Cyaperm for flight condition</t>
  </si>
  <si>
    <t>αperm</t>
  </si>
  <si>
    <t>slope</t>
  </si>
  <si>
    <t>Cya0</t>
  </si>
  <si>
    <t>αperm for flight condition</t>
  </si>
  <si>
    <t>Flight</t>
  </si>
  <si>
    <t>Cxa</t>
  </si>
  <si>
    <t>Cxa0</t>
  </si>
  <si>
    <t>ΔCxa0</t>
  </si>
  <si>
    <t>-</t>
  </si>
  <si>
    <t>H</t>
  </si>
  <si>
    <t>P</t>
  </si>
  <si>
    <t>S</t>
  </si>
  <si>
    <t>m^2</t>
  </si>
  <si>
    <t>H=0</t>
  </si>
  <si>
    <t>Cyareq</t>
  </si>
  <si>
    <t>M</t>
  </si>
  <si>
    <t>H=3</t>
  </si>
  <si>
    <t>H=6</t>
  </si>
  <si>
    <t>H=11</t>
  </si>
  <si>
    <t>Cymax</t>
  </si>
  <si>
    <t>Polar</t>
  </si>
  <si>
    <t>P0</t>
  </si>
  <si>
    <t>n</t>
  </si>
  <si>
    <t>ξ</t>
  </si>
  <si>
    <t>Aviable thrust</t>
  </si>
  <si>
    <t>kN</t>
  </si>
  <si>
    <t>A</t>
  </si>
  <si>
    <t>Cx</t>
  </si>
  <si>
    <t>K</t>
  </si>
  <si>
    <t>Reqiuired thrust</t>
  </si>
  <si>
    <t>(kN)</t>
  </si>
  <si>
    <t>M(th)</t>
  </si>
  <si>
    <t>Mmin(pe)</t>
  </si>
  <si>
    <t>Mopt</t>
  </si>
  <si>
    <t>Mcrit</t>
  </si>
  <si>
    <t>Mmax</t>
  </si>
  <si>
    <t>Static ceiling</t>
  </si>
  <si>
    <t>Cxo</t>
  </si>
  <si>
    <t>X0</t>
  </si>
  <si>
    <t>Ph</t>
  </si>
  <si>
    <t>X</t>
  </si>
  <si>
    <t>Pav</t>
  </si>
  <si>
    <t>E</t>
  </si>
  <si>
    <t>Emax</t>
  </si>
  <si>
    <t>Ballistic ceiing</t>
  </si>
  <si>
    <t>Conditional ballistic ceiling</t>
  </si>
  <si>
    <t>Maximum Ballistic ceiling</t>
  </si>
  <si>
    <t>Mcontrol</t>
  </si>
  <si>
    <t>Rate of climb</t>
  </si>
  <si>
    <t>V</t>
  </si>
  <si>
    <t>Preq</t>
  </si>
  <si>
    <t>deltaP</t>
  </si>
  <si>
    <t>Vy</t>
  </si>
  <si>
    <t>infinity</t>
  </si>
  <si>
    <t>Vymax</t>
  </si>
  <si>
    <t>1/Vymax</t>
  </si>
  <si>
    <t>alpha</t>
  </si>
  <si>
    <t>fligh</t>
  </si>
  <si>
    <t>takeoff</t>
  </si>
  <si>
    <t>landing</t>
  </si>
  <si>
    <t>flight</t>
  </si>
  <si>
    <t>take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</si>
</sst>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9"/>
      <color theme="1"/>
      <name val="Courier New CY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6" xfId="0" applyFill="1" applyBorder="1"/>
    <xf numFmtId="0" fontId="3" fillId="0" borderId="0" xfId="0" applyFont="1"/>
    <xf numFmtId="0" fontId="1" fillId="4" borderId="2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Flight</c:v>
          </c:tx>
          <c:xVal>
            <c:numRef>
              <c:f>(Sheet1!$A$6:$A$7,Sheet1!$D$31,Sheet1!$B$12,Sheet1!$M$8)</c:f>
              <c:numCache>
                <c:formatCode>General</c:formatCode>
                <c:ptCount val="5"/>
                <c:pt idx="0">
                  <c:v>-7.24</c:v>
                </c:pt>
                <c:pt idx="1">
                  <c:v>0</c:v>
                </c:pt>
                <c:pt idx="2">
                  <c:v>9.5564684715051271</c:v>
                </c:pt>
                <c:pt idx="3">
                  <c:v>15.26</c:v>
                </c:pt>
                <c:pt idx="4">
                  <c:v>20.963531528494872</c:v>
                </c:pt>
              </c:numCache>
            </c:numRef>
          </c:xVal>
          <c:yVal>
            <c:numRef>
              <c:f>(Sheet1!$B$6:$B$7,Sheet1!$D$30,Sheet1!$B$13,Sheet1!$N$8)</c:f>
              <c:numCache>
                <c:formatCode>General</c:formatCode>
                <c:ptCount val="5"/>
                <c:pt idx="0">
                  <c:v>0</c:v>
                </c:pt>
                <c:pt idx="1">
                  <c:v>0.55449000000000004</c:v>
                </c:pt>
                <c:pt idx="2">
                  <c:v>1.2867839999999999</c:v>
                </c:pt>
                <c:pt idx="3">
                  <c:v>1.6084799999999999</c:v>
                </c:pt>
                <c:pt idx="4">
                  <c:v>1.2867839999999999</c:v>
                </c:pt>
              </c:numCache>
            </c:numRef>
          </c:yVal>
          <c:smooth val="1"/>
        </c:ser>
        <c:ser>
          <c:idx val="2"/>
          <c:order val="1"/>
          <c:tx>
            <c:v>Take - off</c:v>
          </c:tx>
          <c:xVal>
            <c:numRef>
              <c:f>(Sheet1!$B$27,Sheet1!$G$27,Sheet1!$B$12,Sheet1!$M$9)</c:f>
              <c:numCache>
                <c:formatCode>General</c:formatCode>
                <c:ptCount val="4"/>
                <c:pt idx="0">
                  <c:v>-12</c:v>
                </c:pt>
                <c:pt idx="1">
                  <c:v>8.6375704244520222</c:v>
                </c:pt>
                <c:pt idx="2">
                  <c:v>15.26</c:v>
                </c:pt>
                <c:pt idx="3">
                  <c:v>21.882429575547977</c:v>
                </c:pt>
              </c:numCache>
            </c:numRef>
          </c:xVal>
          <c:yVal>
            <c:numRef>
              <c:f>(Sheet1!$B$6,Sheet1!$E$27,Sheet1!$D$27,Sheet1!$N$9)</c:f>
              <c:numCache>
                <c:formatCode>General</c:formatCode>
                <c:ptCount val="4"/>
                <c:pt idx="0">
                  <c:v>0</c:v>
                </c:pt>
                <c:pt idx="1">
                  <c:v>1.5785837961605584</c:v>
                </c:pt>
                <c:pt idx="2">
                  <c:v>1.9732297452006979</c:v>
                </c:pt>
                <c:pt idx="3">
                  <c:v>1.5785837961605584</c:v>
                </c:pt>
              </c:numCache>
            </c:numRef>
          </c:yVal>
          <c:smooth val="1"/>
        </c:ser>
        <c:ser>
          <c:idx val="3"/>
          <c:order val="2"/>
          <c:tx>
            <c:v>Landing</c:v>
          </c:tx>
          <c:xVal>
            <c:numRef>
              <c:f>(Sheet1!$B$28,Sheet1!$G$28,Sheet1!$B$12,Sheet1!$M$10)</c:f>
              <c:numCache>
                <c:formatCode>General</c:formatCode>
                <c:ptCount val="4"/>
                <c:pt idx="0">
                  <c:v>-15</c:v>
                </c:pt>
                <c:pt idx="1">
                  <c:v>8.0349903636559059</c:v>
                </c:pt>
                <c:pt idx="2">
                  <c:v>15.26</c:v>
                </c:pt>
                <c:pt idx="3">
                  <c:v>22.485009636344095</c:v>
                </c:pt>
              </c:numCache>
            </c:numRef>
          </c:xVal>
          <c:yVal>
            <c:numRef>
              <c:f>(Sheet1!$B$6,Sheet1!$E$28,Sheet1!$D$28,Sheet1!$N$10)</c:f>
              <c:numCache>
                <c:formatCode>General</c:formatCode>
                <c:ptCount val="4"/>
                <c:pt idx="0">
                  <c:v>0</c:v>
                </c:pt>
                <c:pt idx="1">
                  <c:v>1.762491230715532</c:v>
                </c:pt>
                <c:pt idx="2">
                  <c:v>2.203114038394415</c:v>
                </c:pt>
                <c:pt idx="3">
                  <c:v>1.762491230715532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09984"/>
        <c:axId val="81255424"/>
      </c:scatterChart>
      <c:valAx>
        <c:axId val="812099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Calibri"/>
                    <a:cs typeface="Calibri"/>
                  </a:rPr>
                  <a:t>α,degrees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255424"/>
        <c:crosses val="autoZero"/>
        <c:crossBetween val="midCat"/>
      </c:valAx>
      <c:valAx>
        <c:axId val="812554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209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Flight</c:v>
          </c:tx>
          <c:xVal>
            <c:numRef>
              <c:f>(Sheet1!$B$35:$B$42,Sheet1!$O$26,Sheet1!$S$26)</c:f>
              <c:numCache>
                <c:formatCode>General</c:formatCode>
                <c:ptCount val="10"/>
                <c:pt idx="0">
                  <c:v>1.941E-2</c:v>
                </c:pt>
                <c:pt idx="1">
                  <c:v>2.0973200000000001E-2</c:v>
                </c:pt>
                <c:pt idx="2">
                  <c:v>2.56628E-2</c:v>
                </c:pt>
                <c:pt idx="3">
                  <c:v>3.3478799999999996E-2</c:v>
                </c:pt>
                <c:pt idx="4">
                  <c:v>4.4421200000000001E-2</c:v>
                </c:pt>
                <c:pt idx="5">
                  <c:v>5.849E-2</c:v>
                </c:pt>
                <c:pt idx="6">
                  <c:v>7.5685199999999994E-2</c:v>
                </c:pt>
                <c:pt idx="7">
                  <c:v>8.411917448859646E-2</c:v>
                </c:pt>
                <c:pt idx="8">
                  <c:v>0.12</c:v>
                </c:pt>
                <c:pt idx="9">
                  <c:v>0.16</c:v>
                </c:pt>
              </c:numCache>
            </c:numRef>
          </c:xVal>
          <c:yVal>
            <c:numRef>
              <c:f>(Sheet1!$A$35:$A$42,Sheet1!$N$26,Sheet1!$R$26)</c:f>
              <c:numCache>
                <c:formatCode>General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1.2867839999999999</c:v>
                </c:pt>
                <c:pt idx="8">
                  <c:v>1.6084799999999999</c:v>
                </c:pt>
                <c:pt idx="9">
                  <c:v>1.2867839999999999</c:v>
                </c:pt>
              </c:numCache>
            </c:numRef>
          </c:yVal>
          <c:smooth val="1"/>
        </c:ser>
        <c:ser>
          <c:idx val="1"/>
          <c:order val="1"/>
          <c:tx>
            <c:v>Take - off</c:v>
          </c:tx>
          <c:xVal>
            <c:numRef>
              <c:f>(Sheet1!$C$35:$C$41,Sheet1!$C$43,Sheet1!$O$27,Sheet1!$S$27)</c:f>
              <c:numCache>
                <c:formatCode>General</c:formatCode>
                <c:ptCount val="10"/>
                <c:pt idx="0">
                  <c:v>3.6879000000000002E-2</c:v>
                </c:pt>
                <c:pt idx="1">
                  <c:v>3.8442200000000003E-2</c:v>
                </c:pt>
                <c:pt idx="2">
                  <c:v>4.3131800000000005E-2</c:v>
                </c:pt>
                <c:pt idx="3">
                  <c:v>5.0947800000000001E-2</c:v>
                </c:pt>
                <c:pt idx="4">
                  <c:v>6.1890200000000006E-2</c:v>
                </c:pt>
                <c:pt idx="5">
                  <c:v>7.5958999999999999E-2</c:v>
                </c:pt>
                <c:pt idx="6">
                  <c:v>9.3154199999999993E-2</c:v>
                </c:pt>
                <c:pt idx="7">
                  <c:v>0.13426349940264654</c:v>
                </c:pt>
                <c:pt idx="8">
                  <c:v>0.18</c:v>
                </c:pt>
                <c:pt idx="9">
                  <c:v>0.22</c:v>
                </c:pt>
              </c:numCache>
            </c:numRef>
          </c:xVal>
          <c:yVal>
            <c:numRef>
              <c:f>(Sheet1!$A$35:$A$41,Sheet1!$A$43,Sheet1!$N$27,Sheet1!$R$27)</c:f>
              <c:numCache>
                <c:formatCode>General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1.5785837961605584</c:v>
                </c:pt>
                <c:pt idx="8">
                  <c:v>1.9732297452006979</c:v>
                </c:pt>
                <c:pt idx="9">
                  <c:v>1.5785837961605584</c:v>
                </c:pt>
              </c:numCache>
            </c:numRef>
          </c:yVal>
          <c:smooth val="1"/>
        </c:ser>
        <c:ser>
          <c:idx val="2"/>
          <c:order val="2"/>
          <c:tx>
            <c:v>Landing</c:v>
          </c:tx>
          <c:xVal>
            <c:numRef>
              <c:f>(Sheet1!$D$35:$D$41,Sheet1!$D$44,Sheet1!$O$28,Sheet1!$S$28)</c:f>
              <c:numCache>
                <c:formatCode>General</c:formatCode>
                <c:ptCount val="10"/>
                <c:pt idx="0">
                  <c:v>5.8230000000000004E-2</c:v>
                </c:pt>
                <c:pt idx="1">
                  <c:v>5.9793200000000005E-2</c:v>
                </c:pt>
                <c:pt idx="2">
                  <c:v>6.4482800000000007E-2</c:v>
                </c:pt>
                <c:pt idx="3">
                  <c:v>7.2298799999999996E-2</c:v>
                </c:pt>
                <c:pt idx="4">
                  <c:v>8.3241200000000001E-2</c:v>
                </c:pt>
                <c:pt idx="5">
                  <c:v>9.7310000000000008E-2</c:v>
                </c:pt>
                <c:pt idx="6">
                  <c:v>0.1145052</c:v>
                </c:pt>
                <c:pt idx="7">
                  <c:v>0.1796271482226848</c:v>
                </c:pt>
                <c:pt idx="8">
                  <c:v>0.24</c:v>
                </c:pt>
                <c:pt idx="9">
                  <c:v>0.28000000000000003</c:v>
                </c:pt>
              </c:numCache>
            </c:numRef>
          </c:xVal>
          <c:yVal>
            <c:numRef>
              <c:f>(Sheet1!$A$35:$A$41,Sheet1!$A$44,Sheet1!$N$28,Sheet1!$R$28)</c:f>
              <c:numCache>
                <c:formatCode>General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1.762491230715532</c:v>
                </c:pt>
                <c:pt idx="8">
                  <c:v>2.203114038394415</c:v>
                </c:pt>
                <c:pt idx="9">
                  <c:v>1.762491230715532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74912"/>
        <c:axId val="79577088"/>
      </c:scatterChart>
      <c:valAx>
        <c:axId val="795749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Cxa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577088"/>
        <c:crosses val="autoZero"/>
        <c:crossBetween val="midCat"/>
      </c:valAx>
      <c:valAx>
        <c:axId val="7957708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574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Req H=0</c:v>
          </c:tx>
          <c:spPr>
            <a:ln>
              <a:noFill/>
            </a:ln>
          </c:spPr>
          <c:marker>
            <c:spPr>
              <a:noFill/>
            </c:spPr>
          </c:marker>
          <c:trendline>
            <c:spPr>
              <a:ln w="25400"/>
            </c:spPr>
            <c:trendlineType val="poly"/>
            <c:order val="5"/>
            <c:dispRSqr val="0"/>
            <c:dispEq val="0"/>
          </c:trendline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Sheet1!$M$84:$T$84</c:f>
              <c:numCache>
                <c:formatCode>General</c:formatCode>
                <c:ptCount val="8"/>
                <c:pt idx="0">
                  <c:v>50.065678069240661</c:v>
                </c:pt>
                <c:pt idx="1">
                  <c:v>34.975286533150701</c:v>
                </c:pt>
                <c:pt idx="2">
                  <c:v>38.588808433056826</c:v>
                </c:pt>
                <c:pt idx="3">
                  <c:v>49.827110768876224</c:v>
                </c:pt>
                <c:pt idx="4">
                  <c:v>65.974731777619752</c:v>
                </c:pt>
                <c:pt idx="5">
                  <c:v>85.988267222029663</c:v>
                </c:pt>
                <c:pt idx="6">
                  <c:v>109.39293664066119</c:v>
                </c:pt>
                <c:pt idx="7">
                  <c:v>2192.3962403310652</c:v>
                </c:pt>
              </c:numCache>
            </c:numRef>
          </c:yVal>
          <c:smooth val="1"/>
        </c:ser>
        <c:ser>
          <c:idx val="1"/>
          <c:order val="1"/>
          <c:tx>
            <c:v>Req H=3</c:v>
          </c:tx>
          <c:spPr>
            <a:ln>
              <a:noFill/>
            </a:ln>
          </c:spPr>
          <c:marker>
            <c:symbol val="none"/>
          </c:marker>
          <c:trendline>
            <c:spPr>
              <a:ln w="25400" cmpd="sng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5"/>
            <c:dispRSqr val="0"/>
            <c:dispEq val="0"/>
          </c:trendline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Sheet1!$M$85:$T$85</c:f>
              <c:numCache>
                <c:formatCode>General</c:formatCode>
                <c:ptCount val="8"/>
                <c:pt idx="0">
                  <c:v>66.965484443780738</c:v>
                </c:pt>
                <c:pt idx="1">
                  <c:v>38.752586515559258</c:v>
                </c:pt>
                <c:pt idx="2">
                  <c:v>35.144884548689369</c:v>
                </c:pt>
                <c:pt idx="3">
                  <c:v>40.244478838092277</c:v>
                </c:pt>
                <c:pt idx="4">
                  <c:v>50.072042573384167</c:v>
                </c:pt>
                <c:pt idx="5">
                  <c:v>63.246670260774003</c:v>
                </c:pt>
                <c:pt idx="6">
                  <c:v>79.170490902561838</c:v>
                </c:pt>
                <c:pt idx="7">
                  <c:v>1524.2926677183359</c:v>
                </c:pt>
              </c:numCache>
            </c:numRef>
          </c:yVal>
          <c:smooth val="1"/>
        </c:ser>
        <c:ser>
          <c:idx val="2"/>
          <c:order val="2"/>
          <c:tx>
            <c:v>Req H=6</c:v>
          </c:tx>
          <c:spPr>
            <a:ln>
              <a:noFill/>
            </a:ln>
          </c:spPr>
          <c:marker>
            <c:spPr>
              <a:noFill/>
            </c:spPr>
          </c:marker>
          <c:trendline>
            <c:spPr>
              <a:ln w="25400">
                <a:solidFill>
                  <a:schemeClr val="accent6">
                    <a:lumMod val="75000"/>
                  </a:schemeClr>
                </a:solidFill>
              </a:ln>
            </c:spPr>
            <c:trendlineType val="poly"/>
            <c:order val="5"/>
            <c:dispRSqr val="0"/>
            <c:dispEq val="0"/>
          </c:trendline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Sheet1!$M$86:$T$86</c:f>
              <c:numCache>
                <c:formatCode>General</c:formatCode>
                <c:ptCount val="8"/>
                <c:pt idx="0">
                  <c:v>95.350455665449857</c:v>
                </c:pt>
                <c:pt idx="1">
                  <c:v>48.57009572090525</c:v>
                </c:pt>
                <c:pt idx="2">
                  <c:v>36.520668649830043</c:v>
                </c:pt>
                <c:pt idx="3">
                  <c:v>35.598563110272799</c:v>
                </c:pt>
                <c:pt idx="4">
                  <c:v>39.962623305990356</c:v>
                </c:pt>
                <c:pt idx="5">
                  <c:v>47.580687989874264</c:v>
                </c:pt>
                <c:pt idx="6">
                  <c:v>57.596197564464205</c:v>
                </c:pt>
                <c:pt idx="7">
                  <c:v>1035.3997638118776</c:v>
                </c:pt>
              </c:numCache>
            </c:numRef>
          </c:yVal>
          <c:smooth val="1"/>
        </c:ser>
        <c:ser>
          <c:idx val="3"/>
          <c:order val="3"/>
          <c:tx>
            <c:v>Req H=11</c:v>
          </c:tx>
          <c:spPr>
            <a:ln>
              <a:noFill/>
            </a:ln>
          </c:spPr>
          <c:marker>
            <c:spPr>
              <a:noFill/>
            </c:spPr>
          </c:marker>
          <c:trendline>
            <c:spPr>
              <a:ln w="25400">
                <a:solidFill>
                  <a:schemeClr val="accent1"/>
                </a:solidFill>
              </a:ln>
            </c:spPr>
            <c:trendlineType val="poly"/>
            <c:order val="5"/>
            <c:dispRSqr val="0"/>
            <c:dispEq val="0"/>
          </c:trendline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Sheet1!$M$87:$T$87</c:f>
              <c:numCache>
                <c:formatCode>General</c:formatCode>
                <c:ptCount val="8"/>
                <c:pt idx="0">
                  <c:v>192.73801968963966</c:v>
                </c:pt>
                <c:pt idx="1">
                  <c:v>88.758278357910697</c:v>
                </c:pt>
                <c:pt idx="2">
                  <c:v>54.547228878031362</c:v>
                </c:pt>
                <c:pt idx="3">
                  <c:v>41.056505833605812</c:v>
                </c:pt>
                <c:pt idx="4">
                  <c:v>36.181995096568258</c:v>
                </c:pt>
                <c:pt idx="5">
                  <c:v>35.745778263178444</c:v>
                </c:pt>
                <c:pt idx="6">
                  <c:v>38.012612875818242</c:v>
                </c:pt>
                <c:pt idx="7">
                  <c:v>519.84149645893308</c:v>
                </c:pt>
              </c:numCache>
            </c:numRef>
          </c:yVal>
          <c:smooth val="1"/>
        </c:ser>
        <c:ser>
          <c:idx val="4"/>
          <c:order val="4"/>
          <c:tx>
            <c:v>Avia H=0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Sheet1!$I$69:$N$69</c:f>
              <c:numCache>
                <c:formatCode>General</c:formatCode>
                <c:ptCount val="6"/>
                <c:pt idx="0">
                  <c:v>266</c:v>
                </c:pt>
                <c:pt idx="1">
                  <c:v>246.4</c:v>
                </c:pt>
                <c:pt idx="2">
                  <c:v>252</c:v>
                </c:pt>
                <c:pt idx="3">
                  <c:v>266</c:v>
                </c:pt>
                <c:pt idx="4">
                  <c:v>280</c:v>
                </c:pt>
                <c:pt idx="5">
                  <c:v>308</c:v>
                </c:pt>
              </c:numCache>
            </c:numRef>
          </c:yVal>
          <c:smooth val="1"/>
        </c:ser>
        <c:ser>
          <c:idx val="5"/>
          <c:order val="5"/>
          <c:tx>
            <c:v>Avia H=3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Sheet1!$I$70:$N$70</c:f>
              <c:numCache>
                <c:formatCode>General</c:formatCode>
                <c:ptCount val="6"/>
                <c:pt idx="0">
                  <c:v>210</c:v>
                </c:pt>
                <c:pt idx="1">
                  <c:v>201.6</c:v>
                </c:pt>
                <c:pt idx="2">
                  <c:v>201.6</c:v>
                </c:pt>
                <c:pt idx="3">
                  <c:v>210</c:v>
                </c:pt>
                <c:pt idx="4">
                  <c:v>224</c:v>
                </c:pt>
                <c:pt idx="5">
                  <c:v>252</c:v>
                </c:pt>
              </c:numCache>
            </c:numRef>
          </c:yVal>
          <c:smooth val="1"/>
        </c:ser>
        <c:ser>
          <c:idx val="6"/>
          <c:order val="6"/>
          <c:tx>
            <c:v>Avia H=6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Sheet1!$I$71:$N$71</c:f>
              <c:numCache>
                <c:formatCode>General</c:formatCode>
                <c:ptCount val="6"/>
                <c:pt idx="0">
                  <c:v>162.39999999999998</c:v>
                </c:pt>
                <c:pt idx="1">
                  <c:v>145.6</c:v>
                </c:pt>
                <c:pt idx="2">
                  <c:v>154</c:v>
                </c:pt>
                <c:pt idx="3">
                  <c:v>168</c:v>
                </c:pt>
                <c:pt idx="4">
                  <c:v>184.8</c:v>
                </c:pt>
                <c:pt idx="5">
                  <c:v>196</c:v>
                </c:pt>
              </c:numCache>
            </c:numRef>
          </c:yVal>
          <c:smooth val="1"/>
        </c:ser>
        <c:ser>
          <c:idx val="7"/>
          <c:order val="7"/>
          <c:tx>
            <c:v>Avia H=11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Sheet1!$I$72:$N$72</c:f>
              <c:numCache>
                <c:formatCode>General</c:formatCode>
                <c:ptCount val="6"/>
                <c:pt idx="0">
                  <c:v>106.4</c:v>
                </c:pt>
                <c:pt idx="1">
                  <c:v>98</c:v>
                </c:pt>
                <c:pt idx="2">
                  <c:v>100.8</c:v>
                </c:pt>
                <c:pt idx="3">
                  <c:v>103.6</c:v>
                </c:pt>
                <c:pt idx="4">
                  <c:v>112</c:v>
                </c:pt>
                <c:pt idx="5">
                  <c:v>117.6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57088"/>
        <c:axId val="80059008"/>
      </c:scatterChart>
      <c:valAx>
        <c:axId val="80057088"/>
        <c:scaling>
          <c:orientation val="minMax"/>
          <c:max val="1.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059008"/>
        <c:crosses val="autoZero"/>
        <c:crossBetween val="midCat"/>
      </c:valAx>
      <c:valAx>
        <c:axId val="80059008"/>
        <c:scaling>
          <c:orientation val="minMax"/>
          <c:max val="35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P,kN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057088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H=0</c:v>
          </c:tx>
          <c:xVal>
            <c:numRef>
              <c:f>Sheet1!$F$50:$N$50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</c:numCache>
            </c:numRef>
          </c:xVal>
          <c:yVal>
            <c:numRef>
              <c:f>Sheet1!$F$51:$N$51</c:f>
              <c:numCache>
                <c:formatCode>General</c:formatCode>
                <c:ptCount val="9"/>
                <c:pt idx="0">
                  <c:v>1.7438880709503128</c:v>
                </c:pt>
                <c:pt idx="1">
                  <c:v>0.77506136486680588</c:v>
                </c:pt>
                <c:pt idx="2">
                  <c:v>0.43597201773757821</c:v>
                </c:pt>
                <c:pt idx="3">
                  <c:v>0.27902209135205008</c:v>
                </c:pt>
                <c:pt idx="4">
                  <c:v>0.19376534121670147</c:v>
                </c:pt>
                <c:pt idx="5">
                  <c:v>0.14235820987349496</c:v>
                </c:pt>
                <c:pt idx="6">
                  <c:v>0.10899300443439455</c:v>
                </c:pt>
                <c:pt idx="7">
                  <c:v>6.9755522838012521E-2</c:v>
                </c:pt>
                <c:pt idx="8">
                  <c:v>4.8441335304175367E-2</c:v>
                </c:pt>
              </c:numCache>
            </c:numRef>
          </c:yVal>
          <c:smooth val="1"/>
        </c:ser>
        <c:ser>
          <c:idx val="1"/>
          <c:order val="1"/>
          <c:tx>
            <c:v>H=3</c:v>
          </c:tx>
          <c:xVal>
            <c:numRef>
              <c:f>Sheet1!$F$50:$N$50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</c:numCache>
            </c:numRef>
          </c:xVal>
          <c:yVal>
            <c:numRef>
              <c:f>Sheet1!$F$52:$N$52</c:f>
              <c:numCache>
                <c:formatCode>General</c:formatCode>
                <c:ptCount val="9"/>
                <c:pt idx="0">
                  <c:v>2.5199221173263426</c:v>
                </c:pt>
                <c:pt idx="1">
                  <c:v>1.1199653854783747</c:v>
                </c:pt>
                <c:pt idx="2">
                  <c:v>0.62998052933158566</c:v>
                </c:pt>
                <c:pt idx="3">
                  <c:v>0.4031875387722148</c:v>
                </c:pt>
                <c:pt idx="4">
                  <c:v>0.27999134636959366</c:v>
                </c:pt>
                <c:pt idx="5">
                  <c:v>0.20570792794500764</c:v>
                </c:pt>
                <c:pt idx="6">
                  <c:v>0.15749513233289641</c:v>
                </c:pt>
                <c:pt idx="7">
                  <c:v>0.1007968846930537</c:v>
                </c:pt>
                <c:pt idx="8">
                  <c:v>6.9997836592398416E-2</c:v>
                </c:pt>
              </c:numCache>
            </c:numRef>
          </c:yVal>
          <c:smooth val="1"/>
        </c:ser>
        <c:ser>
          <c:idx val="2"/>
          <c:order val="2"/>
          <c:tx>
            <c:v>H=6</c:v>
          </c:tx>
          <c:xVal>
            <c:numRef>
              <c:f>Sheet1!$F$50:$N$50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</c:numCache>
            </c:numRef>
          </c:xVal>
          <c:yVal>
            <c:numRef>
              <c:f>Sheet1!$F$53:$N$53</c:f>
              <c:numCache>
                <c:formatCode>General</c:formatCode>
                <c:ptCount val="9"/>
                <c:pt idx="0">
                  <c:v>3.7422054891998906</c:v>
                </c:pt>
                <c:pt idx="1">
                  <c:v>1.6632024396443965</c:v>
                </c:pt>
                <c:pt idx="2">
                  <c:v>0.93555137229997265</c:v>
                </c:pt>
                <c:pt idx="3">
                  <c:v>0.59875287827198265</c:v>
                </c:pt>
                <c:pt idx="4">
                  <c:v>0.41580060991109913</c:v>
                </c:pt>
                <c:pt idx="5">
                  <c:v>0.30548616238366466</c:v>
                </c:pt>
                <c:pt idx="6">
                  <c:v>0.23388784307499316</c:v>
                </c:pt>
                <c:pt idx="7">
                  <c:v>0.14968821956799566</c:v>
                </c:pt>
                <c:pt idx="8">
                  <c:v>0.10395015247777478</c:v>
                </c:pt>
              </c:numCache>
            </c:numRef>
          </c:yVal>
          <c:smooth val="1"/>
        </c:ser>
        <c:ser>
          <c:idx val="3"/>
          <c:order val="3"/>
          <c:tx>
            <c:v>H=11</c:v>
          </c:tx>
          <c:xVal>
            <c:numRef>
              <c:f>Sheet1!$F$50:$N$50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</c:numCache>
            </c:numRef>
          </c:xVal>
          <c:yVal>
            <c:numRef>
              <c:f>Sheet1!$F$54:$N$54</c:f>
              <c:numCache>
                <c:formatCode>General</c:formatCode>
                <c:ptCount val="9"/>
                <c:pt idx="0">
                  <c:v>7.7841171272705054</c:v>
                </c:pt>
                <c:pt idx="1">
                  <c:v>3.4596076121202257</c:v>
                </c:pt>
                <c:pt idx="2">
                  <c:v>1.9460292818176264</c:v>
                </c:pt>
                <c:pt idx="3">
                  <c:v>1.2454587403632811</c:v>
                </c:pt>
                <c:pt idx="4">
                  <c:v>0.86490190303005643</c:v>
                </c:pt>
                <c:pt idx="5">
                  <c:v>0.63543813283840866</c:v>
                </c:pt>
                <c:pt idx="6">
                  <c:v>0.48650732045440659</c:v>
                </c:pt>
                <c:pt idx="7">
                  <c:v>0.31136468509082027</c:v>
                </c:pt>
                <c:pt idx="8">
                  <c:v>0.21622547575751411</c:v>
                </c:pt>
              </c:numCache>
            </c:numRef>
          </c:yVal>
          <c:smooth val="1"/>
        </c:ser>
        <c:ser>
          <c:idx val="4"/>
          <c:order val="4"/>
          <c:tx>
            <c:v>Cymax</c:v>
          </c:tx>
          <c:xVal>
            <c:numRef>
              <c:f>Sheet1!$F$50:$L$50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xVal>
          <c:yVal>
            <c:numRef>
              <c:f>Sheet1!$F$55:$L$55</c:f>
              <c:numCache>
                <c:formatCode>General</c:formatCode>
                <c:ptCount val="7"/>
                <c:pt idx="0">
                  <c:v>1.6974199999999999</c:v>
                </c:pt>
                <c:pt idx="1">
                  <c:v>1.65547</c:v>
                </c:pt>
                <c:pt idx="2">
                  <c:v>1.6084799999999999</c:v>
                </c:pt>
                <c:pt idx="3">
                  <c:v>1.55644</c:v>
                </c:pt>
                <c:pt idx="4">
                  <c:v>1.49935</c:v>
                </c:pt>
                <c:pt idx="5">
                  <c:v>1.4372100000000001</c:v>
                </c:pt>
                <c:pt idx="6">
                  <c:v>1.3700300000000001</c:v>
                </c:pt>
              </c:numCache>
            </c:numRef>
          </c:yVal>
          <c:smooth val="1"/>
        </c:ser>
        <c:ser>
          <c:idx val="5"/>
          <c:order val="5"/>
          <c:tx>
            <c:v>Cyaperm</c:v>
          </c:tx>
          <c:xVal>
            <c:numRef>
              <c:f>Sheet1!$F$50:$L$50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xVal>
          <c:yVal>
            <c:numRef>
              <c:f>Sheet1!$F$56:$L$56</c:f>
              <c:numCache>
                <c:formatCode>General</c:formatCode>
                <c:ptCount val="7"/>
                <c:pt idx="0">
                  <c:v>1.357936</c:v>
                </c:pt>
                <c:pt idx="1">
                  <c:v>1.324376</c:v>
                </c:pt>
                <c:pt idx="2">
                  <c:v>1.2867839999999999</c:v>
                </c:pt>
                <c:pt idx="3">
                  <c:v>1.245152</c:v>
                </c:pt>
                <c:pt idx="4">
                  <c:v>1.1994800000000001</c:v>
                </c:pt>
                <c:pt idx="5">
                  <c:v>1.1497680000000001</c:v>
                </c:pt>
                <c:pt idx="6">
                  <c:v>1.0960240000000001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56960"/>
        <c:axId val="95258880"/>
      </c:scatterChart>
      <c:valAx>
        <c:axId val="9525696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258880"/>
        <c:crosses val="autoZero"/>
        <c:crossBetween val="midCat"/>
      </c:valAx>
      <c:valAx>
        <c:axId val="952588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25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Mmin(th)</c:v>
          </c:tx>
          <c:xVal>
            <c:numRef>
              <c:f>Sheet1!$B$90:$B$93</c:f>
              <c:numCache>
                <c:formatCode>General</c:formatCode>
                <c:ptCount val="4"/>
                <c:pt idx="0">
                  <c:v>0.21</c:v>
                </c:pt>
                <c:pt idx="1">
                  <c:v>0.25</c:v>
                </c:pt>
                <c:pt idx="2">
                  <c:v>0.3</c:v>
                </c:pt>
                <c:pt idx="3">
                  <c:v>0.45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1"/>
          <c:order val="1"/>
          <c:tx>
            <c:v>Mmin(perm)</c:v>
          </c:tx>
          <c:xVal>
            <c:numRef>
              <c:f>Sheet1!$C$90:$C$93</c:f>
              <c:numCache>
                <c:formatCode>General</c:formatCode>
                <c:ptCount val="4"/>
                <c:pt idx="0">
                  <c:v>0.23</c:v>
                </c:pt>
                <c:pt idx="1">
                  <c:v>0.3</c:v>
                </c:pt>
                <c:pt idx="2">
                  <c:v>0.33</c:v>
                </c:pt>
                <c:pt idx="3">
                  <c:v>0.5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2"/>
          <c:order val="2"/>
          <c:tx>
            <c:v>Mopt</c:v>
          </c:tx>
          <c:xVal>
            <c:numRef>
              <c:f>Sheet1!$D$90:$D$93</c:f>
              <c:numCache>
                <c:formatCode>General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3"/>
          <c:order val="3"/>
          <c:tx>
            <c:v>Mcrit</c:v>
          </c:tx>
          <c:xVal>
            <c:numRef>
              <c:f>Sheet1!$E$90:$E$93</c:f>
              <c:numCache>
                <c:formatCode>General</c:formatCode>
                <c:ptCount val="4"/>
                <c:pt idx="0">
                  <c:v>0.4</c:v>
                </c:pt>
                <c:pt idx="1">
                  <c:v>0.48</c:v>
                </c:pt>
                <c:pt idx="2">
                  <c:v>0.65</c:v>
                </c:pt>
                <c:pt idx="3">
                  <c:v>0.78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4"/>
          <c:order val="4"/>
          <c:tx>
            <c:v>Mmax</c:v>
          </c:tx>
          <c:xVal>
            <c:numRef>
              <c:f>Sheet1!$F$90:$F$93</c:f>
              <c:numCache>
                <c:formatCode>General</c:formatCode>
                <c:ptCount val="4"/>
                <c:pt idx="0">
                  <c:v>0.83</c:v>
                </c:pt>
                <c:pt idx="1">
                  <c:v>0.85</c:v>
                </c:pt>
                <c:pt idx="2">
                  <c:v>0.86</c:v>
                </c:pt>
                <c:pt idx="3">
                  <c:v>0.9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5"/>
          <c:order val="5"/>
          <c:tx>
            <c:v>Static ceiling</c:v>
          </c:tx>
          <c:xVal>
            <c:numRef>
              <c:f>Sheet1!$B$96:$F$96</c:f>
              <c:numCache>
                <c:formatCode>General</c:formatCode>
                <c:ptCount val="5"/>
                <c:pt idx="0">
                  <c:v>0.45</c:v>
                </c:pt>
                <c:pt idx="1">
                  <c:v>0.5</c:v>
                </c:pt>
                <c:pt idx="2">
                  <c:v>0.7</c:v>
                </c:pt>
                <c:pt idx="3">
                  <c:v>0.78</c:v>
                </c:pt>
                <c:pt idx="4">
                  <c:v>0.9</c:v>
                </c:pt>
              </c:numCache>
            </c:numRef>
          </c:xVal>
          <c:yVal>
            <c:numRef>
              <c:f>Sheet1!$B$105:$F$105</c:f>
              <c:numCache>
                <c:formatCode>General</c:formatCode>
                <c:ptCount val="5"/>
                <c:pt idx="0">
                  <c:v>13.5</c:v>
                </c:pt>
                <c:pt idx="1">
                  <c:v>15</c:v>
                </c:pt>
                <c:pt idx="2">
                  <c:v>16.5</c:v>
                </c:pt>
                <c:pt idx="3">
                  <c:v>16.75</c:v>
                </c:pt>
                <c:pt idx="4">
                  <c:v>11</c:v>
                </c:pt>
              </c:numCache>
            </c:numRef>
          </c:yVal>
          <c:smooth val="1"/>
        </c:ser>
        <c:ser>
          <c:idx val="6"/>
          <c:order val="6"/>
          <c:tx>
            <c:v>Ballastic ceiling</c:v>
          </c:tx>
          <c:xVal>
            <c:numRef>
              <c:f>Sheet1!$K$119:$O$119</c:f>
              <c:numCache>
                <c:formatCode>General</c:formatCode>
                <c:ptCount val="5"/>
                <c:pt idx="0">
                  <c:v>0</c:v>
                </c:pt>
                <c:pt idx="1">
                  <c:v>0.45</c:v>
                </c:pt>
                <c:pt idx="2">
                  <c:v>0.5</c:v>
                </c:pt>
                <c:pt idx="3">
                  <c:v>0.7</c:v>
                </c:pt>
                <c:pt idx="4">
                  <c:v>0.78</c:v>
                </c:pt>
              </c:numCache>
            </c:numRef>
          </c:xVal>
          <c:yVal>
            <c:numRef>
              <c:f>Sheet1!$K$120:$O$120</c:f>
              <c:numCache>
                <c:formatCode>General</c:formatCode>
                <c:ptCount val="5"/>
                <c:pt idx="0">
                  <c:v>19.470236130495181</c:v>
                </c:pt>
                <c:pt idx="1">
                  <c:v>18.572042323155731</c:v>
                </c:pt>
                <c:pt idx="2">
                  <c:v>18.361354886866234</c:v>
                </c:pt>
                <c:pt idx="3">
                  <c:v>17.296828892982436</c:v>
                </c:pt>
                <c:pt idx="4">
                  <c:v>16.771662735999769</c:v>
                </c:pt>
              </c:numCache>
            </c:numRef>
          </c:yVal>
          <c:smooth val="1"/>
        </c:ser>
        <c:ser>
          <c:idx val="7"/>
          <c:order val="7"/>
          <c:tx>
            <c:v>Conditional Ballistic ceiling</c:v>
          </c:tx>
          <c:xVal>
            <c:numRef>
              <c:f>Sheet1!$K$123:$O$123</c:f>
              <c:numCache>
                <c:formatCode>General</c:formatCode>
                <c:ptCount val="5"/>
                <c:pt idx="0">
                  <c:v>0</c:v>
                </c:pt>
                <c:pt idx="1">
                  <c:v>0.45</c:v>
                </c:pt>
                <c:pt idx="2">
                  <c:v>0.5</c:v>
                </c:pt>
                <c:pt idx="3">
                  <c:v>0.7</c:v>
                </c:pt>
                <c:pt idx="4">
                  <c:v>0.78</c:v>
                </c:pt>
              </c:numCache>
            </c:numRef>
          </c:xVal>
          <c:yVal>
            <c:numRef>
              <c:f>Sheet1!$K$124:$O$124</c:f>
              <c:numCache>
                <c:formatCode>General</c:formatCode>
                <c:ptCount val="5"/>
                <c:pt idx="0">
                  <c:v>17.523212517445664</c:v>
                </c:pt>
                <c:pt idx="1">
                  <c:v>17.643440206997944</c:v>
                </c:pt>
                <c:pt idx="2">
                  <c:v>17.626900691391583</c:v>
                </c:pt>
                <c:pt idx="3">
                  <c:v>17.296828892982436</c:v>
                </c:pt>
                <c:pt idx="4">
                  <c:v>16.771662735999769</c:v>
                </c:pt>
              </c:numCache>
            </c:numRef>
          </c:yVal>
          <c:smooth val="1"/>
        </c:ser>
        <c:ser>
          <c:idx val="8"/>
          <c:order val="8"/>
          <c:tx>
            <c:v>Mcontrol</c:v>
          </c:tx>
          <c:xVal>
            <c:numRef>
              <c:f>Sheet1!$K$129:$Q$129</c:f>
              <c:numCache>
                <c:formatCode>General</c:formatCode>
                <c:ptCount val="7"/>
                <c:pt idx="0">
                  <c:v>0.11873880498905467</c:v>
                </c:pt>
                <c:pt idx="1">
                  <c:v>0.14273383330840203</c:v>
                </c:pt>
                <c:pt idx="2">
                  <c:v>0.17393908696991967</c:v>
                </c:pt>
                <c:pt idx="3">
                  <c:v>0.25086383169282256</c:v>
                </c:pt>
                <c:pt idx="4">
                  <c:v>0.37146497678024554</c:v>
                </c:pt>
                <c:pt idx="5">
                  <c:v>0.40177170184515393</c:v>
                </c:pt>
                <c:pt idx="6">
                  <c:v>0.47000183066069567</c:v>
                </c:pt>
              </c:numCache>
            </c:numRef>
          </c:xVal>
          <c:yVal>
            <c:numRef>
              <c:f>Sheet1!$K$127:$Q$127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37152"/>
        <c:axId val="94739072"/>
      </c:scatterChart>
      <c:valAx>
        <c:axId val="947371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739072"/>
        <c:crosses val="autoZero"/>
        <c:crossBetween val="midCat"/>
      </c:valAx>
      <c:valAx>
        <c:axId val="947390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H,km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73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H=0</c:v>
          </c:tx>
          <c:xVal>
            <c:numRef>
              <c:f>Sheet1!$B$133:$F$133</c:f>
              <c:numCache>
                <c:formatCode>General</c:formatCode>
                <c:ptCount val="5"/>
                <c:pt idx="0">
                  <c:v>71.441999999999993</c:v>
                </c:pt>
                <c:pt idx="1">
                  <c:v>78.245999999999995</c:v>
                </c:pt>
                <c:pt idx="2">
                  <c:v>102.05999999999999</c:v>
                </c:pt>
                <c:pt idx="3">
                  <c:v>136.08000000000001</c:v>
                </c:pt>
                <c:pt idx="4">
                  <c:v>282.36599999999999</c:v>
                </c:pt>
              </c:numCache>
            </c:numRef>
          </c:xVal>
          <c:yVal>
            <c:numRef>
              <c:f>Sheet1!$B$137:$F$137</c:f>
              <c:numCache>
                <c:formatCode>General</c:formatCode>
                <c:ptCount val="5"/>
                <c:pt idx="0">
                  <c:v>24.617133996640391</c:v>
                </c:pt>
                <c:pt idx="1">
                  <c:v>27.585734591032431</c:v>
                </c:pt>
                <c:pt idx="2">
                  <c:v>35.020803721411028</c:v>
                </c:pt>
                <c:pt idx="3">
                  <c:v>45.131412327174054</c:v>
                </c:pt>
                <c:pt idx="4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H=3</c:v>
          </c:tx>
          <c:xVal>
            <c:numRef>
              <c:f>Sheet1!$B$142:$F$142</c:f>
              <c:numCache>
                <c:formatCode>General</c:formatCode>
                <c:ptCount val="5"/>
                <c:pt idx="0">
                  <c:v>82.125</c:v>
                </c:pt>
                <c:pt idx="1">
                  <c:v>98.55</c:v>
                </c:pt>
                <c:pt idx="2">
                  <c:v>131.4</c:v>
                </c:pt>
                <c:pt idx="3">
                  <c:v>157.68</c:v>
                </c:pt>
                <c:pt idx="4">
                  <c:v>279.22499999999997</c:v>
                </c:pt>
              </c:numCache>
            </c:numRef>
          </c:xVal>
          <c:yVal>
            <c:numRef>
              <c:f>Sheet1!$B$146:$F$146</c:f>
              <c:numCache>
                <c:formatCode>General</c:formatCode>
                <c:ptCount val="5"/>
                <c:pt idx="0">
                  <c:v>19.651548434336906</c:v>
                </c:pt>
                <c:pt idx="1">
                  <c:v>26.930481974415301</c:v>
                </c:pt>
                <c:pt idx="2">
                  <c:v>36.65354409843362</c:v>
                </c:pt>
                <c:pt idx="3">
                  <c:v>42.701399836326829</c:v>
                </c:pt>
                <c:pt idx="4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H=6</c:v>
          </c:tx>
          <c:xVal>
            <c:numRef>
              <c:f>Sheet1!$I$133:$M$133</c:f>
              <c:numCache>
                <c:formatCode>General</c:formatCode>
                <c:ptCount val="5"/>
                <c:pt idx="0">
                  <c:v>94.919999999999987</c:v>
                </c:pt>
                <c:pt idx="1">
                  <c:v>104.41199999999999</c:v>
                </c:pt>
                <c:pt idx="2">
                  <c:v>158.19999999999999</c:v>
                </c:pt>
                <c:pt idx="3">
                  <c:v>205.66</c:v>
                </c:pt>
                <c:pt idx="4">
                  <c:v>272.10399999999998</c:v>
                </c:pt>
              </c:numCache>
            </c:numRef>
          </c:xVal>
          <c:yVal>
            <c:numRef>
              <c:f>Sheet1!$I$137:$M$137</c:f>
              <c:numCache>
                <c:formatCode>General</c:formatCode>
                <c:ptCount val="5"/>
                <c:pt idx="0">
                  <c:v>15.369293573195884</c:v>
                </c:pt>
                <c:pt idx="1">
                  <c:v>16.906222930515472</c:v>
                </c:pt>
                <c:pt idx="2">
                  <c:v>28.11646957290235</c:v>
                </c:pt>
                <c:pt idx="3">
                  <c:v>39.369619005230838</c:v>
                </c:pt>
                <c:pt idx="4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H=11</c:v>
          </c:tx>
          <c:xVal>
            <c:numRef>
              <c:f>Sheet1!$I$142:$M$142</c:f>
              <c:numCache>
                <c:formatCode>General</c:formatCode>
                <c:ptCount val="5"/>
                <c:pt idx="0">
                  <c:v>132.75</c:v>
                </c:pt>
                <c:pt idx="1">
                  <c:v>147.5</c:v>
                </c:pt>
                <c:pt idx="2">
                  <c:v>206.5</c:v>
                </c:pt>
                <c:pt idx="3">
                  <c:v>230.1</c:v>
                </c:pt>
                <c:pt idx="4">
                  <c:v>265.5</c:v>
                </c:pt>
              </c:numCache>
            </c:numRef>
          </c:xVal>
          <c:yVal>
            <c:numRef>
              <c:f>Sheet1!$I$146:$M$146</c:f>
              <c:numCache>
                <c:formatCode>General</c:formatCode>
                <c:ptCount val="5"/>
                <c:pt idx="0">
                  <c:v>10.164965327130981</c:v>
                </c:pt>
                <c:pt idx="1">
                  <c:v>13.882707275479811</c:v>
                </c:pt>
                <c:pt idx="2">
                  <c:v>21.497960466388768</c:v>
                </c:pt>
                <c:pt idx="3">
                  <c:v>24.076002737457706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53920"/>
        <c:axId val="94755840"/>
      </c:scatterChart>
      <c:valAx>
        <c:axId val="947539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V,m/s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755840"/>
        <c:crosses val="autoZero"/>
        <c:crossBetween val="midCat"/>
      </c:valAx>
      <c:valAx>
        <c:axId val="947558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Vy,m/s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753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Vymax</c:v>
          </c:tx>
          <c:xVal>
            <c:numRef>
              <c:f>Sheet1!$K$150:$O$150</c:f>
              <c:numCache>
                <c:formatCode>General</c:formatCode>
                <c:ptCount val="5"/>
                <c:pt idx="0">
                  <c:v>45.131412327174054</c:v>
                </c:pt>
                <c:pt idx="1">
                  <c:v>42.701399836326829</c:v>
                </c:pt>
                <c:pt idx="2">
                  <c:v>39.369619005230838</c:v>
                </c:pt>
                <c:pt idx="3">
                  <c:v>24.076002737457706</c:v>
                </c:pt>
                <c:pt idx="4">
                  <c:v>0</c:v>
                </c:pt>
              </c:numCache>
            </c:numRef>
          </c:xVal>
          <c:yVal>
            <c:numRef>
              <c:f>Sheet1!$K$149:$O$149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54688"/>
        <c:axId val="96756864"/>
      </c:scatterChart>
      <c:valAx>
        <c:axId val="967546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Vymax,m/s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56864"/>
        <c:crosses val="autoZero"/>
        <c:crossBetween val="midCat"/>
      </c:valAx>
      <c:valAx>
        <c:axId val="967568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H,km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54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Barogram of climb</c:v>
          </c:tx>
          <c:xVal>
            <c:numRef>
              <c:f>Sheet1!$K$149:$O$149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16.75</c:v>
                </c:pt>
              </c:numCache>
            </c:numRef>
          </c:xVal>
          <c:yVal>
            <c:numRef>
              <c:f>Sheet1!$K$151:$N$151</c:f>
              <c:numCache>
                <c:formatCode>General</c:formatCode>
                <c:ptCount val="4"/>
                <c:pt idx="0">
                  <c:v>2.2157516205135251E-2</c:v>
                </c:pt>
                <c:pt idx="1">
                  <c:v>2.3418436019263297E-2</c:v>
                </c:pt>
                <c:pt idx="2">
                  <c:v>2.5400296606048822E-2</c:v>
                </c:pt>
                <c:pt idx="3">
                  <c:v>4.1535134004790135E-2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3248"/>
        <c:axId val="96775168"/>
      </c:scatterChart>
      <c:valAx>
        <c:axId val="9677324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H,km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75168"/>
        <c:crosses val="autoZero"/>
        <c:crossBetween val="midCat"/>
      </c:valAx>
      <c:valAx>
        <c:axId val="967751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1/Vy, s/m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73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Req H=0</c:v>
          </c:tx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Sheet1!$M$84:$T$84</c:f>
              <c:numCache>
                <c:formatCode>General</c:formatCode>
                <c:ptCount val="8"/>
                <c:pt idx="0">
                  <c:v>50.065678069240661</c:v>
                </c:pt>
                <c:pt idx="1">
                  <c:v>34.975286533150701</c:v>
                </c:pt>
                <c:pt idx="2">
                  <c:v>38.588808433056826</c:v>
                </c:pt>
                <c:pt idx="3">
                  <c:v>49.827110768876224</c:v>
                </c:pt>
                <c:pt idx="4">
                  <c:v>65.974731777619752</c:v>
                </c:pt>
                <c:pt idx="5">
                  <c:v>85.988267222029663</c:v>
                </c:pt>
                <c:pt idx="6">
                  <c:v>109.39293664066119</c:v>
                </c:pt>
                <c:pt idx="7">
                  <c:v>2192.3962403310652</c:v>
                </c:pt>
              </c:numCache>
            </c:numRef>
          </c:yVal>
          <c:smooth val="1"/>
        </c:ser>
        <c:ser>
          <c:idx val="1"/>
          <c:order val="1"/>
          <c:tx>
            <c:v>Req H=3</c:v>
          </c:tx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Sheet1!$M$85:$T$85</c:f>
              <c:numCache>
                <c:formatCode>General</c:formatCode>
                <c:ptCount val="8"/>
                <c:pt idx="0">
                  <c:v>66.965484443780738</c:v>
                </c:pt>
                <c:pt idx="1">
                  <c:v>38.752586515559258</c:v>
                </c:pt>
                <c:pt idx="2">
                  <c:v>35.144884548689369</c:v>
                </c:pt>
                <c:pt idx="3">
                  <c:v>40.244478838092277</c:v>
                </c:pt>
                <c:pt idx="4">
                  <c:v>50.072042573384167</c:v>
                </c:pt>
                <c:pt idx="5">
                  <c:v>63.246670260774003</c:v>
                </c:pt>
                <c:pt idx="6">
                  <c:v>79.170490902561838</c:v>
                </c:pt>
                <c:pt idx="7">
                  <c:v>1524.2926677183359</c:v>
                </c:pt>
              </c:numCache>
            </c:numRef>
          </c:yVal>
          <c:smooth val="1"/>
        </c:ser>
        <c:ser>
          <c:idx val="2"/>
          <c:order val="2"/>
          <c:tx>
            <c:v>Req H=6</c:v>
          </c:tx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Sheet1!$M$86:$T$86</c:f>
              <c:numCache>
                <c:formatCode>General</c:formatCode>
                <c:ptCount val="8"/>
                <c:pt idx="0">
                  <c:v>95.350455665449857</c:v>
                </c:pt>
                <c:pt idx="1">
                  <c:v>48.57009572090525</c:v>
                </c:pt>
                <c:pt idx="2">
                  <c:v>36.520668649830043</c:v>
                </c:pt>
                <c:pt idx="3">
                  <c:v>35.598563110272799</c:v>
                </c:pt>
                <c:pt idx="4">
                  <c:v>39.962623305990356</c:v>
                </c:pt>
                <c:pt idx="5">
                  <c:v>47.580687989874264</c:v>
                </c:pt>
                <c:pt idx="6">
                  <c:v>57.596197564464205</c:v>
                </c:pt>
                <c:pt idx="7">
                  <c:v>1035.3997638118776</c:v>
                </c:pt>
              </c:numCache>
            </c:numRef>
          </c:yVal>
          <c:smooth val="1"/>
        </c:ser>
        <c:ser>
          <c:idx val="3"/>
          <c:order val="3"/>
          <c:tx>
            <c:v>Req H=11</c:v>
          </c:tx>
          <c:xVal>
            <c:numRef>
              <c:f>Sheet1!$M$83:$T$83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1.2</c:v>
                </c:pt>
              </c:numCache>
            </c:numRef>
          </c:xVal>
          <c:yVal>
            <c:numRef>
              <c:f>Sheet1!$M$87:$T$87</c:f>
              <c:numCache>
                <c:formatCode>General</c:formatCode>
                <c:ptCount val="8"/>
                <c:pt idx="0">
                  <c:v>192.73801968963966</c:v>
                </c:pt>
                <c:pt idx="1">
                  <c:v>88.758278357910697</c:v>
                </c:pt>
                <c:pt idx="2">
                  <c:v>54.547228878031362</c:v>
                </c:pt>
                <c:pt idx="3">
                  <c:v>41.056505833605812</c:v>
                </c:pt>
                <c:pt idx="4">
                  <c:v>36.181995096568258</c:v>
                </c:pt>
                <c:pt idx="5">
                  <c:v>35.745778263178444</c:v>
                </c:pt>
                <c:pt idx="6">
                  <c:v>38.012612875818242</c:v>
                </c:pt>
                <c:pt idx="7">
                  <c:v>519.84149645893308</c:v>
                </c:pt>
              </c:numCache>
            </c:numRef>
          </c:yVal>
          <c:smooth val="1"/>
        </c:ser>
        <c:ser>
          <c:idx val="4"/>
          <c:order val="4"/>
          <c:tx>
            <c:v>Avia H=0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Sheet1!$I$69:$N$69</c:f>
              <c:numCache>
                <c:formatCode>General</c:formatCode>
                <c:ptCount val="6"/>
                <c:pt idx="0">
                  <c:v>266</c:v>
                </c:pt>
                <c:pt idx="1">
                  <c:v>246.4</c:v>
                </c:pt>
                <c:pt idx="2">
                  <c:v>252</c:v>
                </c:pt>
                <c:pt idx="3">
                  <c:v>266</c:v>
                </c:pt>
                <c:pt idx="4">
                  <c:v>280</c:v>
                </c:pt>
                <c:pt idx="5">
                  <c:v>308</c:v>
                </c:pt>
              </c:numCache>
            </c:numRef>
          </c:yVal>
          <c:smooth val="1"/>
        </c:ser>
        <c:ser>
          <c:idx val="5"/>
          <c:order val="5"/>
          <c:tx>
            <c:v>Avia H=3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Sheet1!$I$70:$N$70</c:f>
              <c:numCache>
                <c:formatCode>General</c:formatCode>
                <c:ptCount val="6"/>
                <c:pt idx="0">
                  <c:v>210</c:v>
                </c:pt>
                <c:pt idx="1">
                  <c:v>201.6</c:v>
                </c:pt>
                <c:pt idx="2">
                  <c:v>201.6</c:v>
                </c:pt>
                <c:pt idx="3">
                  <c:v>210</c:v>
                </c:pt>
                <c:pt idx="4">
                  <c:v>224</c:v>
                </c:pt>
                <c:pt idx="5">
                  <c:v>252</c:v>
                </c:pt>
              </c:numCache>
            </c:numRef>
          </c:yVal>
          <c:smooth val="1"/>
        </c:ser>
        <c:ser>
          <c:idx val="6"/>
          <c:order val="6"/>
          <c:tx>
            <c:v>Avia H=6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Sheet1!$I$71:$N$71</c:f>
              <c:numCache>
                <c:formatCode>General</c:formatCode>
                <c:ptCount val="6"/>
                <c:pt idx="0">
                  <c:v>162.39999999999998</c:v>
                </c:pt>
                <c:pt idx="1">
                  <c:v>145.6</c:v>
                </c:pt>
                <c:pt idx="2">
                  <c:v>154</c:v>
                </c:pt>
                <c:pt idx="3">
                  <c:v>168</c:v>
                </c:pt>
                <c:pt idx="4">
                  <c:v>184.8</c:v>
                </c:pt>
                <c:pt idx="5">
                  <c:v>196</c:v>
                </c:pt>
              </c:numCache>
            </c:numRef>
          </c:yVal>
          <c:smooth val="1"/>
        </c:ser>
        <c:ser>
          <c:idx val="7"/>
          <c:order val="7"/>
          <c:tx>
            <c:v>Avia H=11</c:v>
          </c:tx>
          <c:xVal>
            <c:numRef>
              <c:f>Sheet1!$I$68:$N$68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</c:numCache>
            </c:numRef>
          </c:xVal>
          <c:yVal>
            <c:numRef>
              <c:f>Sheet1!$I$72:$N$72</c:f>
              <c:numCache>
                <c:formatCode>General</c:formatCode>
                <c:ptCount val="6"/>
                <c:pt idx="0">
                  <c:v>106.4</c:v>
                </c:pt>
                <c:pt idx="1">
                  <c:v>98</c:v>
                </c:pt>
                <c:pt idx="2">
                  <c:v>100.8</c:v>
                </c:pt>
                <c:pt idx="3">
                  <c:v>103.6</c:v>
                </c:pt>
                <c:pt idx="4">
                  <c:v>112</c:v>
                </c:pt>
                <c:pt idx="5">
                  <c:v>117.6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02752"/>
        <c:axId val="105404672"/>
      </c:scatterChart>
      <c:valAx>
        <c:axId val="105402752"/>
        <c:scaling>
          <c:orientation val="minMax"/>
          <c:max val="1.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404672"/>
        <c:crosses val="autoZero"/>
        <c:crossBetween val="midCat"/>
      </c:valAx>
      <c:valAx>
        <c:axId val="105404672"/>
        <c:scaling>
          <c:orientation val="minMax"/>
          <c:max val="35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P,kN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402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Mmin(th)</c:v>
          </c:tx>
          <c:xVal>
            <c:numRef>
              <c:f>Sheet1!$B$90:$B$93</c:f>
              <c:numCache>
                <c:formatCode>General</c:formatCode>
                <c:ptCount val="4"/>
                <c:pt idx="0">
                  <c:v>0.21</c:v>
                </c:pt>
                <c:pt idx="1">
                  <c:v>0.25</c:v>
                </c:pt>
                <c:pt idx="2">
                  <c:v>0.3</c:v>
                </c:pt>
                <c:pt idx="3">
                  <c:v>0.45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1"/>
          <c:order val="1"/>
          <c:tx>
            <c:v>Mmin(perm)</c:v>
          </c:tx>
          <c:xVal>
            <c:numRef>
              <c:f>Sheet1!$C$90:$C$93</c:f>
              <c:numCache>
                <c:formatCode>General</c:formatCode>
                <c:ptCount val="4"/>
                <c:pt idx="0">
                  <c:v>0.23</c:v>
                </c:pt>
                <c:pt idx="1">
                  <c:v>0.3</c:v>
                </c:pt>
                <c:pt idx="2">
                  <c:v>0.33</c:v>
                </c:pt>
                <c:pt idx="3">
                  <c:v>0.5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2"/>
          <c:order val="2"/>
          <c:tx>
            <c:v>Mopt</c:v>
          </c:tx>
          <c:xVal>
            <c:numRef>
              <c:f>Sheet1!$D$90:$D$93</c:f>
              <c:numCache>
                <c:formatCode>General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3"/>
          <c:order val="3"/>
          <c:tx>
            <c:v>Mcrit</c:v>
          </c:tx>
          <c:xVal>
            <c:numRef>
              <c:f>Sheet1!$E$90:$E$93</c:f>
              <c:numCache>
                <c:formatCode>General</c:formatCode>
                <c:ptCount val="4"/>
                <c:pt idx="0">
                  <c:v>0.4</c:v>
                </c:pt>
                <c:pt idx="1">
                  <c:v>0.48</c:v>
                </c:pt>
                <c:pt idx="2">
                  <c:v>0.65</c:v>
                </c:pt>
                <c:pt idx="3">
                  <c:v>0.78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4"/>
          <c:order val="4"/>
          <c:tx>
            <c:v>Mmax</c:v>
          </c:tx>
          <c:xVal>
            <c:numRef>
              <c:f>Sheet1!$F$90:$F$93</c:f>
              <c:numCache>
                <c:formatCode>General</c:formatCode>
                <c:ptCount val="4"/>
                <c:pt idx="0">
                  <c:v>0.83</c:v>
                </c:pt>
                <c:pt idx="1">
                  <c:v>0.85</c:v>
                </c:pt>
                <c:pt idx="2">
                  <c:v>0.86</c:v>
                </c:pt>
                <c:pt idx="3">
                  <c:v>0.9</c:v>
                </c:pt>
              </c:numCache>
            </c:numRef>
          </c:xVal>
          <c:yVal>
            <c:numRef>
              <c:f>Sheet1!$A$90:$A$93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</c:numCache>
            </c:numRef>
          </c:yVal>
          <c:smooth val="1"/>
        </c:ser>
        <c:ser>
          <c:idx val="5"/>
          <c:order val="5"/>
          <c:tx>
            <c:v>Static ceiling</c:v>
          </c:tx>
          <c:spPr>
            <a:ln>
              <a:noFill/>
            </a:ln>
          </c:spPr>
          <c:trendline>
            <c:spPr>
              <a:ln w="25400">
                <a:solidFill>
                  <a:schemeClr val="accent6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Sheet1!$B$96:$F$96</c:f>
              <c:numCache>
                <c:formatCode>General</c:formatCode>
                <c:ptCount val="5"/>
                <c:pt idx="0">
                  <c:v>0.45</c:v>
                </c:pt>
                <c:pt idx="1">
                  <c:v>0.5</c:v>
                </c:pt>
                <c:pt idx="2">
                  <c:v>0.7</c:v>
                </c:pt>
                <c:pt idx="3">
                  <c:v>0.78</c:v>
                </c:pt>
                <c:pt idx="4">
                  <c:v>0.9</c:v>
                </c:pt>
              </c:numCache>
            </c:numRef>
          </c:xVal>
          <c:yVal>
            <c:numRef>
              <c:f>Sheet1!$B$105:$F$105</c:f>
              <c:numCache>
                <c:formatCode>General</c:formatCode>
                <c:ptCount val="5"/>
                <c:pt idx="0">
                  <c:v>13.5</c:v>
                </c:pt>
                <c:pt idx="1">
                  <c:v>15</c:v>
                </c:pt>
                <c:pt idx="2">
                  <c:v>16.5</c:v>
                </c:pt>
                <c:pt idx="3">
                  <c:v>16.75</c:v>
                </c:pt>
                <c:pt idx="4">
                  <c:v>11</c:v>
                </c:pt>
              </c:numCache>
            </c:numRef>
          </c:yVal>
          <c:smooth val="1"/>
        </c:ser>
        <c:ser>
          <c:idx val="6"/>
          <c:order val="6"/>
          <c:tx>
            <c:v>Ballastic ceiling</c:v>
          </c:tx>
          <c:xVal>
            <c:numRef>
              <c:f>Sheet1!$K$119:$O$119</c:f>
              <c:numCache>
                <c:formatCode>General</c:formatCode>
                <c:ptCount val="5"/>
                <c:pt idx="0">
                  <c:v>0</c:v>
                </c:pt>
                <c:pt idx="1">
                  <c:v>0.45</c:v>
                </c:pt>
                <c:pt idx="2">
                  <c:v>0.5</c:v>
                </c:pt>
                <c:pt idx="3">
                  <c:v>0.7</c:v>
                </c:pt>
                <c:pt idx="4">
                  <c:v>0.78</c:v>
                </c:pt>
              </c:numCache>
            </c:numRef>
          </c:xVal>
          <c:yVal>
            <c:numRef>
              <c:f>Sheet1!$K$120:$O$120</c:f>
              <c:numCache>
                <c:formatCode>General</c:formatCode>
                <c:ptCount val="5"/>
                <c:pt idx="0">
                  <c:v>19.470236130495181</c:v>
                </c:pt>
                <c:pt idx="1">
                  <c:v>18.572042323155731</c:v>
                </c:pt>
                <c:pt idx="2">
                  <c:v>18.361354886866234</c:v>
                </c:pt>
                <c:pt idx="3">
                  <c:v>17.296828892982436</c:v>
                </c:pt>
                <c:pt idx="4">
                  <c:v>16.771662735999769</c:v>
                </c:pt>
              </c:numCache>
            </c:numRef>
          </c:yVal>
          <c:smooth val="1"/>
        </c:ser>
        <c:ser>
          <c:idx val="7"/>
          <c:order val="7"/>
          <c:tx>
            <c:v>Conditional Ballistic ceiling</c:v>
          </c:tx>
          <c:xVal>
            <c:numRef>
              <c:f>Sheet1!$K$123:$O$123</c:f>
              <c:numCache>
                <c:formatCode>General</c:formatCode>
                <c:ptCount val="5"/>
                <c:pt idx="0">
                  <c:v>0</c:v>
                </c:pt>
                <c:pt idx="1">
                  <c:v>0.45</c:v>
                </c:pt>
                <c:pt idx="2">
                  <c:v>0.5</c:v>
                </c:pt>
                <c:pt idx="3">
                  <c:v>0.7</c:v>
                </c:pt>
                <c:pt idx="4">
                  <c:v>0.78</c:v>
                </c:pt>
              </c:numCache>
            </c:numRef>
          </c:xVal>
          <c:yVal>
            <c:numRef>
              <c:f>Sheet1!$K$124:$O$124</c:f>
              <c:numCache>
                <c:formatCode>General</c:formatCode>
                <c:ptCount val="5"/>
                <c:pt idx="0">
                  <c:v>17.523212517445664</c:v>
                </c:pt>
                <c:pt idx="1">
                  <c:v>17.643440206997944</c:v>
                </c:pt>
                <c:pt idx="2">
                  <c:v>17.626900691391583</c:v>
                </c:pt>
                <c:pt idx="3">
                  <c:v>17.296828892982436</c:v>
                </c:pt>
                <c:pt idx="4">
                  <c:v>16.771662735999769</c:v>
                </c:pt>
              </c:numCache>
            </c:numRef>
          </c:yVal>
          <c:smooth val="1"/>
        </c:ser>
        <c:ser>
          <c:idx val="8"/>
          <c:order val="8"/>
          <c:tx>
            <c:v>Mcontrol</c:v>
          </c:tx>
          <c:xVal>
            <c:numRef>
              <c:f>Sheet1!$K$129:$Q$129</c:f>
              <c:numCache>
                <c:formatCode>General</c:formatCode>
                <c:ptCount val="7"/>
                <c:pt idx="0">
                  <c:v>0.11873880498905467</c:v>
                </c:pt>
                <c:pt idx="1">
                  <c:v>0.14273383330840203</c:v>
                </c:pt>
                <c:pt idx="2">
                  <c:v>0.17393908696991967</c:v>
                </c:pt>
                <c:pt idx="3">
                  <c:v>0.25086383169282256</c:v>
                </c:pt>
                <c:pt idx="4">
                  <c:v>0.37146497678024554</c:v>
                </c:pt>
                <c:pt idx="5">
                  <c:v>0.40177170184515393</c:v>
                </c:pt>
                <c:pt idx="6">
                  <c:v>0.47000183066069567</c:v>
                </c:pt>
              </c:numCache>
            </c:numRef>
          </c:xVal>
          <c:yVal>
            <c:numRef>
              <c:f>Sheet1!$K$127:$Q$127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44864"/>
        <c:axId val="105446784"/>
      </c:scatterChart>
      <c:valAx>
        <c:axId val="1054448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446784"/>
        <c:crosses val="autoZero"/>
        <c:crossBetween val="midCat"/>
      </c:valAx>
      <c:valAx>
        <c:axId val="1054467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H,km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444864"/>
        <c:crosses val="autoZero"/>
        <c:crossBetween val="midCat"/>
      </c:valAx>
    </c:plotArea>
    <c:legend>
      <c:legendPos val="r"/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552449</xdr:colOff>
      <xdr:row>4</xdr:row>
      <xdr:rowOff>4762</xdr:rowOff>
    </xdr:from>
    <xdr:to>
      <xdr:col>9</xdr:col>
      <xdr:colOff>371475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32</xdr:row>
      <xdr:rowOff>9525</xdr:rowOff>
    </xdr:from>
    <xdr:to>
      <xdr:col>16</xdr:col>
      <xdr:colOff>266700</xdr:colOff>
      <xdr:row>46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214312</xdr:colOff>
      <xdr:row>87</xdr:row>
      <xdr:rowOff>164724</xdr:rowOff>
    </xdr:from>
    <xdr:to>
      <xdr:col>23</xdr:col>
      <xdr:colOff>380999</xdr:colOff>
      <xdr:row>115</xdr:row>
      <xdr:rowOff>59531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47624</xdr:colOff>
      <xdr:row>32</xdr:row>
      <xdr:rowOff>9524</xdr:rowOff>
    </xdr:from>
    <xdr:to>
      <xdr:col>24</xdr:col>
      <xdr:colOff>476249</xdr:colOff>
      <xdr:row>63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105</xdr:row>
      <xdr:rowOff>14286</xdr:rowOff>
    </xdr:from>
    <xdr:to>
      <xdr:col>7</xdr:col>
      <xdr:colOff>457200</xdr:colOff>
      <xdr:row>120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452437</xdr:colOff>
      <xdr:row>147</xdr:row>
      <xdr:rowOff>138112</xdr:rowOff>
    </xdr:from>
    <xdr:to>
      <xdr:col>8</xdr:col>
      <xdr:colOff>147637</xdr:colOff>
      <xdr:row>162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433387</xdr:colOff>
      <xdr:row>162</xdr:row>
      <xdr:rowOff>157162</xdr:rowOff>
    </xdr:from>
    <xdr:to>
      <xdr:col>8</xdr:col>
      <xdr:colOff>128587</xdr:colOff>
      <xdr:row>177</xdr:row>
      <xdr:rowOff>42862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23812</xdr:colOff>
      <xdr:row>152</xdr:row>
      <xdr:rowOff>80962</xdr:rowOff>
    </xdr:from>
    <xdr:to>
      <xdr:col>16</xdr:col>
      <xdr:colOff>328612</xdr:colOff>
      <xdr:row>166</xdr:row>
      <xdr:rowOff>157162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92</xdr:row>
      <xdr:rowOff>0</xdr:rowOff>
    </xdr:from>
    <xdr:to>
      <xdr:col>39</xdr:col>
      <xdr:colOff>419660</xdr:colOff>
      <xdr:row>120</xdr:row>
      <xdr:rowOff>144838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124</xdr:row>
      <xdr:rowOff>0</xdr:rowOff>
    </xdr:from>
    <xdr:to>
      <xdr:col>39</xdr:col>
      <xdr:colOff>452438</xdr:colOff>
      <xdr:row>150</xdr:row>
      <xdr:rowOff>11906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1"/>
  <sheetViews>
    <sheetView tabSelected="1" topLeftCell="A25" zoomScale="80" zoomScaleNormal="80" workbookViewId="0">
      <selection activeCell="S29" sqref="S29"/>
    </sheetView>
  </sheetViews>
  <sheetFormatPr defaultRowHeight="15" x14ac:dyDescent="0.25"/>
  <sheetData>
    <row r="2" spans="1:14" ht="21" x14ac:dyDescent="0.35">
      <c r="A2" s="2" t="s">
        <v>2</v>
      </c>
    </row>
    <row r="5" spans="1:14" x14ac:dyDescent="0.25">
      <c r="A5" s="5" t="s">
        <v>0</v>
      </c>
      <c r="B5" s="6" t="s">
        <v>1</v>
      </c>
    </row>
    <row r="6" spans="1:14" x14ac:dyDescent="0.25">
      <c r="A6" s="6">
        <v>-7.24</v>
      </c>
      <c r="B6" s="6">
        <v>0</v>
      </c>
    </row>
    <row r="7" spans="1:14" x14ac:dyDescent="0.25">
      <c r="A7" s="6">
        <v>0</v>
      </c>
      <c r="B7" s="10">
        <v>0.55449000000000004</v>
      </c>
      <c r="M7" t="s">
        <v>73</v>
      </c>
      <c r="N7" t="s">
        <v>1</v>
      </c>
    </row>
    <row r="8" spans="1:14" x14ac:dyDescent="0.25">
      <c r="A8" s="6">
        <v>10</v>
      </c>
      <c r="B8" s="10">
        <v>1.3208299999999999</v>
      </c>
      <c r="L8" t="s">
        <v>74</v>
      </c>
      <c r="M8">
        <f>B12+(B12-D31)</f>
        <v>20.963531528494872</v>
      </c>
      <c r="N8">
        <f>D30</f>
        <v>1.2867839999999999</v>
      </c>
    </row>
    <row r="9" spans="1:14" x14ac:dyDescent="0.25">
      <c r="A9" s="6">
        <v>20</v>
      </c>
      <c r="B9" s="7">
        <v>2.0768399999999998</v>
      </c>
      <c r="L9" t="s">
        <v>75</v>
      </c>
      <c r="M9">
        <f>B12+B12-G27</f>
        <v>21.882429575547977</v>
      </c>
      <c r="N9">
        <f>E27</f>
        <v>1.5785837961605584</v>
      </c>
    </row>
    <row r="10" spans="1:14" x14ac:dyDescent="0.25">
      <c r="L10" t="s">
        <v>76</v>
      </c>
      <c r="M10">
        <f>B12+B12-G28</f>
        <v>22.485009636344095</v>
      </c>
      <c r="N10">
        <f>E28</f>
        <v>1.762491230715532</v>
      </c>
    </row>
    <row r="11" spans="1:14" x14ac:dyDescent="0.25">
      <c r="A11" s="8" t="s">
        <v>3</v>
      </c>
      <c r="B11" s="8"/>
    </row>
    <row r="12" spans="1:14" x14ac:dyDescent="0.25">
      <c r="A12" s="9" t="s">
        <v>0</v>
      </c>
      <c r="B12" s="10">
        <v>15.26</v>
      </c>
    </row>
    <row r="13" spans="1:14" x14ac:dyDescent="0.25">
      <c r="A13" s="8" t="s">
        <v>4</v>
      </c>
      <c r="B13" s="10">
        <v>1.6084799999999999</v>
      </c>
    </row>
    <row r="15" spans="1:14" x14ac:dyDescent="0.25">
      <c r="A15" s="8" t="s">
        <v>5</v>
      </c>
      <c r="B15" s="10">
        <f>4.39079/57.3</f>
        <v>7.6628097731239089E-2</v>
      </c>
    </row>
    <row r="16" spans="1:14" x14ac:dyDescent="0.25">
      <c r="A16" s="8" t="s">
        <v>18</v>
      </c>
      <c r="B16" s="8">
        <f>ATAN(4.36)*57.3</f>
        <v>77.087865137328237</v>
      </c>
    </row>
    <row r="17" spans="1:19" x14ac:dyDescent="0.25">
      <c r="A17" s="1"/>
    </row>
    <row r="18" spans="1:19" x14ac:dyDescent="0.25">
      <c r="A18" s="1"/>
    </row>
    <row r="19" spans="1:19" x14ac:dyDescent="0.25">
      <c r="A19" s="1"/>
    </row>
    <row r="21" spans="1:19" x14ac:dyDescent="0.25">
      <c r="A21" s="8" t="s">
        <v>9</v>
      </c>
      <c r="B21" s="8"/>
      <c r="C21" s="8">
        <v>71000</v>
      </c>
      <c r="D21" s="8" t="s">
        <v>11</v>
      </c>
    </row>
    <row r="22" spans="1:19" x14ac:dyDescent="0.25">
      <c r="A22" t="s">
        <v>10</v>
      </c>
      <c r="C22">
        <f>0.9*C21</f>
        <v>63900</v>
      </c>
      <c r="D22" t="s">
        <v>11</v>
      </c>
    </row>
    <row r="24" spans="1:19" x14ac:dyDescent="0.25">
      <c r="A24" s="8" t="s">
        <v>12</v>
      </c>
      <c r="B24" s="8"/>
      <c r="C24" s="10">
        <v>3.9079999999999997E-2</v>
      </c>
    </row>
    <row r="25" spans="1:19" x14ac:dyDescent="0.25">
      <c r="N25" t="s">
        <v>4</v>
      </c>
      <c r="O25" t="s">
        <v>22</v>
      </c>
      <c r="R25" t="s">
        <v>14</v>
      </c>
    </row>
    <row r="26" spans="1:19" x14ac:dyDescent="0.25">
      <c r="A26" s="4"/>
      <c r="B26" s="5" t="s">
        <v>6</v>
      </c>
      <c r="C26" s="3" t="s">
        <v>15</v>
      </c>
      <c r="D26" s="4" t="s">
        <v>4</v>
      </c>
      <c r="E26" s="4" t="s">
        <v>14</v>
      </c>
      <c r="F26" s="3" t="s">
        <v>19</v>
      </c>
      <c r="G26" s="3" t="s">
        <v>17</v>
      </c>
      <c r="M26" t="s">
        <v>77</v>
      </c>
      <c r="N26">
        <f>B13</f>
        <v>1.6084799999999999</v>
      </c>
      <c r="O26">
        <v>0.12</v>
      </c>
      <c r="R26">
        <f>N8</f>
        <v>1.2867839999999999</v>
      </c>
      <c r="S26">
        <v>0.16</v>
      </c>
    </row>
    <row r="27" spans="1:19" x14ac:dyDescent="0.25">
      <c r="A27" s="3" t="s">
        <v>13</v>
      </c>
      <c r="B27" s="6">
        <v>-12</v>
      </c>
      <c r="C27" s="4">
        <f>ABS((B27-A6)*B15)</f>
        <v>0.36474974520069803</v>
      </c>
      <c r="D27" s="4">
        <f>$B$13+C27</f>
        <v>1.9732297452006979</v>
      </c>
      <c r="E27" s="4">
        <f>0.8*D27</f>
        <v>1.5785837961605584</v>
      </c>
      <c r="F27" s="4">
        <f>ABS(B27*$B$15)</f>
        <v>0.91953717277486913</v>
      </c>
      <c r="G27" s="4">
        <f>(E27-F27)/0.0763</f>
        <v>8.6375704244520222</v>
      </c>
      <c r="M27" t="s">
        <v>78</v>
      </c>
      <c r="N27">
        <f>D27</f>
        <v>1.9732297452006979</v>
      </c>
      <c r="O27">
        <v>0.18</v>
      </c>
      <c r="R27">
        <f t="shared" ref="R27:R28" si="0">N9</f>
        <v>1.5785837961605584</v>
      </c>
      <c r="S27">
        <v>0.22</v>
      </c>
    </row>
    <row r="28" spans="1:19" x14ac:dyDescent="0.25">
      <c r="A28" s="3" t="s">
        <v>8</v>
      </c>
      <c r="B28" s="6">
        <v>-15</v>
      </c>
      <c r="C28" s="4">
        <f>ABS(B28-A6)*B15</f>
        <v>0.59463403839441531</v>
      </c>
      <c r="D28" s="4">
        <f>$B$13+C28</f>
        <v>2.203114038394415</v>
      </c>
      <c r="E28" s="4">
        <f>0.8*D28</f>
        <v>1.762491230715532</v>
      </c>
      <c r="F28" s="4">
        <f>ABS(B28*$B$15)</f>
        <v>1.1494214659685864</v>
      </c>
      <c r="G28" s="4">
        <f>(E28-F28)/0.0763</f>
        <v>8.0349903636559059</v>
      </c>
      <c r="M28" t="s">
        <v>76</v>
      </c>
      <c r="N28">
        <f>D28</f>
        <v>2.203114038394415</v>
      </c>
      <c r="O28">
        <v>0.24</v>
      </c>
      <c r="R28">
        <f t="shared" si="0"/>
        <v>1.762491230715532</v>
      </c>
      <c r="S28">
        <v>0.28000000000000003</v>
      </c>
    </row>
    <row r="30" spans="1:19" x14ac:dyDescent="0.25">
      <c r="A30" s="8" t="s">
        <v>16</v>
      </c>
      <c r="B30" s="8"/>
      <c r="C30" s="8"/>
      <c r="D30" s="8">
        <f>0.8*B13</f>
        <v>1.2867839999999999</v>
      </c>
    </row>
    <row r="31" spans="1:19" x14ac:dyDescent="0.25">
      <c r="A31" s="9" t="s">
        <v>20</v>
      </c>
      <c r="B31" s="8"/>
      <c r="C31" s="8"/>
      <c r="D31" s="8">
        <f>(D30-B7)/B15</f>
        <v>9.5564684715051271</v>
      </c>
    </row>
    <row r="33" spans="1:8" x14ac:dyDescent="0.25">
      <c r="A33" s="13" t="s">
        <v>1</v>
      </c>
      <c r="B33" s="12"/>
      <c r="C33" s="11" t="s">
        <v>22</v>
      </c>
      <c r="D33" s="12"/>
      <c r="E33" s="16" t="s">
        <v>23</v>
      </c>
      <c r="F33" s="17"/>
      <c r="G33" s="21" t="s">
        <v>24</v>
      </c>
      <c r="H33" s="22"/>
    </row>
    <row r="34" spans="1:8" x14ac:dyDescent="0.25">
      <c r="A34" s="14"/>
      <c r="B34" s="15" t="s">
        <v>21</v>
      </c>
      <c r="C34" s="4" t="s">
        <v>7</v>
      </c>
      <c r="D34" s="4" t="s">
        <v>8</v>
      </c>
      <c r="E34" s="18" t="s">
        <v>13</v>
      </c>
      <c r="F34" s="18" t="s">
        <v>8</v>
      </c>
      <c r="G34" s="23" t="s">
        <v>13</v>
      </c>
      <c r="H34" s="23" t="s">
        <v>8</v>
      </c>
    </row>
    <row r="35" spans="1:8" x14ac:dyDescent="0.25">
      <c r="A35" s="14">
        <v>0</v>
      </c>
      <c r="B35" s="10">
        <v>1.941E-2</v>
      </c>
      <c r="C35" s="4">
        <f>(1+0.5+0.4)*B35</f>
        <v>3.6879000000000002E-2</v>
      </c>
      <c r="D35" s="4">
        <f>(1+0.5+1.5)*B35</f>
        <v>5.8230000000000004E-2</v>
      </c>
      <c r="E35" s="18">
        <f>(1+0.5+0.4)*B35</f>
        <v>3.6879000000000002E-2</v>
      </c>
      <c r="F35" s="18">
        <f>(1+0.5+1.5)*B35</f>
        <v>5.8230000000000004E-2</v>
      </c>
      <c r="G35" s="23">
        <f>1*E35</f>
        <v>3.6879000000000002E-2</v>
      </c>
      <c r="H35" s="23">
        <f>2*F35</f>
        <v>0.11646000000000001</v>
      </c>
    </row>
    <row r="36" spans="1:8" x14ac:dyDescent="0.25">
      <c r="A36" s="6">
        <v>0.2</v>
      </c>
      <c r="B36" s="20">
        <f>$B$35+$C$24*A36*A36</f>
        <v>2.0973200000000001E-2</v>
      </c>
      <c r="C36" s="4">
        <f t="shared" ref="C36:C41" si="1">$C$35+$C$24*A36*A36</f>
        <v>3.8442200000000003E-2</v>
      </c>
      <c r="D36" s="4">
        <f t="shared" ref="D36:D41" si="2">$D$35+$C$24*A36*A36</f>
        <v>5.9793200000000005E-2</v>
      </c>
      <c r="E36" s="18"/>
    </row>
    <row r="37" spans="1:8" x14ac:dyDescent="0.25">
      <c r="A37" s="6">
        <v>0.4</v>
      </c>
      <c r="B37" s="20">
        <f t="shared" ref="B37:B42" si="3">$B$35+$C$24*A37*A37</f>
        <v>2.56628E-2</v>
      </c>
      <c r="C37" s="4">
        <f t="shared" si="1"/>
        <v>4.3131800000000005E-2</v>
      </c>
      <c r="D37" s="4">
        <f t="shared" si="2"/>
        <v>6.4482800000000007E-2</v>
      </c>
    </row>
    <row r="38" spans="1:8" x14ac:dyDescent="0.25">
      <c r="A38" s="6">
        <v>0.6</v>
      </c>
      <c r="B38" s="20">
        <f t="shared" si="3"/>
        <v>3.3478799999999996E-2</v>
      </c>
      <c r="C38" s="4">
        <f t="shared" si="1"/>
        <v>5.0947800000000001E-2</v>
      </c>
      <c r="D38" s="4">
        <f t="shared" si="2"/>
        <v>7.2298799999999996E-2</v>
      </c>
    </row>
    <row r="39" spans="1:8" x14ac:dyDescent="0.25">
      <c r="A39" s="6">
        <v>0.8</v>
      </c>
      <c r="B39" s="20">
        <f t="shared" si="3"/>
        <v>4.4421200000000001E-2</v>
      </c>
      <c r="C39" s="4">
        <f t="shared" si="1"/>
        <v>6.1890200000000006E-2</v>
      </c>
      <c r="D39" s="4">
        <f t="shared" si="2"/>
        <v>8.3241200000000001E-2</v>
      </c>
    </row>
    <row r="40" spans="1:8" x14ac:dyDescent="0.25">
      <c r="A40" s="6">
        <v>1</v>
      </c>
      <c r="B40" s="20">
        <f t="shared" si="3"/>
        <v>5.849E-2</v>
      </c>
      <c r="C40" s="4">
        <f t="shared" si="1"/>
        <v>7.5958999999999999E-2</v>
      </c>
      <c r="D40" s="4">
        <f t="shared" si="2"/>
        <v>9.7310000000000008E-2</v>
      </c>
    </row>
    <row r="41" spans="1:8" x14ac:dyDescent="0.25">
      <c r="A41" s="19">
        <v>1.2</v>
      </c>
      <c r="B41" s="20">
        <f t="shared" si="3"/>
        <v>7.5685199999999994E-2</v>
      </c>
      <c r="C41" s="4">
        <f t="shared" si="1"/>
        <v>9.3154199999999993E-2</v>
      </c>
      <c r="D41" s="4">
        <f t="shared" si="2"/>
        <v>0.1145052</v>
      </c>
    </row>
    <row r="42" spans="1:8" x14ac:dyDescent="0.25">
      <c r="A42" s="19">
        <f>D30</f>
        <v>1.2867839999999999</v>
      </c>
      <c r="B42" s="20">
        <f t="shared" si="3"/>
        <v>8.411917448859646E-2</v>
      </c>
      <c r="C42" s="4" t="s">
        <v>25</v>
      </c>
      <c r="D42" s="4" t="s">
        <v>25</v>
      </c>
    </row>
    <row r="43" spans="1:8" x14ac:dyDescent="0.25">
      <c r="A43" s="19">
        <f>E27</f>
        <v>1.5785837961605584</v>
      </c>
      <c r="B43" s="10" t="s">
        <v>25</v>
      </c>
      <c r="C43" s="4">
        <f>$C$35+$C$24*A43*A43</f>
        <v>0.13426349940264654</v>
      </c>
      <c r="D43" s="4" t="s">
        <v>25</v>
      </c>
    </row>
    <row r="44" spans="1:8" x14ac:dyDescent="0.25">
      <c r="A44" s="8">
        <f>E28</f>
        <v>1.762491230715532</v>
      </c>
      <c r="B44" s="10" t="s">
        <v>25</v>
      </c>
      <c r="C44" s="6" t="s">
        <v>25</v>
      </c>
      <c r="D44" s="4">
        <f>$D$35+$C$24*A44*A44</f>
        <v>0.1796271482226848</v>
      </c>
    </row>
    <row r="49" spans="1:14" x14ac:dyDescent="0.25">
      <c r="A49" s="29" t="s">
        <v>26</v>
      </c>
      <c r="B49" s="29" t="s">
        <v>27</v>
      </c>
      <c r="E49" t="s">
        <v>31</v>
      </c>
    </row>
    <row r="50" spans="1:14" x14ac:dyDescent="0.25">
      <c r="A50" s="29">
        <v>0</v>
      </c>
      <c r="B50" s="29">
        <v>101325</v>
      </c>
      <c r="E50" s="4" t="s">
        <v>32</v>
      </c>
      <c r="F50" s="25">
        <v>0.2</v>
      </c>
      <c r="G50" s="25">
        <v>0.3</v>
      </c>
      <c r="H50" s="25">
        <v>0.4</v>
      </c>
      <c r="I50" s="25">
        <v>0.5</v>
      </c>
      <c r="J50" s="25">
        <v>0.6</v>
      </c>
      <c r="K50" s="25">
        <v>0.7</v>
      </c>
      <c r="L50" s="25">
        <v>0.8</v>
      </c>
      <c r="M50" s="25">
        <v>1</v>
      </c>
      <c r="N50" s="25">
        <v>1.2</v>
      </c>
    </row>
    <row r="51" spans="1:14" x14ac:dyDescent="0.25">
      <c r="A51" s="29">
        <v>3</v>
      </c>
      <c r="B51" s="29">
        <v>70121</v>
      </c>
      <c r="E51" s="4" t="s">
        <v>30</v>
      </c>
      <c r="F51" s="4">
        <f>$C$22*9.81/(0.7*$B$50*F50*F50*$B$55)</f>
        <v>1.7438880709503128</v>
      </c>
      <c r="G51" s="4">
        <f t="shared" ref="G51:N51" si="4">$C$22*9.81/(0.7*$B$50*G50*G50*$B$55)</f>
        <v>0.77506136486680588</v>
      </c>
      <c r="H51" s="4">
        <f t="shared" si="4"/>
        <v>0.43597201773757821</v>
      </c>
      <c r="I51" s="4">
        <f t="shared" si="4"/>
        <v>0.27902209135205008</v>
      </c>
      <c r="J51" s="4">
        <f t="shared" si="4"/>
        <v>0.19376534121670147</v>
      </c>
      <c r="K51" s="4">
        <f t="shared" si="4"/>
        <v>0.14235820987349496</v>
      </c>
      <c r="L51" s="4">
        <f t="shared" si="4"/>
        <v>0.10899300443439455</v>
      </c>
      <c r="M51" s="4">
        <f t="shared" si="4"/>
        <v>6.9755522838012521E-2</v>
      </c>
      <c r="N51" s="4">
        <f t="shared" si="4"/>
        <v>4.8441335304175367E-2</v>
      </c>
    </row>
    <row r="52" spans="1:14" x14ac:dyDescent="0.25">
      <c r="A52" s="29">
        <v>6</v>
      </c>
      <c r="B52" s="29">
        <v>47218</v>
      </c>
      <c r="E52" s="4" t="s">
        <v>33</v>
      </c>
      <c r="F52" s="4">
        <f>$C$22*9.81/(0.7*$B$51*F50*F50*$B$55)</f>
        <v>2.5199221173263426</v>
      </c>
      <c r="G52" s="4">
        <f t="shared" ref="G52:N52" si="5">$C$22*9.81/(0.7*$B$51*G50*G50*$B$55)</f>
        <v>1.1199653854783747</v>
      </c>
      <c r="H52" s="4">
        <f t="shared" si="5"/>
        <v>0.62998052933158566</v>
      </c>
      <c r="I52" s="4">
        <f t="shared" si="5"/>
        <v>0.4031875387722148</v>
      </c>
      <c r="J52" s="4">
        <f t="shared" si="5"/>
        <v>0.27999134636959366</v>
      </c>
      <c r="K52" s="4">
        <f t="shared" si="5"/>
        <v>0.20570792794500764</v>
      </c>
      <c r="L52" s="4">
        <f t="shared" si="5"/>
        <v>0.15749513233289641</v>
      </c>
      <c r="M52" s="4">
        <f t="shared" si="5"/>
        <v>0.1007968846930537</v>
      </c>
      <c r="N52" s="4">
        <f t="shared" si="5"/>
        <v>6.9997836592398416E-2</v>
      </c>
    </row>
    <row r="53" spans="1:14" x14ac:dyDescent="0.25">
      <c r="A53" s="29">
        <v>11</v>
      </c>
      <c r="B53" s="29">
        <v>22700</v>
      </c>
      <c r="E53" s="4" t="s">
        <v>34</v>
      </c>
      <c r="F53" s="4">
        <f>$C$22*9.81/(0.7*$B$52*F50*F50*$B$55)</f>
        <v>3.7422054891998906</v>
      </c>
      <c r="G53" s="4">
        <f t="shared" ref="G53:N53" si="6">$C$22*9.81/(0.7*$B$52*G50*G50*$B$55)</f>
        <v>1.6632024396443965</v>
      </c>
      <c r="H53" s="4">
        <f t="shared" si="6"/>
        <v>0.93555137229997265</v>
      </c>
      <c r="I53" s="4">
        <f t="shared" si="6"/>
        <v>0.59875287827198265</v>
      </c>
      <c r="J53" s="4">
        <f t="shared" si="6"/>
        <v>0.41580060991109913</v>
      </c>
      <c r="K53" s="4">
        <f t="shared" si="6"/>
        <v>0.30548616238366466</v>
      </c>
      <c r="L53" s="4">
        <f t="shared" si="6"/>
        <v>0.23388784307499316</v>
      </c>
      <c r="M53" s="4">
        <f t="shared" si="6"/>
        <v>0.14968821956799566</v>
      </c>
      <c r="N53" s="4">
        <f t="shared" si="6"/>
        <v>0.10395015247777478</v>
      </c>
    </row>
    <row r="54" spans="1:14" x14ac:dyDescent="0.25">
      <c r="E54" s="4" t="s">
        <v>35</v>
      </c>
      <c r="F54" s="4">
        <f>$C$22*9.81/(0.7*$B$53*F50*F50*$B$55)</f>
        <v>7.7841171272705054</v>
      </c>
      <c r="G54" s="4">
        <f t="shared" ref="G54:N54" si="7">$C$22*9.81/(0.7*$B$53*G50*G50*$B$55)</f>
        <v>3.4596076121202257</v>
      </c>
      <c r="H54" s="4">
        <f t="shared" si="7"/>
        <v>1.9460292818176264</v>
      </c>
      <c r="I54" s="4">
        <f t="shared" si="7"/>
        <v>1.2454587403632811</v>
      </c>
      <c r="J54" s="4">
        <f t="shared" si="7"/>
        <v>0.86490190303005643</v>
      </c>
      <c r="K54" s="4">
        <f t="shared" si="7"/>
        <v>0.63543813283840866</v>
      </c>
      <c r="L54" s="4">
        <f t="shared" si="7"/>
        <v>0.48650732045440659</v>
      </c>
      <c r="M54" s="4">
        <f t="shared" si="7"/>
        <v>0.31136468509082027</v>
      </c>
      <c r="N54" s="4">
        <f t="shared" si="7"/>
        <v>0.21622547575751411</v>
      </c>
    </row>
    <row r="55" spans="1:14" x14ac:dyDescent="0.25">
      <c r="A55" s="24" t="s">
        <v>28</v>
      </c>
      <c r="B55" s="24">
        <v>126.7</v>
      </c>
      <c r="C55" s="8" t="s">
        <v>29</v>
      </c>
      <c r="E55" s="6" t="s">
        <v>36</v>
      </c>
      <c r="F55" s="7">
        <v>1.6974199999999999</v>
      </c>
      <c r="G55" s="7">
        <v>1.65547</v>
      </c>
      <c r="H55" s="7">
        <v>1.6084799999999999</v>
      </c>
      <c r="I55" s="7">
        <v>1.55644</v>
      </c>
      <c r="J55" s="7">
        <v>1.49935</v>
      </c>
      <c r="K55" s="7">
        <v>1.4372100000000001</v>
      </c>
      <c r="L55" s="7">
        <v>1.3700300000000001</v>
      </c>
    </row>
    <row r="56" spans="1:14" x14ac:dyDescent="0.25">
      <c r="E56" s="6" t="s">
        <v>14</v>
      </c>
      <c r="F56" s="6">
        <f>0.8*F55</f>
        <v>1.357936</v>
      </c>
      <c r="G56" s="6">
        <f t="shared" ref="G56:L56" si="8">0.8*G55</f>
        <v>1.324376</v>
      </c>
      <c r="H56" s="6">
        <f t="shared" si="8"/>
        <v>1.2867839999999999</v>
      </c>
      <c r="I56" s="6">
        <f t="shared" si="8"/>
        <v>1.245152</v>
      </c>
      <c r="J56" s="6">
        <f t="shared" si="8"/>
        <v>1.1994800000000001</v>
      </c>
      <c r="K56" s="6">
        <f t="shared" si="8"/>
        <v>1.1497680000000001</v>
      </c>
      <c r="L56" s="6">
        <f t="shared" si="8"/>
        <v>1.0960240000000001</v>
      </c>
    </row>
    <row r="59" spans="1:14" x14ac:dyDescent="0.25">
      <c r="A59" s="8" t="s">
        <v>37</v>
      </c>
      <c r="H59" s="9" t="s">
        <v>40</v>
      </c>
    </row>
    <row r="60" spans="1:14" x14ac:dyDescent="0.25">
      <c r="A60" s="6" t="s">
        <v>32</v>
      </c>
      <c r="B60" s="6"/>
      <c r="C60" s="6">
        <v>0.6</v>
      </c>
      <c r="D60" s="6">
        <v>0.7</v>
      </c>
      <c r="E60" s="6">
        <v>0.8</v>
      </c>
      <c r="F60" s="6">
        <v>1.2</v>
      </c>
      <c r="H60" s="6" t="s">
        <v>32</v>
      </c>
      <c r="I60" s="6">
        <v>0.2</v>
      </c>
      <c r="J60" s="6">
        <v>0.4</v>
      </c>
      <c r="K60" s="6">
        <v>0.6</v>
      </c>
      <c r="L60" s="6">
        <v>0.8</v>
      </c>
      <c r="M60" s="6">
        <v>1</v>
      </c>
      <c r="N60" s="6">
        <v>2</v>
      </c>
    </row>
    <row r="61" spans="1:14" x14ac:dyDescent="0.25">
      <c r="A61" s="6" t="s">
        <v>1</v>
      </c>
      <c r="B61" s="6">
        <v>0</v>
      </c>
      <c r="C61" s="7">
        <v>1.8929999999999999E-2</v>
      </c>
      <c r="D61" s="7">
        <v>1.874E-2</v>
      </c>
      <c r="E61" s="7">
        <v>1.856E-2</v>
      </c>
      <c r="F61" s="7">
        <v>0.16897999999999999</v>
      </c>
      <c r="H61" s="6" t="s">
        <v>30</v>
      </c>
      <c r="I61" s="7">
        <v>0.95</v>
      </c>
      <c r="J61" s="7">
        <v>0.88</v>
      </c>
      <c r="K61" s="7">
        <v>0.9</v>
      </c>
      <c r="L61" s="7">
        <v>0.95</v>
      </c>
      <c r="M61" s="7">
        <v>1</v>
      </c>
      <c r="N61" s="7">
        <v>1.1000000000000001</v>
      </c>
    </row>
    <row r="62" spans="1:14" x14ac:dyDescent="0.25">
      <c r="A62" s="6"/>
      <c r="B62" s="6">
        <v>0.2</v>
      </c>
      <c r="C62" s="7">
        <v>2.051E-2</v>
      </c>
      <c r="D62" s="7">
        <v>2.0320000000000001E-2</v>
      </c>
      <c r="E62" s="7">
        <v>2.0140000000000002E-2</v>
      </c>
      <c r="F62" s="7">
        <v>0.17648</v>
      </c>
      <c r="H62" s="6" t="s">
        <v>33</v>
      </c>
      <c r="I62" s="7">
        <v>0.75</v>
      </c>
      <c r="J62" s="7">
        <v>0.72</v>
      </c>
      <c r="K62" s="7">
        <v>0.72</v>
      </c>
      <c r="L62" s="7">
        <v>0.75</v>
      </c>
      <c r="M62" s="7">
        <v>0.8</v>
      </c>
      <c r="N62" s="7">
        <v>0.9</v>
      </c>
    </row>
    <row r="63" spans="1:14" x14ac:dyDescent="0.25">
      <c r="A63" s="6"/>
      <c r="B63" s="6">
        <v>0.4</v>
      </c>
      <c r="C63" s="7">
        <v>2.5350000000000001E-2</v>
      </c>
      <c r="D63" s="7">
        <v>2.5170000000000001E-2</v>
      </c>
      <c r="E63" s="7">
        <v>2.5010000000000001E-2</v>
      </c>
      <c r="F63" s="7">
        <v>0.19900000000000001</v>
      </c>
      <c r="H63" s="6" t="s">
        <v>34</v>
      </c>
      <c r="I63" s="7">
        <v>0.57999999999999996</v>
      </c>
      <c r="J63" s="7">
        <v>0.52</v>
      </c>
      <c r="K63" s="7">
        <v>0.55000000000000004</v>
      </c>
      <c r="L63" s="7">
        <v>0.6</v>
      </c>
      <c r="M63" s="7">
        <v>0.66</v>
      </c>
      <c r="N63" s="7">
        <v>0.7</v>
      </c>
    </row>
    <row r="64" spans="1:14" x14ac:dyDescent="0.25">
      <c r="A64" s="6"/>
      <c r="B64" s="6">
        <v>0.6</v>
      </c>
      <c r="C64" s="7">
        <v>3.3610000000000001E-2</v>
      </c>
      <c r="D64" s="7">
        <v>3.3480000000000003E-2</v>
      </c>
      <c r="E64" s="7">
        <v>4.1770000000000002E-2</v>
      </c>
      <c r="F64" s="7">
        <v>0.23652000000000001</v>
      </c>
      <c r="H64" s="6" t="s">
        <v>35</v>
      </c>
      <c r="I64" s="7">
        <v>0.38</v>
      </c>
      <c r="J64" s="7">
        <v>0.35</v>
      </c>
      <c r="K64" s="7">
        <v>0.36</v>
      </c>
      <c r="L64" s="7">
        <v>0.37</v>
      </c>
      <c r="M64" s="7">
        <v>0.4</v>
      </c>
      <c r="N64" s="7">
        <v>0.42</v>
      </c>
    </row>
    <row r="65" spans="1:20" x14ac:dyDescent="0.25">
      <c r="A65" s="6"/>
      <c r="B65" s="6">
        <v>0.8</v>
      </c>
      <c r="C65" s="7">
        <v>4.548E-2</v>
      </c>
      <c r="D65" s="7">
        <v>5.3100000000000001E-2</v>
      </c>
      <c r="E65" s="7">
        <v>8.5589999999999999E-2</v>
      </c>
      <c r="F65" s="7">
        <v>0.28904999999999997</v>
      </c>
    </row>
    <row r="66" spans="1:20" x14ac:dyDescent="0.25">
      <c r="A66" s="6"/>
      <c r="B66" s="6">
        <v>1</v>
      </c>
      <c r="C66" s="7">
        <v>8.4229999999999999E-2</v>
      </c>
      <c r="D66" s="7">
        <v>0.11049</v>
      </c>
      <c r="E66" s="7">
        <v>0.14812</v>
      </c>
      <c r="F66" s="7">
        <v>0.35659000000000002</v>
      </c>
    </row>
    <row r="67" spans="1:20" x14ac:dyDescent="0.25">
      <c r="A67" s="6"/>
      <c r="B67" s="6">
        <v>1.2</v>
      </c>
      <c r="C67" s="7">
        <v>0.15956999999999999</v>
      </c>
      <c r="D67" s="7">
        <v>0.18864</v>
      </c>
      <c r="E67" s="7">
        <v>0.23080000000000001</v>
      </c>
      <c r="F67" s="7">
        <v>0.43913999999999997</v>
      </c>
      <c r="H67" s="28" t="s">
        <v>41</v>
      </c>
      <c r="J67" t="s">
        <v>47</v>
      </c>
    </row>
    <row r="68" spans="1:20" x14ac:dyDescent="0.25">
      <c r="H68" s="26" t="s">
        <v>32</v>
      </c>
      <c r="I68" s="4">
        <v>0.2</v>
      </c>
      <c r="J68" s="4">
        <v>0.4</v>
      </c>
      <c r="K68" s="4">
        <v>0.6</v>
      </c>
      <c r="L68" s="4">
        <v>0.8</v>
      </c>
      <c r="M68" s="4">
        <v>1</v>
      </c>
      <c r="N68" s="4">
        <v>1.2</v>
      </c>
    </row>
    <row r="69" spans="1:20" x14ac:dyDescent="0.25">
      <c r="A69" s="8" t="s">
        <v>38</v>
      </c>
      <c r="B69" s="8">
        <v>140</v>
      </c>
      <c r="C69" s="8" t="s">
        <v>42</v>
      </c>
      <c r="H69" s="26" t="s">
        <v>30</v>
      </c>
      <c r="I69" s="4">
        <f>$B$69*I61*2</f>
        <v>266</v>
      </c>
      <c r="J69" s="4">
        <f t="shared" ref="J69:N69" si="9">$B$69*J61*2</f>
        <v>246.4</v>
      </c>
      <c r="K69" s="4">
        <f t="shared" si="9"/>
        <v>252</v>
      </c>
      <c r="L69" s="4">
        <f t="shared" si="9"/>
        <v>266</v>
      </c>
      <c r="M69" s="4">
        <f t="shared" si="9"/>
        <v>280</v>
      </c>
      <c r="N69" s="4">
        <f t="shared" si="9"/>
        <v>308</v>
      </c>
    </row>
    <row r="70" spans="1:20" x14ac:dyDescent="0.25">
      <c r="A70" s="8" t="s">
        <v>39</v>
      </c>
      <c r="B70" s="8">
        <v>2</v>
      </c>
      <c r="H70" s="26" t="s">
        <v>33</v>
      </c>
      <c r="I70" s="4">
        <f t="shared" ref="I70:N70" si="10">$B$69*I62*2</f>
        <v>210</v>
      </c>
      <c r="J70" s="4">
        <f t="shared" si="10"/>
        <v>201.6</v>
      </c>
      <c r="K70" s="4">
        <f t="shared" si="10"/>
        <v>201.6</v>
      </c>
      <c r="L70" s="4">
        <f t="shared" si="10"/>
        <v>210</v>
      </c>
      <c r="M70" s="4">
        <f t="shared" si="10"/>
        <v>224</v>
      </c>
      <c r="N70" s="4">
        <f t="shared" si="10"/>
        <v>252</v>
      </c>
    </row>
    <row r="71" spans="1:20" x14ac:dyDescent="0.25">
      <c r="H71" s="26" t="s">
        <v>34</v>
      </c>
      <c r="I71" s="4">
        <f t="shared" ref="I71:N71" si="11">$B$69*I63*2</f>
        <v>162.39999999999998</v>
      </c>
      <c r="J71" s="4">
        <f t="shared" si="11"/>
        <v>145.6</v>
      </c>
      <c r="K71" s="4">
        <f t="shared" si="11"/>
        <v>154</v>
      </c>
      <c r="L71" s="4">
        <f t="shared" si="11"/>
        <v>168</v>
      </c>
      <c r="M71" s="4">
        <f t="shared" si="11"/>
        <v>184.8</v>
      </c>
      <c r="N71" s="4">
        <f t="shared" si="11"/>
        <v>196</v>
      </c>
    </row>
    <row r="72" spans="1:20" x14ac:dyDescent="0.25">
      <c r="H72" s="26" t="s">
        <v>35</v>
      </c>
      <c r="I72" s="4">
        <f t="shared" ref="I72:N72" si="12">$B$69*I64*2</f>
        <v>106.4</v>
      </c>
      <c r="J72" s="4">
        <f t="shared" si="12"/>
        <v>98</v>
      </c>
      <c r="K72" s="4">
        <f t="shared" si="12"/>
        <v>100.8</v>
      </c>
      <c r="L72" s="4">
        <f t="shared" si="12"/>
        <v>103.6</v>
      </c>
      <c r="M72" s="4">
        <f t="shared" si="12"/>
        <v>112</v>
      </c>
      <c r="N72" s="4">
        <f t="shared" si="12"/>
        <v>117.6</v>
      </c>
    </row>
    <row r="74" spans="1:20" x14ac:dyDescent="0.25">
      <c r="A74" t="s">
        <v>23</v>
      </c>
      <c r="L74" t="s">
        <v>44</v>
      </c>
    </row>
    <row r="75" spans="1:20" x14ac:dyDescent="0.25">
      <c r="A75" s="6" t="s">
        <v>32</v>
      </c>
      <c r="B75" s="6">
        <v>0.2</v>
      </c>
      <c r="C75" s="6">
        <v>0.3</v>
      </c>
      <c r="D75" s="6">
        <v>0.4</v>
      </c>
      <c r="E75" s="6">
        <v>0.5</v>
      </c>
      <c r="F75" s="6">
        <v>0.6</v>
      </c>
      <c r="G75" s="6">
        <v>0.7</v>
      </c>
      <c r="H75" s="6">
        <v>0.8</v>
      </c>
      <c r="I75" s="6">
        <v>1.2</v>
      </c>
      <c r="L75" s="4" t="s">
        <v>32</v>
      </c>
      <c r="M75" s="27">
        <v>0.2</v>
      </c>
      <c r="N75" s="27">
        <v>0.3</v>
      </c>
      <c r="O75" s="27">
        <v>0.4</v>
      </c>
      <c r="P75" s="27">
        <v>0.5</v>
      </c>
      <c r="Q75" s="27">
        <v>0.6</v>
      </c>
      <c r="R75" s="27">
        <v>0.7</v>
      </c>
      <c r="S75" s="27">
        <v>0.8</v>
      </c>
      <c r="T75" s="27">
        <v>1.2</v>
      </c>
    </row>
    <row r="76" spans="1:20" x14ac:dyDescent="0.25">
      <c r="A76" s="6" t="s">
        <v>30</v>
      </c>
      <c r="B76" s="7">
        <v>2.0279999999999999E-2</v>
      </c>
      <c r="C76" s="7">
        <v>1.975E-2</v>
      </c>
      <c r="D76" s="7">
        <v>1.941E-2</v>
      </c>
      <c r="E76" s="7">
        <v>1.9140000000000001E-2</v>
      </c>
      <c r="F76" s="7">
        <v>1.8929999999999999E-2</v>
      </c>
      <c r="G76" s="7">
        <v>1.874E-2</v>
      </c>
      <c r="H76" s="7">
        <v>1.856E-2</v>
      </c>
      <c r="I76" s="7">
        <v>0.16897999999999999</v>
      </c>
      <c r="L76" s="6" t="s">
        <v>43</v>
      </c>
      <c r="M76" s="7">
        <v>3.9129999999999998E-2</v>
      </c>
      <c r="N76" s="7">
        <v>3.9109999999999999E-2</v>
      </c>
      <c r="O76" s="7">
        <v>3.9079999999999997E-2</v>
      </c>
      <c r="P76" s="7">
        <v>3.9030000000000002E-2</v>
      </c>
      <c r="Q76" s="7">
        <v>3.8969999999999998E-2</v>
      </c>
      <c r="R76" s="7">
        <v>3.8870000000000002E-2</v>
      </c>
      <c r="S76" s="7">
        <v>3.875E-2</v>
      </c>
      <c r="T76" s="7">
        <v>0.18761</v>
      </c>
    </row>
    <row r="77" spans="1:20" x14ac:dyDescent="0.25">
      <c r="A77" s="6" t="s">
        <v>33</v>
      </c>
      <c r="B77" s="7">
        <v>2.0719999999999999E-2</v>
      </c>
      <c r="C77" s="7">
        <v>2.018E-2</v>
      </c>
      <c r="D77" s="7">
        <v>1.9810000000000001E-2</v>
      </c>
      <c r="E77" s="7">
        <v>1.9539999999999998E-2</v>
      </c>
      <c r="F77" s="7">
        <v>1.9310000000000001E-2</v>
      </c>
      <c r="G77" s="7">
        <v>1.9109999999999999E-2</v>
      </c>
      <c r="H77" s="7">
        <v>1.8929999999999999E-2</v>
      </c>
      <c r="I77" s="7">
        <v>0.16929</v>
      </c>
      <c r="L77" s="4" t="s">
        <v>30</v>
      </c>
      <c r="M77" s="4">
        <f>B76+$M$76*F51*F51</f>
        <v>0.13928002748462967</v>
      </c>
      <c r="N77" s="4">
        <f>C76+$N$76*G51*G51</f>
        <v>4.3244163866182656E-2</v>
      </c>
      <c r="O77" s="4">
        <f>D76+$O$76*H51*H51</f>
        <v>2.6837998137776847E-2</v>
      </c>
      <c r="P77" s="4">
        <f>E76+$P$76*I51*I51</f>
        <v>2.2178615370860275E-2</v>
      </c>
      <c r="Q77" s="4">
        <f>F76+$Q$76*J51*J51</f>
        <v>2.0393128940592458E-2</v>
      </c>
      <c r="R77" s="4">
        <f>G76+$R$76*K51*K51</f>
        <v>1.9527733975027665E-2</v>
      </c>
      <c r="S77" s="4">
        <f>H76+$S$76*L51*L51</f>
        <v>1.9020329656855892E-2</v>
      </c>
      <c r="T77" s="4">
        <f>I76+$T$76*N51*N51</f>
        <v>0.16942023867806091</v>
      </c>
    </row>
    <row r="78" spans="1:20" x14ac:dyDescent="0.25">
      <c r="A78" s="6" t="s">
        <v>34</v>
      </c>
      <c r="B78" s="7">
        <v>2.1239999999999998E-2</v>
      </c>
      <c r="C78" s="7">
        <v>2.068E-2</v>
      </c>
      <c r="D78" s="7">
        <v>2.0299999999999999E-2</v>
      </c>
      <c r="E78" s="7">
        <v>2.001E-2</v>
      </c>
      <c r="F78" s="7">
        <v>1.9769999999999999E-2</v>
      </c>
      <c r="G78" s="7">
        <v>1.9560000000000001E-2</v>
      </c>
      <c r="H78" s="7">
        <v>1.9369999999999998E-2</v>
      </c>
      <c r="I78" s="7">
        <v>0.16966999999999999</v>
      </c>
      <c r="L78" s="4" t="s">
        <v>33</v>
      </c>
      <c r="M78" s="4">
        <f>B77+$M$76*F52*F52</f>
        <v>0.26919579259028936</v>
      </c>
      <c r="N78" s="4">
        <f>C77+$N$76*G52*G52</f>
        <v>6.9236551593232915E-2</v>
      </c>
      <c r="O78" s="4">
        <f>D77+$O$76*H52*H52</f>
        <v>3.5319893263526241E-2</v>
      </c>
      <c r="P78" s="4">
        <f>E77+$P$76*I52*I52</f>
        <v>2.5884724271169286E-2</v>
      </c>
      <c r="Q78" s="4">
        <f>F77+$Q$76*J52*J52</f>
        <v>2.2365059153011197E-2</v>
      </c>
      <c r="R78" s="4">
        <f>G77+$R$76*K52*K52</f>
        <v>2.0754813265447182E-2</v>
      </c>
      <c r="S78" s="4">
        <f>H77+$S$76*L52*L52</f>
        <v>1.9891182772456564E-2</v>
      </c>
      <c r="T78" s="4">
        <f>I77+$T$76*N52*N52</f>
        <v>0.17020923217811204</v>
      </c>
    </row>
    <row r="79" spans="1:20" x14ac:dyDescent="0.25">
      <c r="A79" s="6" t="s">
        <v>35</v>
      </c>
      <c r="B79" s="7">
        <v>2.2370000000000001E-2</v>
      </c>
      <c r="C79" s="7">
        <v>2.1749999999999999E-2</v>
      </c>
      <c r="D79" s="7">
        <v>2.1340000000000001E-2</v>
      </c>
      <c r="E79" s="7">
        <v>2.103E-2</v>
      </c>
      <c r="F79" s="7">
        <v>2.077E-2</v>
      </c>
      <c r="G79" s="7">
        <v>2.0539999999999999E-2</v>
      </c>
      <c r="H79" s="7">
        <v>2.0330000000000001E-2</v>
      </c>
      <c r="I79" s="7">
        <v>0.17054</v>
      </c>
      <c r="L79" s="4" t="s">
        <v>34</v>
      </c>
      <c r="M79" s="4">
        <f>B78+$M$76*F53*F53</f>
        <v>0.56922050826255555</v>
      </c>
      <c r="N79" s="4">
        <f>C78+$N$76*G53*G53</f>
        <v>0.12886773851340011</v>
      </c>
      <c r="O79" s="4">
        <f>D78+$O$76*H53*H53</f>
        <v>5.4505018947899102E-2</v>
      </c>
      <c r="P79" s="4">
        <f>E78+$P$76*I53*I53</f>
        <v>3.4002450510597533E-2</v>
      </c>
      <c r="Q79" s="4">
        <f>F78+$Q$76*J53*J53</f>
        <v>2.6507529036479165E-2</v>
      </c>
      <c r="R79" s="4">
        <f>G78+$R$76*K53*K53</f>
        <v>2.3187418187505023E-2</v>
      </c>
      <c r="S79" s="4">
        <f>H78+$S$76*L53*L53</f>
        <v>2.1489761521608062E-2</v>
      </c>
      <c r="T79" s="4">
        <f>I78+$T$76*N53*N53</f>
        <v>0.17169724503229061</v>
      </c>
    </row>
    <row r="80" spans="1:20" x14ac:dyDescent="0.25">
      <c r="L80" s="4" t="s">
        <v>35</v>
      </c>
      <c r="M80" s="4">
        <f>B79+$M$76*F54*F54</f>
        <v>2.3933537209202131</v>
      </c>
      <c r="N80" s="4">
        <f>C79+$N$76*G54*G54</f>
        <v>0.48985308569505059</v>
      </c>
      <c r="O80" s="4">
        <f>D79+$O$76*H54*H54</f>
        <v>0.16933713105922873</v>
      </c>
      <c r="P80" s="4">
        <f>E79+$P$76*I54*I54</f>
        <v>8.1572066508162761E-2</v>
      </c>
      <c r="Q80" s="4">
        <f>F79+$Q$76*J54*J54</f>
        <v>4.9921715113679557E-2</v>
      </c>
      <c r="R80" s="4">
        <f>G79+$R$76*K54*K54</f>
        <v>3.6234991595254888E-2</v>
      </c>
      <c r="S80" s="4">
        <f>H79+$S$76*L54*L54</f>
        <v>2.9501713198159408E-2</v>
      </c>
      <c r="T80" s="4">
        <f>I79+$T$76*N54*N54</f>
        <v>0.17931141594893094</v>
      </c>
    </row>
    <row r="82" spans="1:20" x14ac:dyDescent="0.25">
      <c r="A82" t="s">
        <v>45</v>
      </c>
      <c r="L82" t="s">
        <v>46</v>
      </c>
      <c r="N82" t="s">
        <v>47</v>
      </c>
    </row>
    <row r="83" spans="1:20" x14ac:dyDescent="0.25">
      <c r="A83" s="4" t="s">
        <v>32</v>
      </c>
      <c r="B83" s="4">
        <v>0.2</v>
      </c>
      <c r="C83" s="4">
        <v>0.3</v>
      </c>
      <c r="D83" s="4">
        <v>0.4</v>
      </c>
      <c r="E83" s="4">
        <v>0.5</v>
      </c>
      <c r="F83" s="4">
        <v>0.6</v>
      </c>
      <c r="G83" s="4">
        <v>0.7</v>
      </c>
      <c r="H83" s="4">
        <v>0.8</v>
      </c>
      <c r="I83" s="4">
        <v>1.2</v>
      </c>
      <c r="L83" s="4" t="s">
        <v>32</v>
      </c>
      <c r="M83" s="4">
        <v>0.2</v>
      </c>
      <c r="N83" s="4">
        <v>0.3</v>
      </c>
      <c r="O83" s="4">
        <v>0.4</v>
      </c>
      <c r="P83" s="4">
        <v>0.5</v>
      </c>
      <c r="Q83" s="4">
        <v>0.6</v>
      </c>
      <c r="R83" s="4">
        <v>0.7</v>
      </c>
      <c r="S83" s="4">
        <v>0.8</v>
      </c>
      <c r="T83" s="4">
        <v>1.2</v>
      </c>
    </row>
    <row r="84" spans="1:20" x14ac:dyDescent="0.25">
      <c r="A84" s="4" t="s">
        <v>30</v>
      </c>
      <c r="B84" s="4">
        <f t="shared" ref="B84:H87" si="13">F51/M77</f>
        <v>12.520733248295493</v>
      </c>
      <c r="C84" s="4">
        <f t="shared" si="13"/>
        <v>17.922912494393518</v>
      </c>
      <c r="D84" s="4">
        <f t="shared" si="13"/>
        <v>16.244580370691253</v>
      </c>
      <c r="E84" s="4">
        <f t="shared" si="13"/>
        <v>12.580681286292005</v>
      </c>
      <c r="F84" s="4">
        <f t="shared" si="13"/>
        <v>9.5015013037559033</v>
      </c>
      <c r="G84" s="4">
        <f t="shared" si="13"/>
        <v>7.2900527042996695</v>
      </c>
      <c r="H84" s="4">
        <f t="shared" si="13"/>
        <v>5.7303425545575619</v>
      </c>
      <c r="I84" s="4">
        <f>N51/T77</f>
        <v>0.28592413564134755</v>
      </c>
      <c r="L84" s="4" t="s">
        <v>30</v>
      </c>
      <c r="M84" s="4">
        <f t="shared" ref="M84:T87" si="14">$C$22*9.81/B84/1000</f>
        <v>50.065678069240661</v>
      </c>
      <c r="N84" s="4">
        <f t="shared" si="14"/>
        <v>34.975286533150701</v>
      </c>
      <c r="O84" s="4">
        <f t="shared" si="14"/>
        <v>38.588808433056826</v>
      </c>
      <c r="P84" s="4">
        <f t="shared" si="14"/>
        <v>49.827110768876224</v>
      </c>
      <c r="Q84" s="4">
        <f t="shared" si="14"/>
        <v>65.974731777619752</v>
      </c>
      <c r="R84" s="4">
        <f t="shared" si="14"/>
        <v>85.988267222029663</v>
      </c>
      <c r="S84" s="4">
        <f t="shared" si="14"/>
        <v>109.39293664066119</v>
      </c>
      <c r="T84" s="4">
        <f t="shared" si="14"/>
        <v>2192.3962403310652</v>
      </c>
    </row>
    <row r="85" spans="1:20" x14ac:dyDescent="0.25">
      <c r="A85" s="4" t="s">
        <v>33</v>
      </c>
      <c r="B85" s="4">
        <f t="shared" si="13"/>
        <v>9.3609268297948987</v>
      </c>
      <c r="C85" s="4">
        <f t="shared" si="13"/>
        <v>16.175926728098897</v>
      </c>
      <c r="D85" s="4">
        <f t="shared" si="13"/>
        <v>17.836422229003364</v>
      </c>
      <c r="E85" s="4">
        <f t="shared" si="13"/>
        <v>15.576273270227178</v>
      </c>
      <c r="F85" s="4">
        <f t="shared" si="13"/>
        <v>12.51914177619763</v>
      </c>
      <c r="G85" s="4">
        <f t="shared" si="13"/>
        <v>9.9113360025971531</v>
      </c>
      <c r="H85" s="4">
        <f t="shared" si="13"/>
        <v>7.9178364672703543</v>
      </c>
      <c r="I85" s="4">
        <f>N52/T78</f>
        <v>0.4112458278358872</v>
      </c>
      <c r="L85" s="4" t="s">
        <v>33</v>
      </c>
      <c r="M85" s="4">
        <f t="shared" si="14"/>
        <v>66.965484443780738</v>
      </c>
      <c r="N85" s="4">
        <f t="shared" si="14"/>
        <v>38.752586515559258</v>
      </c>
      <c r="O85" s="4">
        <f t="shared" si="14"/>
        <v>35.144884548689369</v>
      </c>
      <c r="P85" s="4">
        <f t="shared" si="14"/>
        <v>40.244478838092277</v>
      </c>
      <c r="Q85" s="4">
        <f t="shared" si="14"/>
        <v>50.072042573384167</v>
      </c>
      <c r="R85" s="4">
        <f t="shared" si="14"/>
        <v>63.246670260774003</v>
      </c>
      <c r="S85" s="4">
        <f t="shared" si="14"/>
        <v>79.170490902561838</v>
      </c>
      <c r="T85" s="4">
        <f t="shared" si="14"/>
        <v>1524.2926677183359</v>
      </c>
    </row>
    <row r="86" spans="1:20" x14ac:dyDescent="0.25">
      <c r="A86" s="4" t="s">
        <v>34</v>
      </c>
      <c r="B86" s="4">
        <f t="shared" si="13"/>
        <v>6.5742632861600647</v>
      </c>
      <c r="C86" s="4">
        <f t="shared" si="13"/>
        <v>12.906274749839357</v>
      </c>
      <c r="D86" s="4">
        <f t="shared" si="13"/>
        <v>17.164499533414684</v>
      </c>
      <c r="E86" s="4">
        <f t="shared" si="13"/>
        <v>17.609109616536887</v>
      </c>
      <c r="F86" s="4">
        <f t="shared" si="13"/>
        <v>15.686132394267384</v>
      </c>
      <c r="G86" s="4">
        <f t="shared" si="13"/>
        <v>13.174651869964618</v>
      </c>
      <c r="H86" s="4">
        <f t="shared" si="13"/>
        <v>10.883687231234175</v>
      </c>
      <c r="I86" s="4">
        <f>N53/T79</f>
        <v>0.60542702626489531</v>
      </c>
      <c r="L86" s="4" t="s">
        <v>34</v>
      </c>
      <c r="M86" s="4">
        <f t="shared" si="14"/>
        <v>95.350455665449857</v>
      </c>
      <c r="N86" s="4">
        <f t="shared" si="14"/>
        <v>48.57009572090525</v>
      </c>
      <c r="O86" s="4">
        <f t="shared" si="14"/>
        <v>36.520668649830043</v>
      </c>
      <c r="P86" s="4">
        <f t="shared" si="14"/>
        <v>35.598563110272799</v>
      </c>
      <c r="Q86" s="4">
        <f t="shared" si="14"/>
        <v>39.962623305990356</v>
      </c>
      <c r="R86" s="4">
        <f t="shared" si="14"/>
        <v>47.580687989874264</v>
      </c>
      <c r="S86" s="4">
        <f t="shared" si="14"/>
        <v>57.596197564464205</v>
      </c>
      <c r="T86" s="4">
        <f t="shared" si="14"/>
        <v>1035.3997638118776</v>
      </c>
    </row>
    <row r="87" spans="1:20" x14ac:dyDescent="0.25">
      <c r="A87" s="4" t="s">
        <v>35</v>
      </c>
      <c r="B87" s="4">
        <f t="shared" si="13"/>
        <v>3.2523889215496382</v>
      </c>
      <c r="C87" s="4">
        <f t="shared" si="13"/>
        <v>7.0625412254194586</v>
      </c>
      <c r="D87" s="4">
        <f t="shared" si="13"/>
        <v>11.492041170444582</v>
      </c>
      <c r="E87" s="4">
        <f t="shared" si="13"/>
        <v>15.268201403707854</v>
      </c>
      <c r="F87" s="4">
        <f t="shared" si="13"/>
        <v>17.325164030533394</v>
      </c>
      <c r="G87" s="4">
        <f t="shared" si="13"/>
        <v>17.536588387718069</v>
      </c>
      <c r="H87" s="4">
        <f t="shared" si="13"/>
        <v>16.490815878610043</v>
      </c>
      <c r="I87" s="4">
        <f>N54/T80</f>
        <v>1.2058656422583631</v>
      </c>
      <c r="L87" s="4" t="s">
        <v>35</v>
      </c>
      <c r="M87" s="4">
        <f t="shared" si="14"/>
        <v>192.73801968963966</v>
      </c>
      <c r="N87" s="4">
        <f t="shared" si="14"/>
        <v>88.758278357910697</v>
      </c>
      <c r="O87" s="4">
        <f t="shared" si="14"/>
        <v>54.547228878031362</v>
      </c>
      <c r="P87" s="4">
        <f t="shared" si="14"/>
        <v>41.056505833605812</v>
      </c>
      <c r="Q87" s="4">
        <f t="shared" si="14"/>
        <v>36.181995096568258</v>
      </c>
      <c r="R87" s="4">
        <f t="shared" si="14"/>
        <v>35.745778263178444</v>
      </c>
      <c r="S87" s="4">
        <f t="shared" si="14"/>
        <v>38.012612875818242</v>
      </c>
      <c r="T87" s="4">
        <f t="shared" si="14"/>
        <v>519.84149645893308</v>
      </c>
    </row>
    <row r="89" spans="1:20" x14ac:dyDescent="0.25">
      <c r="A89" s="6" t="s">
        <v>26</v>
      </c>
      <c r="B89" s="6" t="s">
        <v>48</v>
      </c>
      <c r="C89" s="6" t="s">
        <v>49</v>
      </c>
      <c r="D89" s="6" t="s">
        <v>50</v>
      </c>
      <c r="E89" s="6" t="s">
        <v>51</v>
      </c>
      <c r="F89" s="6" t="s">
        <v>52</v>
      </c>
    </row>
    <row r="90" spans="1:20" x14ac:dyDescent="0.25">
      <c r="A90" s="6">
        <v>0</v>
      </c>
      <c r="B90" s="6">
        <v>0.21</v>
      </c>
      <c r="C90" s="6">
        <v>0.23</v>
      </c>
      <c r="D90" s="6">
        <v>0.3</v>
      </c>
      <c r="E90" s="6">
        <v>0.4</v>
      </c>
      <c r="F90" s="6">
        <v>0.83</v>
      </c>
    </row>
    <row r="91" spans="1:20" x14ac:dyDescent="0.25">
      <c r="A91" s="6">
        <v>3</v>
      </c>
      <c r="B91" s="6">
        <v>0.25</v>
      </c>
      <c r="C91" s="6">
        <v>0.3</v>
      </c>
      <c r="D91" s="6">
        <v>0.4</v>
      </c>
      <c r="E91" s="6">
        <v>0.48</v>
      </c>
      <c r="F91" s="6">
        <v>0.85</v>
      </c>
    </row>
    <row r="92" spans="1:20" x14ac:dyDescent="0.25">
      <c r="A92" s="6">
        <v>6</v>
      </c>
      <c r="B92" s="6">
        <v>0.3</v>
      </c>
      <c r="C92" s="6">
        <v>0.33</v>
      </c>
      <c r="D92" s="6">
        <v>0.5</v>
      </c>
      <c r="E92" s="6">
        <v>0.65</v>
      </c>
      <c r="F92" s="6">
        <v>0.86</v>
      </c>
    </row>
    <row r="93" spans="1:20" x14ac:dyDescent="0.25">
      <c r="A93" s="6">
        <v>11</v>
      </c>
      <c r="B93" s="6">
        <v>0.45</v>
      </c>
      <c r="C93" s="6">
        <v>0.5</v>
      </c>
      <c r="D93" s="6">
        <v>0.7</v>
      </c>
      <c r="E93" s="6">
        <v>0.78</v>
      </c>
      <c r="F93" s="6">
        <v>0.9</v>
      </c>
    </row>
    <row r="95" spans="1:20" x14ac:dyDescent="0.25">
      <c r="A95" t="s">
        <v>53</v>
      </c>
    </row>
    <row r="96" spans="1:20" x14ac:dyDescent="0.25">
      <c r="A96" s="4" t="s">
        <v>32</v>
      </c>
      <c r="B96" s="4">
        <f>B93</f>
        <v>0.45</v>
      </c>
      <c r="C96" s="4">
        <f t="shared" ref="C96:F96" si="15">C93</f>
        <v>0.5</v>
      </c>
      <c r="D96" s="4">
        <f t="shared" si="15"/>
        <v>0.7</v>
      </c>
      <c r="E96" s="4">
        <f t="shared" si="15"/>
        <v>0.78</v>
      </c>
      <c r="F96" s="4">
        <f t="shared" si="15"/>
        <v>0.9</v>
      </c>
    </row>
    <row r="97" spans="1:6" x14ac:dyDescent="0.25">
      <c r="A97" s="6" t="s">
        <v>54</v>
      </c>
      <c r="B97" s="6">
        <v>2.1184999999999999E-2</v>
      </c>
      <c r="C97" s="6">
        <v>2.103E-2</v>
      </c>
      <c r="D97" s="6">
        <v>2.0539999999999999E-2</v>
      </c>
      <c r="E97" s="6">
        <v>1.856E-2</v>
      </c>
      <c r="F97" s="6">
        <v>0.1</v>
      </c>
    </row>
    <row r="98" spans="1:6" x14ac:dyDescent="0.25">
      <c r="A98" s="6" t="s">
        <v>43</v>
      </c>
      <c r="B98" s="6">
        <v>3.9054999999999999E-2</v>
      </c>
      <c r="C98" s="6">
        <v>3.9030000000000002E-2</v>
      </c>
      <c r="D98" s="6">
        <v>3.8870000000000002E-2</v>
      </c>
      <c r="E98" s="6">
        <v>3.875E-2</v>
      </c>
      <c r="F98" s="6">
        <v>0.1</v>
      </c>
    </row>
    <row r="99" spans="1:6" x14ac:dyDescent="0.25">
      <c r="A99" s="6" t="s">
        <v>31</v>
      </c>
      <c r="B99" s="6">
        <v>1.620744</v>
      </c>
      <c r="C99" s="6">
        <v>1.2454590000000001</v>
      </c>
      <c r="D99" s="6">
        <v>0.63543799999999995</v>
      </c>
      <c r="E99" s="6">
        <v>0.48650700000000002</v>
      </c>
      <c r="F99" s="6">
        <v>0.4</v>
      </c>
    </row>
    <row r="100" spans="1:6" x14ac:dyDescent="0.25">
      <c r="A100" s="4" t="s">
        <v>44</v>
      </c>
      <c r="B100" s="4">
        <f>B98*B99*B99</f>
        <v>0.10259010803914848</v>
      </c>
      <c r="C100" s="4">
        <f t="shared" ref="C100:F100" si="16">C98*C99*C99</f>
        <v>6.0542091750179446E-2</v>
      </c>
      <c r="D100" s="4">
        <f t="shared" si="16"/>
        <v>1.5694985033176279E-2</v>
      </c>
      <c r="E100" s="4">
        <f t="shared" si="16"/>
        <v>9.1717011156487501E-3</v>
      </c>
      <c r="F100" s="4">
        <f t="shared" si="16"/>
        <v>1.6000000000000004E-2</v>
      </c>
    </row>
    <row r="101" spans="1:6" x14ac:dyDescent="0.25">
      <c r="A101" s="4" t="s">
        <v>55</v>
      </c>
      <c r="B101" s="4">
        <f>0.7*$B$53*B96*B96*$B$55*B97</f>
        <v>8636.8227726374989</v>
      </c>
      <c r="C101" s="4">
        <f t="shared" ref="C101:F101" si="17">0.7*$B$53*C96*C96*$B$55*C97</f>
        <v>10584.730222499998</v>
      </c>
      <c r="D101" s="4">
        <f t="shared" si="17"/>
        <v>20262.686789799998</v>
      </c>
      <c r="E101" s="4">
        <f t="shared" si="17"/>
        <v>22733.572522751998</v>
      </c>
      <c r="F101" s="4">
        <f t="shared" si="17"/>
        <v>163074.30299999999</v>
      </c>
    </row>
    <row r="102" spans="1:6" x14ac:dyDescent="0.25">
      <c r="A102" s="4" t="s">
        <v>57</v>
      </c>
      <c r="B102" s="4">
        <f>0.7*$B$53*B96*B96*$B$55*B100</f>
        <v>41824.525907947078</v>
      </c>
      <c r="C102" s="4">
        <f t="shared" ref="C102:F102" si="18">0.7*$B$53*C96*C96*$B$55*C100</f>
        <v>30471.788315810376</v>
      </c>
      <c r="D102" s="4">
        <f t="shared" si="18"/>
        <v>15483.084999895311</v>
      </c>
      <c r="E102" s="4">
        <f t="shared" si="18"/>
        <v>11234.134292543442</v>
      </c>
      <c r="F102" s="4">
        <f t="shared" si="18"/>
        <v>26091.888480000001</v>
      </c>
    </row>
    <row r="103" spans="1:6" x14ac:dyDescent="0.25">
      <c r="A103" s="6" t="s">
        <v>58</v>
      </c>
      <c r="B103" s="6">
        <v>98500</v>
      </c>
      <c r="C103" s="6">
        <v>99000</v>
      </c>
      <c r="D103" s="6">
        <v>102000</v>
      </c>
      <c r="E103" s="6">
        <v>103000</v>
      </c>
      <c r="F103" s="6">
        <v>105000</v>
      </c>
    </row>
    <row r="104" spans="1:6" x14ac:dyDescent="0.25">
      <c r="A104" s="4" t="s">
        <v>56</v>
      </c>
      <c r="B104" s="4">
        <f>$B$53*SQRT(B102/(B103-B101))</f>
        <v>15486.40047449116</v>
      </c>
      <c r="C104" s="4">
        <f t="shared" ref="C104:E104" si="19">$B$53*SQRT(C102/(C103-C101))</f>
        <v>13326.34923397638</v>
      </c>
      <c r="D104" s="4">
        <f t="shared" si="19"/>
        <v>9879.715240349462</v>
      </c>
      <c r="E104" s="4">
        <f t="shared" si="19"/>
        <v>8492.365862859142</v>
      </c>
      <c r="F104" s="6">
        <v>22700</v>
      </c>
    </row>
    <row r="105" spans="1:6" x14ac:dyDescent="0.25">
      <c r="A105" s="6" t="s">
        <v>26</v>
      </c>
      <c r="B105" s="6">
        <v>13.5</v>
      </c>
      <c r="C105" s="6">
        <v>15</v>
      </c>
      <c r="D105" s="6">
        <v>16.5</v>
      </c>
      <c r="E105" s="6">
        <v>16.75</v>
      </c>
      <c r="F105" s="6">
        <v>11</v>
      </c>
    </row>
    <row r="118" spans="1:17" x14ac:dyDescent="0.25">
      <c r="J118" s="28" t="s">
        <v>63</v>
      </c>
    </row>
    <row r="119" spans="1:17" x14ac:dyDescent="0.25">
      <c r="J119" s="26" t="s">
        <v>32</v>
      </c>
      <c r="K119" s="4">
        <v>0</v>
      </c>
      <c r="L119" s="26">
        <v>0.45</v>
      </c>
      <c r="M119" s="26">
        <v>0.5</v>
      </c>
      <c r="N119" s="26">
        <v>0.7</v>
      </c>
      <c r="O119" s="26">
        <v>0.78</v>
      </c>
      <c r="P119" s="31"/>
    </row>
    <row r="120" spans="1:17" x14ac:dyDescent="0.25">
      <c r="J120" s="26" t="s">
        <v>26</v>
      </c>
      <c r="K120" s="4">
        <f>B127/1000</f>
        <v>19.470236130495181</v>
      </c>
      <c r="L120" s="4">
        <f>($B$127-(((L119*295)^2)/2/9.81))/1000</f>
        <v>18.572042323155731</v>
      </c>
      <c r="M120" s="4">
        <f t="shared" ref="M120:O120" si="20">($B$127-(((M119*295)^2)/2/9.81))/1000</f>
        <v>18.361354886866234</v>
      </c>
      <c r="N120" s="4">
        <f t="shared" si="20"/>
        <v>17.296828892982436</v>
      </c>
      <c r="O120" s="4">
        <f t="shared" si="20"/>
        <v>16.771662735999769</v>
      </c>
    </row>
    <row r="122" spans="1:17" x14ac:dyDescent="0.25">
      <c r="J122" s="28" t="s">
        <v>62</v>
      </c>
      <c r="M122">
        <f>B127-0.1*B127</f>
        <v>17523.212517445663</v>
      </c>
    </row>
    <row r="123" spans="1:17" x14ac:dyDescent="0.25">
      <c r="J123" s="6" t="s">
        <v>32</v>
      </c>
      <c r="K123" s="6">
        <v>0</v>
      </c>
      <c r="L123" s="6">
        <v>0.45</v>
      </c>
      <c r="M123" s="6">
        <v>0.5</v>
      </c>
      <c r="N123" s="6">
        <v>0.7</v>
      </c>
      <c r="O123" s="6">
        <v>0.78</v>
      </c>
    </row>
    <row r="124" spans="1:17" x14ac:dyDescent="0.25">
      <c r="A124" s="6" t="s">
        <v>32</v>
      </c>
      <c r="B124" s="6">
        <v>0.78</v>
      </c>
      <c r="C124" s="6">
        <v>0.8</v>
      </c>
      <c r="D124" s="6">
        <v>0.82</v>
      </c>
      <c r="E124" s="6">
        <v>0.84</v>
      </c>
      <c r="F124" s="6">
        <v>0.86</v>
      </c>
      <c r="G124" s="6">
        <v>0.88</v>
      </c>
      <c r="H124" s="6">
        <v>0.9</v>
      </c>
      <c r="J124" s="6" t="s">
        <v>26</v>
      </c>
      <c r="K124" s="6">
        <f>K120-0.1*K120</f>
        <v>17.523212517445664</v>
      </c>
      <c r="L124" s="6">
        <f>L120-0.05*L120</f>
        <v>17.643440206997944</v>
      </c>
      <c r="M124" s="6">
        <f>M120-0.04*M120</f>
        <v>17.626900691391583</v>
      </c>
      <c r="N124" s="6">
        <f>N120</f>
        <v>17.296828892982436</v>
      </c>
      <c r="O124" s="6">
        <f>O120</f>
        <v>16.771662735999769</v>
      </c>
    </row>
    <row r="125" spans="1:17" x14ac:dyDescent="0.25">
      <c r="A125" s="6" t="s">
        <v>26</v>
      </c>
      <c r="B125" s="30">
        <f>(-1831.9*B124^4 + 4676.8*B124^3 - 4449.8*B124^2 + 1876.3*B124 - 280.79)*1000</f>
        <v>16771.662735999769</v>
      </c>
      <c r="C125" s="30">
        <f t="shared" ref="C125:H125" si="21">(-1831.9*C124^4 + 4676.8*C124^3 - 4449.8*C124^2 + 1876.3*C124 - 280.79)*1000</f>
        <v>16553.359999999371</v>
      </c>
      <c r="D125" s="30">
        <f t="shared" si="21"/>
        <v>16126.490255999614</v>
      </c>
      <c r="E125" s="30">
        <f t="shared" si="21"/>
        <v>15430.642815999989</v>
      </c>
      <c r="F125" s="30">
        <f t="shared" si="21"/>
        <v>14398.372496000264</v>
      </c>
      <c r="G125" s="30">
        <f t="shared" si="21"/>
        <v>12955.199616000016</v>
      </c>
      <c r="H125" s="30">
        <f t="shared" si="21"/>
        <v>11019.610000000228</v>
      </c>
    </row>
    <row r="126" spans="1:17" x14ac:dyDescent="0.25">
      <c r="A126" s="6" t="s">
        <v>59</v>
      </c>
      <c r="B126" s="6">
        <f>B125+(((B124*295)^2)/2/9.81)</f>
        <v>19470.236130495181</v>
      </c>
      <c r="C126" s="6">
        <f t="shared" ref="C126:H126" si="22">C125+(((C124*295)^2)/2/9.81)</f>
        <v>19392.095983689484</v>
      </c>
      <c r="D126" s="6">
        <f t="shared" si="22"/>
        <v>19108.937248864037</v>
      </c>
      <c r="E126" s="6">
        <f t="shared" si="22"/>
        <v>18560.349238018338</v>
      </c>
      <c r="F126" s="6">
        <f t="shared" si="22"/>
        <v>17678.886767152151</v>
      </c>
      <c r="G126" s="6">
        <f t="shared" si="22"/>
        <v>16390.070156265054</v>
      </c>
      <c r="H126" s="6">
        <f t="shared" si="22"/>
        <v>14612.385229358026</v>
      </c>
      <c r="J126" t="s">
        <v>64</v>
      </c>
    </row>
    <row r="127" spans="1:17" x14ac:dyDescent="0.25">
      <c r="A127" s="28" t="s">
        <v>60</v>
      </c>
      <c r="B127">
        <f>MAX(B126:H126)</f>
        <v>19470.236130495181</v>
      </c>
      <c r="D127" t="s">
        <v>61</v>
      </c>
      <c r="J127" s="6" t="s">
        <v>26</v>
      </c>
      <c r="K127" s="6">
        <v>0</v>
      </c>
      <c r="L127" s="6">
        <v>3</v>
      </c>
      <c r="M127" s="6">
        <v>6</v>
      </c>
      <c r="N127" s="6">
        <v>11</v>
      </c>
      <c r="O127" s="6">
        <v>16</v>
      </c>
      <c r="P127" s="6">
        <v>17</v>
      </c>
      <c r="Q127" s="6">
        <v>19</v>
      </c>
    </row>
    <row r="128" spans="1:17" x14ac:dyDescent="0.25">
      <c r="J128" s="6" t="s">
        <v>27</v>
      </c>
      <c r="K128" s="6">
        <v>101325</v>
      </c>
      <c r="L128" s="6">
        <v>70121</v>
      </c>
      <c r="M128" s="6">
        <v>47218</v>
      </c>
      <c r="N128" s="6">
        <v>22700</v>
      </c>
      <c r="O128" s="6">
        <v>10353</v>
      </c>
      <c r="P128" s="6">
        <v>8850</v>
      </c>
      <c r="Q128" s="6">
        <v>6467</v>
      </c>
    </row>
    <row r="129" spans="1:17" x14ac:dyDescent="0.25">
      <c r="J129" s="4" t="s">
        <v>64</v>
      </c>
      <c r="K129" s="4">
        <f>SQRT(1000/0.7/K128)</f>
        <v>0.11873880498905467</v>
      </c>
      <c r="L129" s="4">
        <f t="shared" ref="L129:Q129" si="23">SQRT(1000/0.7/L128)</f>
        <v>0.14273383330840203</v>
      </c>
      <c r="M129" s="4">
        <f t="shared" si="23"/>
        <v>0.17393908696991967</v>
      </c>
      <c r="N129" s="4">
        <f t="shared" si="23"/>
        <v>0.25086383169282256</v>
      </c>
      <c r="O129" s="4">
        <f t="shared" si="23"/>
        <v>0.37146497678024554</v>
      </c>
      <c r="P129" s="4">
        <f t="shared" si="23"/>
        <v>0.40177170184515393</v>
      </c>
      <c r="Q129" s="4">
        <f t="shared" si="23"/>
        <v>0.47000183066069567</v>
      </c>
    </row>
    <row r="130" spans="1:17" x14ac:dyDescent="0.25">
      <c r="A130" t="s">
        <v>65</v>
      </c>
    </row>
    <row r="131" spans="1:17" x14ac:dyDescent="0.25">
      <c r="A131" t="s">
        <v>30</v>
      </c>
      <c r="H131" t="s">
        <v>34</v>
      </c>
    </row>
    <row r="132" spans="1:17" x14ac:dyDescent="0.25">
      <c r="A132" s="4" t="s">
        <v>32</v>
      </c>
      <c r="B132" s="4">
        <f>B90</f>
        <v>0.21</v>
      </c>
      <c r="C132" s="4">
        <f t="shared" ref="C132:F132" si="24">C90</f>
        <v>0.23</v>
      </c>
      <c r="D132" s="4">
        <f t="shared" si="24"/>
        <v>0.3</v>
      </c>
      <c r="E132" s="4">
        <f t="shared" si="24"/>
        <v>0.4</v>
      </c>
      <c r="F132" s="4">
        <f t="shared" si="24"/>
        <v>0.83</v>
      </c>
      <c r="H132" s="4" t="s">
        <v>32</v>
      </c>
      <c r="I132" s="4">
        <f>B92</f>
        <v>0.3</v>
      </c>
      <c r="J132" s="4">
        <f t="shared" ref="J132:M132" si="25">C92</f>
        <v>0.33</v>
      </c>
      <c r="K132" s="4">
        <f t="shared" si="25"/>
        <v>0.5</v>
      </c>
      <c r="L132" s="4">
        <f t="shared" si="25"/>
        <v>0.65</v>
      </c>
      <c r="M132" s="4">
        <f t="shared" si="25"/>
        <v>0.86</v>
      </c>
    </row>
    <row r="133" spans="1:17" x14ac:dyDescent="0.25">
      <c r="A133" s="4" t="s">
        <v>66</v>
      </c>
      <c r="B133" s="4">
        <f>340.2*B132</f>
        <v>71.441999999999993</v>
      </c>
      <c r="C133" s="4">
        <f t="shared" ref="C133:F133" si="26">340.2*C132</f>
        <v>78.245999999999995</v>
      </c>
      <c r="D133" s="4">
        <f t="shared" si="26"/>
        <v>102.05999999999999</v>
      </c>
      <c r="E133" s="4">
        <f t="shared" si="26"/>
        <v>136.08000000000001</v>
      </c>
      <c r="F133" s="4">
        <f t="shared" si="26"/>
        <v>282.36599999999999</v>
      </c>
      <c r="H133" s="4" t="s">
        <v>66</v>
      </c>
      <c r="I133" s="4">
        <f>316.4*I132</f>
        <v>94.919999999999987</v>
      </c>
      <c r="J133" s="4">
        <f t="shared" ref="J133:M133" si="27">316.4*J132</f>
        <v>104.41199999999999</v>
      </c>
      <c r="K133" s="4">
        <f t="shared" si="27"/>
        <v>158.19999999999999</v>
      </c>
      <c r="L133" s="4">
        <f t="shared" si="27"/>
        <v>205.66</v>
      </c>
      <c r="M133" s="4">
        <f t="shared" si="27"/>
        <v>272.10399999999998</v>
      </c>
    </row>
    <row r="134" spans="1:17" x14ac:dyDescent="0.25">
      <c r="A134" s="6" t="s">
        <v>58</v>
      </c>
      <c r="B134" s="6">
        <v>266</v>
      </c>
      <c r="C134" s="6">
        <v>266</v>
      </c>
      <c r="D134" s="6">
        <v>250</v>
      </c>
      <c r="E134" s="6">
        <v>246.4</v>
      </c>
      <c r="F134" s="6">
        <v>266</v>
      </c>
      <c r="H134" s="6" t="s">
        <v>58</v>
      </c>
      <c r="I134" s="6">
        <v>150</v>
      </c>
      <c r="J134" s="6">
        <v>150</v>
      </c>
      <c r="K134" s="6">
        <v>150</v>
      </c>
      <c r="L134" s="6">
        <v>160</v>
      </c>
      <c r="M134" s="6">
        <v>170</v>
      </c>
    </row>
    <row r="135" spans="1:17" x14ac:dyDescent="0.25">
      <c r="A135" s="6" t="s">
        <v>67</v>
      </c>
      <c r="B135" s="6">
        <v>50</v>
      </c>
      <c r="C135" s="6">
        <v>45</v>
      </c>
      <c r="D135" s="6">
        <v>34.9</v>
      </c>
      <c r="E135" s="6">
        <v>38.5</v>
      </c>
      <c r="F135" s="6">
        <v>266</v>
      </c>
      <c r="H135" s="6" t="s">
        <v>67</v>
      </c>
      <c r="I135" s="6">
        <v>48.5</v>
      </c>
      <c r="J135" s="6">
        <v>48.5</v>
      </c>
      <c r="K135" s="6">
        <v>38.590000000000003</v>
      </c>
      <c r="L135" s="6">
        <v>40</v>
      </c>
      <c r="M135" s="6">
        <v>170</v>
      </c>
    </row>
    <row r="136" spans="1:17" x14ac:dyDescent="0.25">
      <c r="A136" s="4" t="s">
        <v>68</v>
      </c>
      <c r="B136" s="4">
        <f>B134-B135</f>
        <v>216</v>
      </c>
      <c r="C136" s="4">
        <f t="shared" ref="C136:F136" si="28">C134-C135</f>
        <v>221</v>
      </c>
      <c r="D136" s="4">
        <f t="shared" si="28"/>
        <v>215.1</v>
      </c>
      <c r="E136" s="4">
        <f t="shared" si="28"/>
        <v>207.9</v>
      </c>
      <c r="F136" s="4">
        <f t="shared" si="28"/>
        <v>0</v>
      </c>
      <c r="H136" s="4" t="s">
        <v>68</v>
      </c>
      <c r="I136" s="4">
        <f>I134-I135</f>
        <v>101.5</v>
      </c>
      <c r="J136" s="4">
        <f t="shared" ref="J136:M136" si="29">J134-J135</f>
        <v>101.5</v>
      </c>
      <c r="K136" s="4">
        <f t="shared" si="29"/>
        <v>111.41</v>
      </c>
      <c r="L136" s="4">
        <f t="shared" si="29"/>
        <v>120</v>
      </c>
      <c r="M136" s="4">
        <f t="shared" si="29"/>
        <v>0</v>
      </c>
    </row>
    <row r="137" spans="1:17" x14ac:dyDescent="0.25">
      <c r="A137" s="4" t="s">
        <v>69</v>
      </c>
      <c r="B137" s="4">
        <f>B136*B133*1000/$C$22/9.81</f>
        <v>24.617133996640391</v>
      </c>
      <c r="C137" s="4">
        <f t="shared" ref="C137:F137" si="30">C136*C133*1000/$C$22/9.81</f>
        <v>27.585734591032431</v>
      </c>
      <c r="D137" s="4">
        <f t="shared" si="30"/>
        <v>35.020803721411028</v>
      </c>
      <c r="E137" s="4">
        <f t="shared" si="30"/>
        <v>45.131412327174054</v>
      </c>
      <c r="F137" s="4">
        <f t="shared" si="30"/>
        <v>0</v>
      </c>
      <c r="H137" s="4" t="s">
        <v>69</v>
      </c>
      <c r="I137" s="4">
        <f>I136*I133*1000/$C$22/9.81</f>
        <v>15.369293573195884</v>
      </c>
      <c r="J137" s="4">
        <f t="shared" ref="J137:M137" si="31">J136*J133*1000/$C$22/9.81</f>
        <v>16.906222930515472</v>
      </c>
      <c r="K137" s="4">
        <f t="shared" si="31"/>
        <v>28.11646957290235</v>
      </c>
      <c r="L137" s="4">
        <f t="shared" si="31"/>
        <v>39.369619005230838</v>
      </c>
      <c r="M137" s="4">
        <f t="shared" si="31"/>
        <v>0</v>
      </c>
    </row>
    <row r="140" spans="1:17" x14ac:dyDescent="0.25">
      <c r="A140" t="s">
        <v>33</v>
      </c>
      <c r="H140" t="s">
        <v>35</v>
      </c>
    </row>
    <row r="141" spans="1:17" x14ac:dyDescent="0.25">
      <c r="A141" s="4" t="s">
        <v>32</v>
      </c>
      <c r="B141" s="4">
        <f>B91</f>
        <v>0.25</v>
      </c>
      <c r="C141" s="4">
        <f t="shared" ref="C141:F141" si="32">C91</f>
        <v>0.3</v>
      </c>
      <c r="D141" s="4">
        <f t="shared" si="32"/>
        <v>0.4</v>
      </c>
      <c r="E141" s="4">
        <f t="shared" si="32"/>
        <v>0.48</v>
      </c>
      <c r="F141" s="4">
        <f t="shared" si="32"/>
        <v>0.85</v>
      </c>
      <c r="H141" s="4" t="s">
        <v>32</v>
      </c>
      <c r="I141" s="4">
        <f>B93</f>
        <v>0.45</v>
      </c>
      <c r="J141" s="4">
        <f t="shared" ref="J141:M141" si="33">C93</f>
        <v>0.5</v>
      </c>
      <c r="K141" s="4">
        <f t="shared" si="33"/>
        <v>0.7</v>
      </c>
      <c r="L141" s="4">
        <f t="shared" si="33"/>
        <v>0.78</v>
      </c>
      <c r="M141" s="4">
        <f t="shared" si="33"/>
        <v>0.9</v>
      </c>
    </row>
    <row r="142" spans="1:17" x14ac:dyDescent="0.25">
      <c r="A142" s="4" t="s">
        <v>66</v>
      </c>
      <c r="B142" s="4">
        <f>328.5*B141</f>
        <v>82.125</v>
      </c>
      <c r="C142" s="4">
        <f t="shared" ref="C142:F142" si="34">328.5*C141</f>
        <v>98.55</v>
      </c>
      <c r="D142" s="4">
        <f t="shared" si="34"/>
        <v>131.4</v>
      </c>
      <c r="E142" s="4">
        <f t="shared" si="34"/>
        <v>157.68</v>
      </c>
      <c r="F142" s="4">
        <f t="shared" si="34"/>
        <v>279.22499999999997</v>
      </c>
      <c r="H142" s="4" t="s">
        <v>66</v>
      </c>
      <c r="I142" s="4">
        <f>295*I141</f>
        <v>132.75</v>
      </c>
      <c r="J142" s="4">
        <f t="shared" ref="J142:M142" si="35">295*J141</f>
        <v>147.5</v>
      </c>
      <c r="K142" s="4">
        <f t="shared" si="35"/>
        <v>206.5</v>
      </c>
      <c r="L142" s="4">
        <f t="shared" si="35"/>
        <v>230.1</v>
      </c>
      <c r="M142" s="4">
        <f t="shared" si="35"/>
        <v>265.5</v>
      </c>
    </row>
    <row r="143" spans="1:17" x14ac:dyDescent="0.25">
      <c r="A143" s="6" t="s">
        <v>58</v>
      </c>
      <c r="B143" s="6">
        <v>210</v>
      </c>
      <c r="C143" s="6">
        <v>210</v>
      </c>
      <c r="D143" s="6">
        <v>210</v>
      </c>
      <c r="E143" s="6">
        <v>210</v>
      </c>
      <c r="F143" s="6">
        <v>210</v>
      </c>
      <c r="H143" s="6" t="s">
        <v>58</v>
      </c>
      <c r="I143" s="6">
        <v>98</v>
      </c>
      <c r="J143" s="6">
        <v>100</v>
      </c>
      <c r="K143" s="6">
        <v>101</v>
      </c>
      <c r="L143" s="6">
        <v>103.6</v>
      </c>
      <c r="M143" s="6">
        <v>105</v>
      </c>
    </row>
    <row r="144" spans="1:17" x14ac:dyDescent="0.25">
      <c r="A144" s="6" t="s">
        <v>67</v>
      </c>
      <c r="B144" s="6">
        <v>60</v>
      </c>
      <c r="C144" s="6">
        <v>38.700000000000003</v>
      </c>
      <c r="D144" s="6">
        <v>35.14</v>
      </c>
      <c r="E144" s="6">
        <v>40.24</v>
      </c>
      <c r="F144" s="6">
        <v>210</v>
      </c>
      <c r="H144" s="6" t="s">
        <v>67</v>
      </c>
      <c r="I144" s="6">
        <v>50</v>
      </c>
      <c r="J144" s="6">
        <v>41</v>
      </c>
      <c r="K144" s="6">
        <v>35.74</v>
      </c>
      <c r="L144" s="6">
        <v>38.01</v>
      </c>
      <c r="M144" s="6">
        <v>105</v>
      </c>
    </row>
    <row r="145" spans="1:15" x14ac:dyDescent="0.25">
      <c r="A145" s="4" t="s">
        <v>68</v>
      </c>
      <c r="B145" s="4">
        <f>B143-B144</f>
        <v>150</v>
      </c>
      <c r="C145" s="4">
        <f t="shared" ref="C145:F145" si="36">C143-C144</f>
        <v>171.3</v>
      </c>
      <c r="D145" s="4">
        <f t="shared" si="36"/>
        <v>174.86</v>
      </c>
      <c r="E145" s="4">
        <f t="shared" si="36"/>
        <v>169.76</v>
      </c>
      <c r="F145" s="4">
        <f t="shared" si="36"/>
        <v>0</v>
      </c>
      <c r="H145" s="4" t="s">
        <v>68</v>
      </c>
      <c r="I145" s="4">
        <f>I143-I144</f>
        <v>48</v>
      </c>
      <c r="J145" s="4">
        <f t="shared" ref="J145:M145" si="37">J143-J144</f>
        <v>59</v>
      </c>
      <c r="K145" s="4">
        <f t="shared" si="37"/>
        <v>65.259999999999991</v>
      </c>
      <c r="L145" s="4">
        <f t="shared" si="37"/>
        <v>65.59</v>
      </c>
      <c r="M145" s="4">
        <f t="shared" si="37"/>
        <v>0</v>
      </c>
    </row>
    <row r="146" spans="1:15" x14ac:dyDescent="0.25">
      <c r="A146" s="4" t="s">
        <v>69</v>
      </c>
      <c r="B146" s="4">
        <f>B145*B142*1000/$C$22/9.81</f>
        <v>19.651548434336906</v>
      </c>
      <c r="C146" s="4">
        <f t="shared" ref="C146:F146" si="38">C145*C142*1000/$C$22/9.81</f>
        <v>26.930481974415301</v>
      </c>
      <c r="D146" s="4">
        <f t="shared" si="38"/>
        <v>36.65354409843362</v>
      </c>
      <c r="E146" s="4">
        <f t="shared" si="38"/>
        <v>42.701399836326829</v>
      </c>
      <c r="F146" s="4">
        <f t="shared" si="38"/>
        <v>0</v>
      </c>
      <c r="H146" s="4" t="s">
        <v>69</v>
      </c>
      <c r="I146" s="4">
        <f>I145*I142*1000/$C$22/9.81</f>
        <v>10.164965327130981</v>
      </c>
      <c r="J146" s="4">
        <f t="shared" ref="J146:M146" si="39">J145*J142*1000/$C$22/9.81</f>
        <v>13.882707275479811</v>
      </c>
      <c r="K146" s="4">
        <f t="shared" si="39"/>
        <v>21.497960466388768</v>
      </c>
      <c r="L146" s="4">
        <f t="shared" si="39"/>
        <v>24.076002737457706</v>
      </c>
      <c r="M146" s="4">
        <f t="shared" si="39"/>
        <v>0</v>
      </c>
    </row>
    <row r="149" spans="1:15" x14ac:dyDescent="0.25">
      <c r="J149" s="4" t="s">
        <v>26</v>
      </c>
      <c r="K149" s="4">
        <v>0</v>
      </c>
      <c r="L149" s="4">
        <v>3</v>
      </c>
      <c r="M149" s="4">
        <v>6</v>
      </c>
      <c r="N149" s="4">
        <v>11</v>
      </c>
      <c r="O149" s="6">
        <v>16.75</v>
      </c>
    </row>
    <row r="150" spans="1:15" x14ac:dyDescent="0.25">
      <c r="J150" s="4" t="s">
        <v>71</v>
      </c>
      <c r="K150" s="4">
        <f>MAX(B137:F137)</f>
        <v>45.131412327174054</v>
      </c>
      <c r="L150" s="4">
        <f>MAX(B146:F146)</f>
        <v>42.701399836326829</v>
      </c>
      <c r="M150" s="4">
        <f>MAX(I137:M137)</f>
        <v>39.369619005230838</v>
      </c>
      <c r="N150" s="4">
        <f>MAX(I146:M146)</f>
        <v>24.076002737457706</v>
      </c>
      <c r="O150" s="6">
        <v>0</v>
      </c>
    </row>
    <row r="151" spans="1:15" x14ac:dyDescent="0.25">
      <c r="J151" s="4" t="s">
        <v>72</v>
      </c>
      <c r="K151" s="4">
        <f>1/K150</f>
        <v>2.2157516205135251E-2</v>
      </c>
      <c r="L151" s="4">
        <f t="shared" ref="L151:N151" si="40">1/L150</f>
        <v>2.3418436019263297E-2</v>
      </c>
      <c r="M151" s="4">
        <f t="shared" si="40"/>
        <v>2.5400296606048822E-2</v>
      </c>
      <c r="N151" s="4">
        <f t="shared" si="40"/>
        <v>4.1535134004790135E-2</v>
      </c>
      <c r="O151" s="6" t="s">
        <v>70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2013-01-09T15:14:10Z</dcterms:created>
  <dcterms:modified xsi:type="dcterms:W3CDTF">2013-06-14T04:18:13Z</dcterms:modified>
</cp:coreProperties>
</file>