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995" windowHeight="78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H93" i="1" l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89" i="1"/>
  <c r="AH95" i="1"/>
  <c r="AH96" i="1"/>
  <c r="AH97" i="1"/>
  <c r="AH98" i="1"/>
  <c r="AH99" i="1"/>
  <c r="AH100" i="1"/>
  <c r="AH101" i="1"/>
  <c r="AH94" i="1"/>
  <c r="AH90" i="1"/>
  <c r="AH91" i="1"/>
  <c r="AH92" i="1"/>
  <c r="AH89" i="1"/>
  <c r="I90" i="1" l="1"/>
  <c r="Q92" i="1"/>
  <c r="AG76" i="1"/>
  <c r="E35" i="1"/>
  <c r="AK73" i="1" l="1"/>
  <c r="S73" i="1" s="1"/>
  <c r="AK74" i="1"/>
  <c r="AK75" i="1"/>
  <c r="AK76" i="1"/>
  <c r="S76" i="1" s="1"/>
  <c r="AK77" i="1"/>
  <c r="S77" i="1" s="1"/>
  <c r="AK78" i="1"/>
  <c r="S78" i="1"/>
  <c r="S79" i="1"/>
  <c r="S80" i="1"/>
  <c r="S81" i="1"/>
  <c r="S82" i="1"/>
  <c r="S83" i="1"/>
  <c r="S84" i="1"/>
  <c r="S74" i="1"/>
  <c r="S75" i="1"/>
  <c r="Z81" i="1" l="1"/>
  <c r="Z74" i="1"/>
  <c r="Z75" i="1"/>
  <c r="Z76" i="1"/>
  <c r="Z77" i="1"/>
  <c r="Z78" i="1"/>
  <c r="Z79" i="1"/>
  <c r="Z80" i="1"/>
  <c r="Z82" i="1"/>
  <c r="Z83" i="1"/>
  <c r="Z84" i="1"/>
  <c r="Z73" i="1"/>
  <c r="AC73" i="1" l="1"/>
  <c r="Y91" i="1" l="1"/>
  <c r="Z121" i="1"/>
  <c r="Z120" i="1"/>
  <c r="Z119" i="1"/>
  <c r="Z109" i="1"/>
  <c r="Z108" i="1" l="1"/>
  <c r="AA108" i="1"/>
  <c r="AA109" i="1"/>
  <c r="Y109" i="1"/>
  <c r="Y108" i="1"/>
  <c r="Z107" i="1"/>
  <c r="AA107" i="1"/>
  <c r="Y107" i="1"/>
  <c r="B7" i="1" l="1"/>
  <c r="B8" i="1" l="1"/>
  <c r="AI84" i="1" l="1"/>
  <c r="AH82" i="1"/>
  <c r="AG82" i="1"/>
  <c r="AG83" i="1"/>
  <c r="AH83" i="1" s="1"/>
  <c r="AG73" i="1"/>
  <c r="AG74" i="1"/>
  <c r="AG79" i="1"/>
  <c r="AG80" i="1"/>
  <c r="AG81" i="1"/>
  <c r="AH81" i="1" l="1"/>
  <c r="AH80" i="1" s="1"/>
  <c r="AH79" i="1" s="1"/>
  <c r="X84" i="1"/>
  <c r="W84" i="1"/>
  <c r="T83" i="1"/>
  <c r="T82" i="1" s="1"/>
  <c r="D29" i="1" l="1"/>
  <c r="M83" i="1" l="1"/>
  <c r="M82" i="1"/>
  <c r="M81" i="1"/>
  <c r="M80" i="1"/>
  <c r="M79" i="1"/>
  <c r="M78" i="1"/>
  <c r="M77" i="1"/>
  <c r="M76" i="1"/>
  <c r="M75" i="1"/>
  <c r="M74" i="1"/>
  <c r="M73" i="1"/>
  <c r="I74" i="1" l="1"/>
  <c r="I75" i="1"/>
  <c r="I76" i="1"/>
  <c r="I77" i="1"/>
  <c r="I78" i="1"/>
  <c r="I79" i="1"/>
  <c r="I80" i="1"/>
  <c r="I81" i="1"/>
  <c r="I82" i="1"/>
  <c r="I83" i="1"/>
  <c r="I84" i="1"/>
  <c r="I73" i="1"/>
  <c r="F74" i="1"/>
  <c r="F75" i="1"/>
  <c r="F76" i="1"/>
  <c r="F77" i="1"/>
  <c r="F78" i="1"/>
  <c r="F79" i="1"/>
  <c r="F80" i="1"/>
  <c r="F81" i="1"/>
  <c r="F82" i="1"/>
  <c r="F83" i="1"/>
  <c r="F84" i="1"/>
  <c r="H84" i="1" s="1"/>
  <c r="F73" i="1"/>
  <c r="N66" i="1" l="1"/>
  <c r="C83" i="1" s="1"/>
  <c r="H83" i="1" s="1"/>
  <c r="N65" i="1"/>
  <c r="C82" i="1" s="1"/>
  <c r="H82" i="1" s="1"/>
  <c r="N64" i="1"/>
  <c r="C81" i="1" s="1"/>
  <c r="H81" i="1" s="1"/>
  <c r="N63" i="1"/>
  <c r="C80" i="1" s="1"/>
  <c r="H80" i="1" s="1"/>
  <c r="N62" i="1"/>
  <c r="C79" i="1" s="1"/>
  <c r="H79" i="1" s="1"/>
  <c r="N61" i="1"/>
  <c r="C78" i="1" s="1"/>
  <c r="H78" i="1" s="1"/>
  <c r="N60" i="1"/>
  <c r="C77" i="1" s="1"/>
  <c r="H77" i="1" s="1"/>
  <c r="N59" i="1"/>
  <c r="C76" i="1" s="1"/>
  <c r="H76" i="1" s="1"/>
  <c r="N58" i="1"/>
  <c r="C75" i="1" s="1"/>
  <c r="H75" i="1" s="1"/>
  <c r="N57" i="1"/>
  <c r="C74" i="1" s="1"/>
  <c r="H74" i="1" s="1"/>
  <c r="N56" i="1"/>
  <c r="C73" i="1" s="1"/>
  <c r="H73" i="1" s="1"/>
  <c r="B55" i="1"/>
  <c r="B54" i="1"/>
  <c r="R96" i="1" s="1"/>
  <c r="B52" i="1"/>
  <c r="B36" i="1"/>
  <c r="AG77" i="1" s="1"/>
  <c r="B34" i="1" l="1"/>
  <c r="B51" i="1"/>
  <c r="B45" i="1" l="1"/>
  <c r="D45" i="1" s="1"/>
  <c r="B41" i="1" l="1"/>
  <c r="B30" i="1" l="1"/>
  <c r="H29" i="1" l="1"/>
  <c r="H28" i="1"/>
  <c r="AG78" i="1" s="1"/>
  <c r="AH78" i="1" s="1"/>
  <c r="AH77" i="1" s="1"/>
  <c r="AH76" i="1" s="1"/>
  <c r="H27" i="1"/>
  <c r="AG75" i="1" s="1"/>
  <c r="B23" i="1"/>
  <c r="B31" i="1" s="1"/>
  <c r="B9" i="1"/>
  <c r="B28" i="1" s="1"/>
  <c r="AH75" i="1" l="1"/>
  <c r="AH74" i="1" s="1"/>
  <c r="AH73" i="1" s="1"/>
  <c r="Y96" i="1"/>
  <c r="AA96" i="1" s="1"/>
  <c r="K90" i="1"/>
  <c r="J73" i="1"/>
  <c r="Y73" i="1" s="1"/>
  <c r="AA91" i="1"/>
  <c r="K84" i="1"/>
  <c r="K75" i="1"/>
  <c r="K82" i="1"/>
  <c r="K76" i="1"/>
  <c r="K73" i="1"/>
  <c r="K78" i="1"/>
  <c r="K83" i="1"/>
  <c r="K77" i="1"/>
  <c r="K74" i="1"/>
  <c r="K81" i="1"/>
  <c r="K79" i="1"/>
  <c r="K80" i="1"/>
  <c r="T81" i="1"/>
  <c r="T80" i="1" s="1"/>
  <c r="N84" i="1"/>
  <c r="Q84" i="1" s="1"/>
  <c r="N75" i="1"/>
  <c r="N80" i="1"/>
  <c r="N74" i="1"/>
  <c r="N79" i="1"/>
  <c r="N73" i="1"/>
  <c r="N78" i="1"/>
  <c r="N83" i="1"/>
  <c r="U83" i="1" s="1"/>
  <c r="V83" i="1" s="1"/>
  <c r="N77" i="1"/>
  <c r="N82" i="1"/>
  <c r="U82" i="1" s="1"/>
  <c r="N76" i="1"/>
  <c r="N81" i="1"/>
  <c r="B50" i="1"/>
  <c r="B42" i="1"/>
  <c r="B27" i="1"/>
  <c r="L73" i="1" l="1"/>
  <c r="U81" i="1"/>
  <c r="V82" i="1"/>
  <c r="T79" i="1"/>
  <c r="T78" i="1" s="1"/>
  <c r="T77" i="1" s="1"/>
  <c r="T76" i="1" s="1"/>
  <c r="U80" i="1"/>
  <c r="B32" i="1"/>
  <c r="J75" i="1"/>
  <c r="L75" i="1" s="1"/>
  <c r="J79" i="1"/>
  <c r="L79" i="1" s="1"/>
  <c r="J83" i="1"/>
  <c r="L83" i="1" s="1"/>
  <c r="J76" i="1"/>
  <c r="L76" i="1" s="1"/>
  <c r="J80" i="1"/>
  <c r="L80" i="1" s="1"/>
  <c r="J84" i="1"/>
  <c r="L84" i="1" s="1"/>
  <c r="J77" i="1"/>
  <c r="L77" i="1" s="1"/>
  <c r="J81" i="1"/>
  <c r="L81" i="1" s="1"/>
  <c r="J74" i="1"/>
  <c r="L74" i="1" s="1"/>
  <c r="J78" i="1"/>
  <c r="L78" i="1" s="1"/>
  <c r="O78" i="1" s="1"/>
  <c r="J82" i="1"/>
  <c r="L82" i="1" s="1"/>
  <c r="O82" i="1" s="1"/>
  <c r="B47" i="1"/>
  <c r="B46" i="1"/>
  <c r="V81" i="1" l="1"/>
  <c r="U77" i="1"/>
  <c r="U76" i="1"/>
  <c r="O75" i="1"/>
  <c r="O81" i="1"/>
  <c r="O76" i="1"/>
  <c r="O73" i="1"/>
  <c r="O80" i="1"/>
  <c r="O79" i="1"/>
  <c r="O77" i="1"/>
  <c r="O83" i="1"/>
  <c r="O74" i="1"/>
  <c r="Y82" i="1"/>
  <c r="AC82" i="1" s="1"/>
  <c r="Y81" i="1"/>
  <c r="AC81" i="1" s="1"/>
  <c r="Y76" i="1"/>
  <c r="AC76" i="1" s="1"/>
  <c r="Y78" i="1"/>
  <c r="AC78" i="1" s="1"/>
  <c r="Y77" i="1"/>
  <c r="AC77" i="1" s="1"/>
  <c r="Y83" i="1"/>
  <c r="AC83" i="1" s="1"/>
  <c r="Y74" i="1"/>
  <c r="AC74" i="1" s="1"/>
  <c r="O84" i="1"/>
  <c r="Y84" i="1"/>
  <c r="AC84" i="1" s="1"/>
  <c r="Y79" i="1"/>
  <c r="AC79" i="1" s="1"/>
  <c r="Y80" i="1"/>
  <c r="AC80" i="1" s="1"/>
  <c r="Y75" i="1"/>
  <c r="AC75" i="1" s="1"/>
  <c r="V80" i="1"/>
  <c r="U79" i="1"/>
  <c r="T75" i="1"/>
  <c r="T74" i="1" l="1"/>
  <c r="U74" i="1" s="1"/>
  <c r="U75" i="1"/>
  <c r="AD75" i="1"/>
  <c r="AD80" i="1"/>
  <c r="AD78" i="1"/>
  <c r="AD81" i="1"/>
  <c r="AD83" i="1"/>
  <c r="AE83" i="1" s="1"/>
  <c r="P83" i="1"/>
  <c r="Q83" i="1" s="1"/>
  <c r="AD79" i="1"/>
  <c r="AD74" i="1"/>
  <c r="AD73" i="1"/>
  <c r="AD77" i="1"/>
  <c r="AD76" i="1"/>
  <c r="AD82" i="1"/>
  <c r="V79" i="1"/>
  <c r="V78" i="1" s="1"/>
  <c r="V77" i="1" s="1"/>
  <c r="V76" i="1" s="1"/>
  <c r="T73" i="1" l="1"/>
  <c r="U73" i="1" s="1"/>
  <c r="R83" i="1"/>
  <c r="X83" i="1" s="1"/>
  <c r="W83" i="1"/>
  <c r="AI83" i="1"/>
  <c r="AE82" i="1"/>
  <c r="P82" i="1"/>
  <c r="V75" i="1"/>
  <c r="V74" i="1" s="1"/>
  <c r="V73" i="1" l="1"/>
  <c r="P81" i="1"/>
  <c r="Q81" i="1" s="1"/>
  <c r="Q82" i="1"/>
  <c r="R82" i="1" s="1"/>
  <c r="X82" i="1" s="1"/>
  <c r="AE81" i="1"/>
  <c r="AI82" i="1"/>
  <c r="W82" i="1"/>
  <c r="P80" i="1" l="1"/>
  <c r="Q80" i="1" s="1"/>
  <c r="W81" i="1"/>
  <c r="AE80" i="1"/>
  <c r="AI81" i="1"/>
  <c r="W80" i="1"/>
  <c r="R81" i="1"/>
  <c r="X81" i="1" s="1"/>
  <c r="P79" i="1" l="1"/>
  <c r="Q79" i="1" s="1"/>
  <c r="R80" i="1"/>
  <c r="X80" i="1" s="1"/>
  <c r="AE79" i="1"/>
  <c r="AI80" i="1"/>
  <c r="P78" i="1" l="1"/>
  <c r="Q78" i="1" s="1"/>
  <c r="W79" i="1"/>
  <c r="R79" i="1"/>
  <c r="X79" i="1" s="1"/>
  <c r="AE78" i="1"/>
  <c r="AI79" i="1"/>
  <c r="P77" i="1" l="1"/>
  <c r="Q77" i="1" s="1"/>
  <c r="W78" i="1"/>
  <c r="R78" i="1"/>
  <c r="X78" i="1" s="1"/>
  <c r="AE77" i="1"/>
  <c r="AI78" i="1"/>
  <c r="P76" i="1" l="1"/>
  <c r="Q76" i="1" s="1"/>
  <c r="W77" i="1"/>
  <c r="R77" i="1"/>
  <c r="X77" i="1" s="1"/>
  <c r="AE76" i="1"/>
  <c r="AI77" i="1"/>
  <c r="P75" i="1" l="1"/>
  <c r="Q75" i="1" s="1"/>
  <c r="W76" i="1"/>
  <c r="R76" i="1"/>
  <c r="X76" i="1" s="1"/>
  <c r="AE75" i="1"/>
  <c r="AI76" i="1"/>
  <c r="Z118" i="1" s="1"/>
  <c r="P74" i="1"/>
  <c r="Q74" i="1" s="1"/>
  <c r="AA112" i="1" l="1"/>
  <c r="Z112" i="1"/>
  <c r="Y112" i="1"/>
  <c r="Z115" i="1"/>
  <c r="Y115" i="1"/>
  <c r="AA115" i="1"/>
  <c r="W75" i="1"/>
  <c r="R75" i="1"/>
  <c r="X75" i="1" s="1"/>
  <c r="AE74" i="1"/>
  <c r="AI75" i="1"/>
  <c r="Z117" i="1" s="1"/>
  <c r="W74" i="1"/>
  <c r="P73" i="1"/>
  <c r="Q73" i="1" s="1"/>
  <c r="AA111" i="1" l="1"/>
  <c r="Z111" i="1"/>
  <c r="Y111" i="1"/>
  <c r="AA114" i="1"/>
  <c r="Z114" i="1"/>
  <c r="Y114" i="1"/>
  <c r="R74" i="1"/>
  <c r="X74" i="1" s="1"/>
  <c r="AE73" i="1"/>
  <c r="AI73" i="1" s="1"/>
  <c r="AI74" i="1"/>
  <c r="W73" i="1"/>
  <c r="N90" i="1" l="1"/>
  <c r="N92" i="1" s="1"/>
  <c r="Y113" i="1"/>
  <c r="Z113" i="1"/>
  <c r="AA113" i="1"/>
  <c r="AC96" i="1"/>
  <c r="Y98" i="1" s="1"/>
  <c r="Z116" i="1"/>
  <c r="R73" i="1"/>
  <c r="X73" i="1" s="1"/>
  <c r="AC91" i="1" l="1"/>
  <c r="Y93" i="1" s="1"/>
  <c r="Z110" i="1"/>
  <c r="AA110" i="1"/>
  <c r="Y110" i="1"/>
</calcChain>
</file>

<file path=xl/sharedStrings.xml><?xml version="1.0" encoding="utf-8"?>
<sst xmlns="http://schemas.openxmlformats.org/spreadsheetml/2006/main" count="157" uniqueCount="116">
  <si>
    <r>
      <t>S</t>
    </r>
    <r>
      <rPr>
        <sz val="8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=</t>
    </r>
  </si>
  <si>
    <r>
      <t>m</t>
    </r>
    <r>
      <rPr>
        <vertAlign val="superscript"/>
        <sz val="12"/>
        <color theme="1"/>
        <rFont val="Calibri"/>
        <family val="2"/>
        <scheme val="minor"/>
      </rPr>
      <t>2</t>
    </r>
  </si>
  <si>
    <r>
      <t>L</t>
    </r>
    <r>
      <rPr>
        <sz val="8"/>
        <color theme="1"/>
        <rFont val="Calibri"/>
        <family val="2"/>
        <scheme val="minor"/>
      </rPr>
      <t>W=</t>
    </r>
  </si>
  <si>
    <t>m</t>
  </si>
  <si>
    <t>FROM EQUIVALENT WING</t>
  </si>
  <si>
    <r>
      <t>b</t>
    </r>
    <r>
      <rPr>
        <sz val="8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=</t>
    </r>
  </si>
  <si>
    <r>
      <t>b</t>
    </r>
    <r>
      <rPr>
        <sz val="8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</t>
    </r>
  </si>
  <si>
    <r>
      <t>S</t>
    </r>
    <r>
      <rPr>
        <sz val="8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=</t>
    </r>
  </si>
  <si>
    <t>Lw=</t>
  </si>
  <si>
    <t>The airfoil NACA -2214</t>
  </si>
  <si>
    <t>Geometric characteristic of airfoil</t>
  </si>
  <si>
    <t xml:space="preserve">Aerodynamic characteristic of airfoil </t>
  </si>
  <si>
    <t>X</t>
  </si>
  <si>
    <t>Yt</t>
  </si>
  <si>
    <t>Yb</t>
  </si>
  <si>
    <t>h</t>
  </si>
  <si>
    <t>Cy</t>
  </si>
  <si>
    <t>Сх</t>
  </si>
  <si>
    <t>-</t>
  </si>
  <si>
    <r>
      <t xml:space="preserve">(in </t>
    </r>
    <r>
      <rPr>
        <b/>
        <i/>
        <sz val="14"/>
        <color theme="1"/>
        <rFont val="Times New Roman"/>
        <family val="1"/>
      </rPr>
      <t>%</t>
    </r>
    <r>
      <rPr>
        <b/>
        <sz val="14"/>
        <color theme="1"/>
        <rFont val="Times New Roman"/>
        <family val="1"/>
      </rPr>
      <t xml:space="preserve"> from chord)</t>
    </r>
  </si>
  <si>
    <r>
      <t>a</t>
    </r>
    <r>
      <rPr>
        <b/>
        <sz val="14"/>
        <color theme="1"/>
        <rFont val="Times New Roman"/>
        <family val="1"/>
      </rPr>
      <t>°</t>
    </r>
  </si>
  <si>
    <r>
      <t>C</t>
    </r>
    <r>
      <rPr>
        <b/>
        <vertAlign val="subscript"/>
        <sz val="14"/>
        <color theme="1"/>
        <rFont val="Times New Roman"/>
        <family val="1"/>
      </rPr>
      <t>cp</t>
    </r>
  </si>
  <si>
    <t>z1=</t>
  </si>
  <si>
    <t>z2=</t>
  </si>
  <si>
    <t>z3=</t>
  </si>
  <si>
    <r>
      <t>P</t>
    </r>
    <r>
      <rPr>
        <sz val="8"/>
        <color theme="1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=</t>
    </r>
  </si>
  <si>
    <r>
      <t>G</t>
    </r>
    <r>
      <rPr>
        <sz val="8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=</t>
    </r>
  </si>
  <si>
    <t>kg</t>
  </si>
  <si>
    <t>N</t>
  </si>
  <si>
    <t>z0=</t>
  </si>
  <si>
    <r>
      <t>L</t>
    </r>
    <r>
      <rPr>
        <sz val="8"/>
        <color theme="1"/>
        <rFont val="Calibri"/>
        <family val="2"/>
        <scheme val="minor"/>
      </rPr>
      <t>w/2</t>
    </r>
    <r>
      <rPr>
        <sz val="12"/>
        <color theme="1"/>
        <rFont val="Calibri"/>
        <family val="2"/>
        <scheme val="minor"/>
      </rPr>
      <t>=</t>
    </r>
  </si>
  <si>
    <r>
      <t>m</t>
    </r>
    <r>
      <rPr>
        <sz val="8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=</t>
    </r>
  </si>
  <si>
    <r>
      <t>G</t>
    </r>
    <r>
      <rPr>
        <sz val="8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=</t>
    </r>
  </si>
  <si>
    <r>
      <t>G</t>
    </r>
    <r>
      <rPr>
        <sz val="8"/>
        <color theme="1"/>
        <rFont val="Calibri"/>
        <family val="2"/>
        <scheme val="minor"/>
      </rPr>
      <t>fl</t>
    </r>
    <r>
      <rPr>
        <sz val="12"/>
        <color theme="1"/>
        <rFont val="Calibri"/>
        <family val="2"/>
        <scheme val="minor"/>
      </rPr>
      <t>=</t>
    </r>
  </si>
  <si>
    <r>
      <t>S</t>
    </r>
    <r>
      <rPr>
        <b/>
        <i/>
        <vertAlign val="subscript"/>
        <sz val="14"/>
        <color theme="1"/>
        <rFont val="Times New Roman"/>
        <family val="1"/>
      </rPr>
      <t>w</t>
    </r>
    <r>
      <rPr>
        <b/>
        <i/>
        <sz val="14"/>
        <color theme="1"/>
        <rFont val="Times New Roman"/>
        <family val="1"/>
      </rPr>
      <t xml:space="preserve"> = 0.5 (b</t>
    </r>
    <r>
      <rPr>
        <b/>
        <i/>
        <vertAlign val="subscript"/>
        <sz val="14"/>
        <color theme="1"/>
        <rFont val="Times New Roman"/>
        <family val="1"/>
      </rPr>
      <t>r</t>
    </r>
    <r>
      <rPr>
        <b/>
        <i/>
        <sz val="14"/>
        <color theme="1"/>
        <rFont val="Times New Roman"/>
        <family val="1"/>
      </rPr>
      <t xml:space="preserve"> + b</t>
    </r>
    <r>
      <rPr>
        <b/>
        <i/>
        <vertAlign val="subscript"/>
        <sz val="14"/>
        <color theme="1"/>
        <rFont val="Times New Roman"/>
        <family val="1"/>
      </rPr>
      <t>t</t>
    </r>
    <r>
      <rPr>
        <b/>
        <i/>
        <sz val="14"/>
        <color theme="1"/>
        <rFont val="Times New Roman"/>
        <family val="1"/>
      </rPr>
      <t>) L</t>
    </r>
    <r>
      <rPr>
        <b/>
        <i/>
        <vertAlign val="subscript"/>
        <sz val="14"/>
        <color theme="1"/>
        <rFont val="Times New Roman"/>
        <family val="1"/>
      </rPr>
      <t>w</t>
    </r>
    <r>
      <rPr>
        <b/>
        <i/>
        <sz val="14"/>
        <color theme="1"/>
        <rFont val="Times New Roman"/>
        <family val="1"/>
      </rPr>
      <t xml:space="preserve"> .                                                         </t>
    </r>
  </si>
  <si>
    <t xml:space="preserve">     </t>
  </si>
  <si>
    <t>n'=</t>
  </si>
  <si>
    <r>
      <rPr>
        <sz val="12"/>
        <color theme="1"/>
        <rFont val="Calibri"/>
        <family val="2"/>
      </rPr>
      <t>ρ</t>
    </r>
    <r>
      <rPr>
        <sz val="8"/>
        <color theme="1"/>
        <rFont val="Calibri"/>
        <family val="2"/>
      </rPr>
      <t>o</t>
    </r>
    <r>
      <rPr>
        <sz val="12"/>
        <color theme="1"/>
        <rFont val="Calibri"/>
        <family val="2"/>
      </rPr>
      <t>=</t>
    </r>
  </si>
  <si>
    <r>
      <t>kg*c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/m</t>
    </r>
  </si>
  <si>
    <t>V=</t>
  </si>
  <si>
    <t>km/hr</t>
  </si>
  <si>
    <t>m/s</t>
  </si>
  <si>
    <t>Cy=</t>
  </si>
  <si>
    <t>α=</t>
  </si>
  <si>
    <t>kg/m3</t>
  </si>
  <si>
    <t>ϴ=</t>
  </si>
  <si>
    <t>Cxa=</t>
  </si>
  <si>
    <t>Y=</t>
  </si>
  <si>
    <t>X=</t>
  </si>
  <si>
    <t>f=</t>
  </si>
  <si>
    <r>
      <t>m</t>
    </r>
    <r>
      <rPr>
        <vertAlign val="subscript"/>
        <sz val="12"/>
        <color theme="1"/>
        <rFont val="Calibri"/>
        <family val="2"/>
        <scheme val="minor"/>
      </rPr>
      <t>wing</t>
    </r>
    <r>
      <rPr>
        <sz val="12"/>
        <color theme="1"/>
        <rFont val="Calibri"/>
        <family val="2"/>
        <scheme val="minor"/>
      </rPr>
      <t>=</t>
    </r>
  </si>
  <si>
    <t>ultimate load</t>
  </si>
  <si>
    <r>
      <t>P</t>
    </r>
    <r>
      <rPr>
        <sz val="8"/>
        <color theme="1"/>
        <rFont val="Calibri"/>
        <family val="2"/>
        <scheme val="minor"/>
      </rPr>
      <t>yw</t>
    </r>
    <r>
      <rPr>
        <sz val="12"/>
        <color theme="1"/>
        <rFont val="Calibri"/>
        <family val="2"/>
        <scheme val="minor"/>
      </rPr>
      <t>=</t>
    </r>
  </si>
  <si>
    <t>;</t>
  </si>
  <si>
    <t>,</t>
  </si>
  <si>
    <r>
      <t>P</t>
    </r>
    <r>
      <rPr>
        <sz val="8"/>
        <color theme="1"/>
        <rFont val="Calibri"/>
        <family val="2"/>
        <scheme val="minor"/>
      </rPr>
      <t>y.ag</t>
    </r>
    <r>
      <rPr>
        <sz val="12"/>
        <color theme="1"/>
        <rFont val="Calibri"/>
        <family val="2"/>
        <scheme val="minor"/>
      </rPr>
      <t>=</t>
    </r>
  </si>
  <si>
    <t>mpp=</t>
  </si>
  <si>
    <t>η=</t>
  </si>
  <si>
    <t>λ=</t>
  </si>
  <si>
    <t>=2z/l</t>
  </si>
  <si>
    <t>From linear interpolation</t>
  </si>
  <si>
    <r>
      <t>Г</t>
    </r>
    <r>
      <rPr>
        <b/>
        <vertAlign val="subscript"/>
        <sz val="14"/>
        <color theme="1"/>
        <rFont val="Times New Roman"/>
        <family val="1"/>
      </rPr>
      <t>f</t>
    </r>
    <r>
      <rPr>
        <b/>
        <sz val="14"/>
        <color theme="1"/>
        <rFont val="Times New Roman"/>
        <family val="1"/>
      </rPr>
      <t xml:space="preserve"> </t>
    </r>
  </si>
  <si>
    <t>η</t>
  </si>
  <si>
    <r>
      <t>D</t>
    </r>
    <r>
      <rPr>
        <b/>
        <i/>
        <sz val="14"/>
        <color theme="1"/>
        <rFont val="Times New Roman"/>
        <family val="1"/>
      </rPr>
      <t>Г</t>
    </r>
    <r>
      <rPr>
        <b/>
        <i/>
        <vertAlign val="subscript"/>
        <sz val="14"/>
        <color theme="1"/>
        <rFont val="Times New Roman"/>
        <family val="1"/>
      </rPr>
      <t>s</t>
    </r>
    <r>
      <rPr>
        <b/>
        <i/>
        <sz val="14"/>
        <color theme="1"/>
        <rFont val="Times New Roman"/>
        <family val="1"/>
      </rPr>
      <t xml:space="preserve"> (45</t>
    </r>
    <r>
      <rPr>
        <b/>
        <i/>
        <sz val="14"/>
        <color theme="1"/>
        <rFont val="Symbol"/>
        <family val="1"/>
        <charset val="2"/>
      </rPr>
      <t>°</t>
    </r>
    <r>
      <rPr>
        <b/>
        <i/>
        <sz val="14"/>
        <color theme="1"/>
        <rFont val="Times New Roman"/>
        <family val="1"/>
      </rPr>
      <t>)</t>
    </r>
  </si>
  <si>
    <t>χ=</t>
  </si>
  <si>
    <t xml:space="preserve"> </t>
  </si>
  <si>
    <r>
      <t>D</t>
    </r>
    <r>
      <rPr>
        <b/>
        <i/>
        <sz val="16"/>
        <color theme="1"/>
        <rFont val="Times New Roman"/>
        <family val="1"/>
      </rPr>
      <t>z</t>
    </r>
    <r>
      <rPr>
        <b/>
        <i/>
        <vertAlign val="subscript"/>
        <sz val="16"/>
        <color theme="1"/>
        <rFont val="Times New Roman"/>
        <family val="1"/>
      </rPr>
      <t>11bar</t>
    </r>
  </si>
  <si>
    <r>
      <t>D</t>
    </r>
    <r>
      <rPr>
        <b/>
        <i/>
        <sz val="16"/>
        <color theme="1"/>
        <rFont val="Times New Roman"/>
        <family val="1"/>
      </rPr>
      <t>z</t>
    </r>
  </si>
  <si>
    <r>
      <t>D</t>
    </r>
    <r>
      <rPr>
        <b/>
        <i/>
        <sz val="16"/>
        <color theme="1"/>
        <rFont val="Times New Roman"/>
        <family val="1"/>
      </rPr>
      <t>Q</t>
    </r>
  </si>
  <si>
    <t>Q</t>
  </si>
  <si>
    <r>
      <t>D</t>
    </r>
    <r>
      <rPr>
        <b/>
        <i/>
        <sz val="16"/>
        <color theme="1"/>
        <rFont val="Times New Roman"/>
        <family val="1"/>
      </rPr>
      <t>M</t>
    </r>
  </si>
  <si>
    <t>M</t>
  </si>
  <si>
    <t>tank1</t>
  </si>
  <si>
    <t>tank2</t>
  </si>
  <si>
    <t>tank3</t>
  </si>
  <si>
    <r>
      <t>D</t>
    </r>
    <r>
      <rPr>
        <b/>
        <i/>
        <sz val="14"/>
        <color theme="1"/>
        <rFont val="Arial"/>
        <family val="2"/>
      </rPr>
      <t>qic</t>
    </r>
  </si>
  <si>
    <r>
      <rPr>
        <b/>
        <i/>
        <sz val="14"/>
        <color theme="1"/>
        <rFont val="Arial"/>
        <family val="2"/>
      </rPr>
      <t>Q</t>
    </r>
    <r>
      <rPr>
        <b/>
        <i/>
        <vertAlign val="subscript"/>
        <sz val="14"/>
        <color theme="1"/>
        <rFont val="Arial"/>
        <family val="2"/>
      </rPr>
      <t>ic</t>
    </r>
    <r>
      <rPr>
        <b/>
        <i/>
        <sz val="14"/>
        <color theme="1"/>
        <rFont val="Arial"/>
        <family val="2"/>
      </rPr>
      <t xml:space="preserve"> </t>
    </r>
  </si>
  <si>
    <t xml:space="preserve">, </t>
  </si>
  <si>
    <r>
      <t>Q</t>
    </r>
    <r>
      <rPr>
        <b/>
        <i/>
        <vertAlign val="subscript"/>
        <sz val="14"/>
        <color theme="1"/>
        <rFont val="Arial"/>
        <family val="2"/>
      </rPr>
      <t>tot</t>
    </r>
    <r>
      <rPr>
        <b/>
        <i/>
        <sz val="14"/>
        <color theme="1"/>
        <rFont val="Arial"/>
        <family val="2"/>
      </rPr>
      <t xml:space="preserve"> </t>
    </r>
  </si>
  <si>
    <r>
      <t>M</t>
    </r>
    <r>
      <rPr>
        <b/>
        <i/>
        <vertAlign val="subscript"/>
        <sz val="14"/>
        <color theme="1"/>
        <rFont val="Arial"/>
        <family val="2"/>
      </rPr>
      <t>tot</t>
    </r>
  </si>
  <si>
    <t>cos(α-θ)</t>
  </si>
  <si>
    <t>cos(θ)</t>
  </si>
  <si>
    <t>e</t>
  </si>
  <si>
    <t>d</t>
  </si>
  <si>
    <r>
      <rPr>
        <sz val="18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z</t>
    </r>
  </si>
  <si>
    <t>ri,m</t>
  </si>
  <si>
    <r>
      <t>ΔM</t>
    </r>
    <r>
      <rPr>
        <b/>
        <i/>
        <vertAlign val="subscript"/>
        <sz val="14"/>
        <color theme="1"/>
        <rFont val="Arial"/>
        <family val="2"/>
      </rPr>
      <t>z,c ,i</t>
    </r>
  </si>
  <si>
    <r>
      <t>M</t>
    </r>
    <r>
      <rPr>
        <b/>
        <i/>
        <vertAlign val="subscript"/>
        <sz val="14"/>
        <color theme="1"/>
        <rFont val="Arial"/>
        <family val="2"/>
      </rPr>
      <t>z,c,i</t>
    </r>
    <r>
      <rPr>
        <b/>
        <i/>
        <sz val="14"/>
        <color theme="1"/>
        <rFont val="Arial"/>
        <family val="2"/>
      </rPr>
      <t>,</t>
    </r>
  </si>
  <si>
    <r>
      <t>M</t>
    </r>
    <r>
      <rPr>
        <b/>
        <i/>
        <vertAlign val="subscript"/>
        <sz val="14"/>
        <color theme="1"/>
        <rFont val="Arial"/>
        <family val="2"/>
      </rPr>
      <t>ztot</t>
    </r>
    <r>
      <rPr>
        <b/>
        <i/>
        <sz val="14"/>
        <color theme="1"/>
        <rFont val="Arial"/>
        <family val="2"/>
      </rPr>
      <t>,</t>
    </r>
  </si>
  <si>
    <t>Qrtot=</t>
  </si>
  <si>
    <t>kN</t>
  </si>
  <si>
    <t>Mk</t>
  </si>
  <si>
    <t>ck</t>
  </si>
  <si>
    <t>rk</t>
  </si>
  <si>
    <t>Mtot=</t>
  </si>
  <si>
    <t>C</t>
  </si>
  <si>
    <t>Mz</t>
  </si>
  <si>
    <r>
      <t>D</t>
    </r>
    <r>
      <rPr>
        <b/>
        <i/>
        <sz val="14"/>
        <color theme="1"/>
        <rFont val="Times New Roman"/>
        <family val="1"/>
      </rPr>
      <t>Г</t>
    </r>
    <r>
      <rPr>
        <b/>
        <i/>
        <vertAlign val="subscript"/>
        <sz val="14"/>
        <color theme="1"/>
        <rFont val="Times New Roman"/>
        <family val="1"/>
      </rPr>
      <t>25</t>
    </r>
    <r>
      <rPr>
        <b/>
        <i/>
        <sz val="14"/>
        <color theme="1"/>
        <rFont val="Times New Roman"/>
        <family val="1"/>
      </rPr>
      <t xml:space="preserve"> (25</t>
    </r>
    <r>
      <rPr>
        <b/>
        <i/>
        <sz val="14"/>
        <color theme="1"/>
        <rFont val="Symbol"/>
        <family val="1"/>
        <charset val="2"/>
      </rPr>
      <t>°</t>
    </r>
    <r>
      <rPr>
        <b/>
        <i/>
        <sz val="14"/>
        <color theme="1"/>
        <rFont val="Times New Roman"/>
        <family val="1"/>
      </rPr>
      <t>)</t>
    </r>
  </si>
  <si>
    <t>Spar location</t>
  </si>
  <si>
    <t>Sparheight ratio</t>
  </si>
  <si>
    <t>Root chord</t>
  </si>
  <si>
    <t>Mid chord</t>
  </si>
  <si>
    <t>Tip chord</t>
  </si>
  <si>
    <t>Height at mid sec</t>
  </si>
  <si>
    <t>Height at root sec</t>
  </si>
  <si>
    <t>Height at tip sec</t>
  </si>
  <si>
    <t>Root moment</t>
  </si>
  <si>
    <t>Mid moment</t>
  </si>
  <si>
    <t>Tip moment</t>
  </si>
  <si>
    <t>Root shear</t>
  </si>
  <si>
    <t>Mid shear</t>
  </si>
  <si>
    <t>Tip shear</t>
  </si>
  <si>
    <t>Root torque</t>
  </si>
  <si>
    <t>Mid torque</t>
  </si>
  <si>
    <t>Tip torwue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</si>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</sst>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theme="1"/>
      <name val="Symbol"/>
      <family val="1"/>
      <charset val="2"/>
    </font>
    <font>
      <b/>
      <vertAlign val="subscript"/>
      <sz val="14"/>
      <color theme="1"/>
      <name val="Times New Roman"/>
      <family val="1"/>
    </font>
    <font>
      <b/>
      <i/>
      <vertAlign val="subscript"/>
      <sz val="14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Calibri"/>
      <family val="2"/>
    </font>
    <font>
      <sz val="8"/>
      <color theme="1"/>
      <name val="Calibri"/>
      <family val="2"/>
    </font>
    <font>
      <vertAlign val="subscript"/>
      <sz val="12"/>
      <color theme="1"/>
      <name val="Calibri"/>
      <family val="2"/>
      <scheme val="minor"/>
    </font>
    <font>
      <b/>
      <i/>
      <sz val="14"/>
      <color theme="1"/>
      <name val="Symbol"/>
      <family val="1"/>
      <charset val="2"/>
    </font>
    <font>
      <b/>
      <i/>
      <sz val="16"/>
      <color theme="1"/>
      <name val="Symbol"/>
      <family val="1"/>
      <charset val="2"/>
    </font>
    <font>
      <b/>
      <i/>
      <sz val="16"/>
      <color theme="1"/>
      <name val="Times New Roman"/>
      <family val="1"/>
    </font>
    <font>
      <b/>
      <i/>
      <vertAlign val="subscript"/>
      <sz val="16"/>
      <color theme="1"/>
      <name val="Times New Roman"/>
      <family val="1"/>
    </font>
    <font>
      <b/>
      <i/>
      <sz val="14"/>
      <color theme="1"/>
      <name val="Arial"/>
      <family val="2"/>
    </font>
    <font>
      <b/>
      <i/>
      <vertAlign val="subscript"/>
      <sz val="14"/>
      <color theme="1"/>
      <name val="Arial"/>
      <family val="2"/>
    </font>
    <font>
      <sz val="14"/>
      <color rgb="FF000000"/>
      <name val="Arial"/>
      <family val="2"/>
    </font>
    <font>
      <sz val="18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/>
    <xf numFmtId="0" fontId="10" fillId="0" borderId="0" xfId="0" applyFont="1"/>
    <xf numFmtId="0" fontId="11" fillId="0" borderId="0" xfId="0" applyFont="1"/>
    <xf numFmtId="0" fontId="4" fillId="0" borderId="0" xfId="0" applyFont="1"/>
    <xf numFmtId="0" fontId="5" fillId="0" borderId="0" xfId="0" applyFont="1"/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3" fontId="5" fillId="0" borderId="10" xfId="0" applyNumberFormat="1" applyFont="1" applyBorder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20" fillId="0" borderId="0" xfId="0" applyFont="1"/>
    <xf numFmtId="0" fontId="22" fillId="0" borderId="0" xfId="0" applyFont="1" applyAlignment="1">
      <alignment horizontal="center" vertical="center"/>
    </xf>
    <xf numFmtId="0" fontId="23" fillId="0" borderId="0" xfId="0" applyFont="1"/>
    <xf numFmtId="0" fontId="24" fillId="0" borderId="0" xfId="0" applyFont="1" applyBorder="1" applyAlignment="1"/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977401129943503E-2"/>
          <c:y val="0.15804082473293168"/>
          <c:w val="0.48498225010009349"/>
          <c:h val="0.79046923830300342"/>
        </c:manualLayout>
      </c:layout>
      <c:scatterChart>
        <c:scatterStyle val="smoothMarker"/>
        <c:varyColors val="0"/>
        <c:ser>
          <c:idx val="0"/>
          <c:order val="0"/>
          <c:tx>
            <c:v>Cya=f(alpha)</c:v>
          </c:tx>
          <c:trendline>
            <c:trendlineType val="poly"/>
            <c:order val="4"/>
            <c:dispRSqr val="0"/>
            <c:dispEq val="1"/>
            <c:trendlineLbl>
              <c:layout>
                <c:manualLayout>
                  <c:x val="0.55819209039548023"/>
                  <c:y val="0.55902927143137804"/>
                </c:manualLayout>
              </c:layout>
              <c:numFmt formatCode="General" sourceLinked="0"/>
            </c:trendlineLbl>
          </c:trendline>
          <c:xVal>
            <c:numRef>
              <c:f>Sheet1!$P$8:$P$23</c:f>
              <c:numCache>
                <c:formatCode>General</c:formatCode>
                <c:ptCount val="16"/>
                <c:pt idx="0">
                  <c:v>-5.12</c:v>
                </c:pt>
                <c:pt idx="1">
                  <c:v>-3.27</c:v>
                </c:pt>
                <c:pt idx="2">
                  <c:v>-1.51</c:v>
                </c:pt>
                <c:pt idx="3">
                  <c:v>0.3</c:v>
                </c:pt>
                <c:pt idx="4">
                  <c:v>2.14</c:v>
                </c:pt>
                <c:pt idx="5">
                  <c:v>4.01</c:v>
                </c:pt>
                <c:pt idx="6">
                  <c:v>5.79</c:v>
                </c:pt>
                <c:pt idx="7">
                  <c:v>7.65</c:v>
                </c:pt>
                <c:pt idx="8">
                  <c:v>9.5</c:v>
                </c:pt>
                <c:pt idx="9">
                  <c:v>11.39</c:v>
                </c:pt>
                <c:pt idx="10">
                  <c:v>13.15</c:v>
                </c:pt>
                <c:pt idx="11">
                  <c:v>14.99</c:v>
                </c:pt>
                <c:pt idx="12">
                  <c:v>16.940000000000001</c:v>
                </c:pt>
                <c:pt idx="13">
                  <c:v>18.649999999999999</c:v>
                </c:pt>
                <c:pt idx="14">
                  <c:v>20.43</c:v>
                </c:pt>
                <c:pt idx="15">
                  <c:v>22.22</c:v>
                </c:pt>
              </c:numCache>
            </c:numRef>
          </c:xVal>
          <c:yVal>
            <c:numRef>
              <c:f>Sheet1!$Q$8:$Q$23</c:f>
              <c:numCache>
                <c:formatCode>General</c:formatCode>
                <c:ptCount val="16"/>
                <c:pt idx="0">
                  <c:v>-0.22900000000000001</c:v>
                </c:pt>
                <c:pt idx="1">
                  <c:v>-0.106</c:v>
                </c:pt>
                <c:pt idx="2">
                  <c:v>1.7000000000000001E-2</c:v>
                </c:pt>
                <c:pt idx="3">
                  <c:v>0.13900000000000001</c:v>
                </c:pt>
                <c:pt idx="4">
                  <c:v>0.26400000000000001</c:v>
                </c:pt>
                <c:pt idx="5">
                  <c:v>0.39600000000000002</c:v>
                </c:pt>
                <c:pt idx="6">
                  <c:v>0.53500000000000003</c:v>
                </c:pt>
                <c:pt idx="7">
                  <c:v>0.67800000000000005</c:v>
                </c:pt>
                <c:pt idx="8">
                  <c:v>0.82499999999999996</c:v>
                </c:pt>
                <c:pt idx="9">
                  <c:v>0.94299999999999995</c:v>
                </c:pt>
                <c:pt idx="10">
                  <c:v>1.0569999999999999</c:v>
                </c:pt>
                <c:pt idx="11">
                  <c:v>1.1539999999999999</c:v>
                </c:pt>
                <c:pt idx="12">
                  <c:v>1.226</c:v>
                </c:pt>
                <c:pt idx="13">
                  <c:v>1.2569999999999999</c:v>
                </c:pt>
                <c:pt idx="14">
                  <c:v>1.214</c:v>
                </c:pt>
                <c:pt idx="15">
                  <c:v>1.19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230784"/>
        <c:axId val="97529856"/>
      </c:scatterChart>
      <c:valAx>
        <c:axId val="94230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7529856"/>
        <c:crosses val="autoZero"/>
        <c:crossBetween val="midCat"/>
      </c:valAx>
      <c:valAx>
        <c:axId val="97529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2307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761747877749592"/>
          <c:y val="4.6730364174285881E-2"/>
          <c:w val="0.57950845056501832"/>
          <c:h val="0.83276472265797297"/>
        </c:manualLayout>
      </c:layout>
      <c:scatterChart>
        <c:scatterStyle val="smoothMarker"/>
        <c:varyColors val="0"/>
        <c:ser>
          <c:idx val="0"/>
          <c:order val="0"/>
          <c:trendline>
            <c:trendlineType val="linear"/>
            <c:dispRSqr val="0"/>
            <c:dispEq val="1"/>
            <c:trendlineLbl>
              <c:layout>
                <c:manualLayout>
                  <c:x val="0.40155086262752721"/>
                  <c:y val="-0.66668512056282436"/>
                </c:manualLayout>
              </c:layout>
              <c:numFmt formatCode="General" sourceLinked="0"/>
            </c:trendlineLbl>
          </c:trendline>
          <c:xVal>
            <c:numRef>
              <c:f>Sheet1!$L$55:$M$55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xVal>
          <c:yVal>
            <c:numRef>
              <c:f>Sheet1!$L$62:$M$62</c:f>
              <c:numCache>
                <c:formatCode>General</c:formatCode>
                <c:ptCount val="2"/>
                <c:pt idx="0">
                  <c:v>0.94189999999999996</c:v>
                </c:pt>
                <c:pt idx="1">
                  <c:v>0.93430000000000002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23392"/>
        <c:axId val="32524928"/>
      </c:scatterChart>
      <c:valAx>
        <c:axId val="3252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524928"/>
        <c:crosses val="autoZero"/>
        <c:crossBetween val="midCat"/>
      </c:valAx>
      <c:valAx>
        <c:axId val="3252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523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qay</c:v>
          </c:tx>
          <c:marker>
            <c:symbol val="none"/>
          </c:marker>
          <c:xVal>
            <c:numRef>
              <c:f>Sheet1!$B$73:$B$84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</c:numCache>
            </c:numRef>
          </c:xVal>
          <c:yVal>
            <c:numRef>
              <c:f>Sheet1!$J$73:$J$84</c:f>
              <c:numCache>
                <c:formatCode>General</c:formatCode>
                <c:ptCount val="12"/>
                <c:pt idx="0">
                  <c:v>91.243230416779824</c:v>
                </c:pt>
                <c:pt idx="1">
                  <c:v>92.497846514820623</c:v>
                </c:pt>
                <c:pt idx="2">
                  <c:v>91.23791111118922</c:v>
                </c:pt>
                <c:pt idx="3">
                  <c:v>87.998533639238886</c:v>
                </c:pt>
                <c:pt idx="4">
                  <c:v>83.102902333243208</c:v>
                </c:pt>
                <c:pt idx="5">
                  <c:v>77.351839333583982</c:v>
                </c:pt>
                <c:pt idx="6">
                  <c:v>71.03030835903941</c:v>
                </c:pt>
                <c:pt idx="7">
                  <c:v>64.107459367674366</c:v>
                </c:pt>
                <c:pt idx="8">
                  <c:v>56.14742461450075</c:v>
                </c:pt>
                <c:pt idx="9">
                  <c:v>44.578886525845697</c:v>
                </c:pt>
                <c:pt idx="10">
                  <c:v>34.291001220950811</c:v>
                </c:pt>
                <c:pt idx="11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qwy</c:v>
          </c:tx>
          <c:marker>
            <c:symbol val="none"/>
          </c:marker>
          <c:xVal>
            <c:numRef>
              <c:f>Sheet1!$B$73:$B$84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</c:numCache>
            </c:numRef>
          </c:xVal>
          <c:yVal>
            <c:numRef>
              <c:f>Sheet1!$K$73:$K$84</c:f>
              <c:numCache>
                <c:formatCode>General</c:formatCode>
                <c:ptCount val="12"/>
                <c:pt idx="0">
                  <c:v>-12.479530146804111</c:v>
                </c:pt>
                <c:pt idx="1">
                  <c:v>-11.549211963065407</c:v>
                </c:pt>
                <c:pt idx="2">
                  <c:v>-10.618893779326706</c:v>
                </c:pt>
                <c:pt idx="3">
                  <c:v>-9.688575595588004</c:v>
                </c:pt>
                <c:pt idx="4">
                  <c:v>-8.7582574118493017</c:v>
                </c:pt>
                <c:pt idx="5">
                  <c:v>-7.8279392281106004</c:v>
                </c:pt>
                <c:pt idx="6">
                  <c:v>-6.8976210443718982</c:v>
                </c:pt>
                <c:pt idx="7">
                  <c:v>-5.967302860633195</c:v>
                </c:pt>
                <c:pt idx="8">
                  <c:v>-5.0369846768944919</c:v>
                </c:pt>
                <c:pt idx="9">
                  <c:v>-4.1066664931557897</c:v>
                </c:pt>
                <c:pt idx="10">
                  <c:v>-3.6415074012864399</c:v>
                </c:pt>
                <c:pt idx="11">
                  <c:v>-3.1763483094170883</c:v>
                </c:pt>
              </c:numCache>
            </c:numRef>
          </c:yVal>
          <c:smooth val="1"/>
        </c:ser>
        <c:ser>
          <c:idx val="2"/>
          <c:order val="2"/>
          <c:tx>
            <c:v>q</c:v>
          </c:tx>
          <c:marker>
            <c:symbol val="none"/>
          </c:marker>
          <c:xVal>
            <c:numRef>
              <c:f>Sheet1!$B$73:$B$84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</c:numCache>
            </c:numRef>
          </c:xVal>
          <c:yVal>
            <c:numRef>
              <c:f>Sheet1!$L$73:$L$84</c:f>
              <c:numCache>
                <c:formatCode>General</c:formatCode>
                <c:ptCount val="12"/>
                <c:pt idx="0">
                  <c:v>78.763700269975715</c:v>
                </c:pt>
                <c:pt idx="1">
                  <c:v>80.948634551755219</c:v>
                </c:pt>
                <c:pt idx="2">
                  <c:v>80.619017331862509</c:v>
                </c:pt>
                <c:pt idx="3">
                  <c:v>78.30995804365088</c:v>
                </c:pt>
                <c:pt idx="4">
                  <c:v>74.344644921393908</c:v>
                </c:pt>
                <c:pt idx="5">
                  <c:v>69.523900105473388</c:v>
                </c:pt>
                <c:pt idx="6">
                  <c:v>64.132687314667507</c:v>
                </c:pt>
                <c:pt idx="7">
                  <c:v>58.140156507041169</c:v>
                </c:pt>
                <c:pt idx="8">
                  <c:v>51.110439937606259</c:v>
                </c:pt>
                <c:pt idx="9">
                  <c:v>40.472220032689904</c:v>
                </c:pt>
                <c:pt idx="10">
                  <c:v>30.649493819664372</c:v>
                </c:pt>
                <c:pt idx="11">
                  <c:v>-3.1763483094170883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16000"/>
        <c:axId val="34817920"/>
      </c:scatterChart>
      <c:valAx>
        <c:axId val="3481600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817920"/>
        <c:crosses val="autoZero"/>
        <c:crossBetween val="midCat"/>
      </c:valAx>
      <c:valAx>
        <c:axId val="3481792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q,kN/m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816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Qd</c:v>
          </c:tx>
          <c:xVal>
            <c:numRef>
              <c:f>Sheet1!$B$73:$B$84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</c:numCache>
            </c:numRef>
          </c:xVal>
          <c:yVal>
            <c:numRef>
              <c:f>Sheet1!$P$73:$P$84</c:f>
              <c:numCache>
                <c:formatCode>General</c:formatCode>
                <c:ptCount val="12"/>
                <c:pt idx="0">
                  <c:v>-1113.4636533926334</c:v>
                </c:pt>
                <c:pt idx="1">
                  <c:v>-974.83334676737093</c:v>
                </c:pt>
                <c:pt idx="2">
                  <c:v>-834.59262493239078</c:v>
                </c:pt>
                <c:pt idx="3">
                  <c:v>-696.64227430644519</c:v>
                </c:pt>
                <c:pt idx="4">
                  <c:v>-564.13807893278636</c:v>
                </c:pt>
                <c:pt idx="5">
                  <c:v>-439.26018184946554</c:v>
                </c:pt>
                <c:pt idx="6">
                  <c:v>-323.24626396878324</c:v>
                </c:pt>
                <c:pt idx="7">
                  <c:v>-217.11343553154012</c:v>
                </c:pt>
                <c:pt idx="8">
                  <c:v>-122.28391781758609</c:v>
                </c:pt>
                <c:pt idx="9">
                  <c:v>-42.790168963369041</c:v>
                </c:pt>
                <c:pt idx="10">
                  <c:v>-11.923345151447332</c:v>
                </c:pt>
                <c:pt idx="11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Qc</c:v>
          </c:tx>
          <c:xVal>
            <c:numRef>
              <c:f>Sheet1!$B$73:$B$84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</c:numCache>
            </c:numRef>
          </c:xVal>
          <c:yVal>
            <c:numRef>
              <c:f>Sheet1!$T$73:$T$84</c:f>
              <c:numCache>
                <c:formatCode>General</c:formatCode>
                <c:ptCount val="12"/>
                <c:pt idx="0">
                  <c:v>173.867535</c:v>
                </c:pt>
                <c:pt idx="1">
                  <c:v>122.571045</c:v>
                </c:pt>
                <c:pt idx="2">
                  <c:v>84.606345000000005</c:v>
                </c:pt>
                <c:pt idx="3">
                  <c:v>58.340070000000004</c:v>
                </c:pt>
                <c:pt idx="4">
                  <c:v>7.3869300000000004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Qtot</c:v>
          </c:tx>
          <c:xVal>
            <c:numRef>
              <c:f>Sheet1!$B$73:$B$84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</c:numCache>
            </c:numRef>
          </c:xVal>
          <c:yVal>
            <c:numRef>
              <c:f>Sheet1!$W$73:$W$84</c:f>
              <c:numCache>
                <c:formatCode>General</c:formatCode>
                <c:ptCount val="12"/>
                <c:pt idx="0">
                  <c:v>-939.59611839263346</c:v>
                </c:pt>
                <c:pt idx="1">
                  <c:v>-852.2623017673709</c:v>
                </c:pt>
                <c:pt idx="2">
                  <c:v>-749.98627993239074</c:v>
                </c:pt>
                <c:pt idx="3">
                  <c:v>-638.30220430644522</c:v>
                </c:pt>
                <c:pt idx="4">
                  <c:v>-556.75114893278635</c:v>
                </c:pt>
                <c:pt idx="5">
                  <c:v>-439.26018184946554</c:v>
                </c:pt>
                <c:pt idx="6">
                  <c:v>-323.24626396878324</c:v>
                </c:pt>
                <c:pt idx="7">
                  <c:v>-217.11343553154012</c:v>
                </c:pt>
                <c:pt idx="8">
                  <c:v>-122.28391781758609</c:v>
                </c:pt>
                <c:pt idx="9">
                  <c:v>-42.790168963369041</c:v>
                </c:pt>
                <c:pt idx="10">
                  <c:v>-11.923345151447332</c:v>
                </c:pt>
                <c:pt idx="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44032"/>
        <c:axId val="34845824"/>
      </c:scatterChart>
      <c:valAx>
        <c:axId val="3484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845824"/>
        <c:crosses val="autoZero"/>
        <c:crossBetween val="midCat"/>
      </c:valAx>
      <c:valAx>
        <c:axId val="34845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844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Md</c:v>
          </c:tx>
          <c:marker>
            <c:symbol val="none"/>
          </c:marker>
          <c:xVal>
            <c:numRef>
              <c:f>Sheet1!$B$73:$B$84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</c:numCache>
            </c:numRef>
          </c:xVal>
          <c:yVal>
            <c:numRef>
              <c:f>Sheet1!$R$73:$R$84</c:f>
              <c:numCache>
                <c:formatCode>General</c:formatCode>
                <c:ptCount val="12"/>
                <c:pt idx="0">
                  <c:v>8275.3318901752227</c:v>
                </c:pt>
                <c:pt idx="1">
                  <c:v>6462.6900940363394</c:v>
                </c:pt>
                <c:pt idx="2">
                  <c:v>4892.1083506009463</c:v>
                </c:pt>
                <c:pt idx="3">
                  <c:v>3562.996458061637</c:v>
                </c:pt>
                <c:pt idx="4">
                  <c:v>2468.6391114499838</c:v>
                </c:pt>
                <c:pt idx="5">
                  <c:v>1597.6894210909895</c:v>
                </c:pt>
                <c:pt idx="6">
                  <c:v>935.83382612074979</c:v>
                </c:pt>
                <c:pt idx="7">
                  <c:v>466.80160695446921</c:v>
                </c:pt>
                <c:pt idx="8">
                  <c:v>172.20470424742743</c:v>
                </c:pt>
                <c:pt idx="9">
                  <c:v>28.920396921558421</c:v>
                </c:pt>
                <c:pt idx="10">
                  <c:v>5.1747317957281469</c:v>
                </c:pt>
                <c:pt idx="11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Mc</c:v>
          </c:tx>
          <c:marker>
            <c:symbol val="none"/>
          </c:marker>
          <c:xVal>
            <c:numRef>
              <c:f>Sheet1!$B$73:$B$84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</c:numCache>
            </c:numRef>
          </c:xVal>
          <c:yVal>
            <c:numRef>
              <c:f>Sheet1!$V$73:$V$84</c:f>
              <c:numCache>
                <c:formatCode>General</c:formatCode>
                <c:ptCount val="12"/>
                <c:pt idx="0">
                  <c:v>-624.67904141999998</c:v>
                </c:pt>
                <c:pt idx="1">
                  <c:v>-367.37035398</c:v>
                </c:pt>
                <c:pt idx="2">
                  <c:v>-187.54037946</c:v>
                </c:pt>
                <c:pt idx="3">
                  <c:v>-63.462891240000019</c:v>
                </c:pt>
                <c:pt idx="4">
                  <c:v>-6.4118552399999986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Mtot</c:v>
          </c:tx>
          <c:marker>
            <c:symbol val="none"/>
          </c:marker>
          <c:xVal>
            <c:numRef>
              <c:f>Sheet1!$B$73:$B$84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</c:numCache>
            </c:numRef>
          </c:xVal>
          <c:yVal>
            <c:numRef>
              <c:f>Sheet1!$X$73:$X$84</c:f>
              <c:numCache>
                <c:formatCode>General</c:formatCode>
                <c:ptCount val="12"/>
                <c:pt idx="0">
                  <c:v>7650.6528487552223</c:v>
                </c:pt>
                <c:pt idx="1">
                  <c:v>6095.3197400563395</c:v>
                </c:pt>
                <c:pt idx="2">
                  <c:v>4704.5679711409466</c:v>
                </c:pt>
                <c:pt idx="3">
                  <c:v>3499.5335668216371</c:v>
                </c:pt>
                <c:pt idx="4">
                  <c:v>2462.2272562099838</c:v>
                </c:pt>
                <c:pt idx="5">
                  <c:v>1597.6894210909895</c:v>
                </c:pt>
                <c:pt idx="6">
                  <c:v>935.83382612074979</c:v>
                </c:pt>
                <c:pt idx="7">
                  <c:v>466.80160695446921</c:v>
                </c:pt>
                <c:pt idx="8">
                  <c:v>172.20470424742743</c:v>
                </c:pt>
                <c:pt idx="9">
                  <c:v>28.920396921558421</c:v>
                </c:pt>
                <c:pt idx="10">
                  <c:v>5.1747317957281469</c:v>
                </c:pt>
                <c:pt idx="11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73344"/>
        <c:axId val="34875264"/>
      </c:scatterChart>
      <c:valAx>
        <c:axId val="34873344"/>
        <c:scaling>
          <c:orientation val="minMax"/>
        </c:scaling>
        <c:delete val="0"/>
        <c:axPos val="t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875264"/>
        <c:crosses val="autoZero"/>
        <c:crossBetween val="midCat"/>
      </c:valAx>
      <c:valAx>
        <c:axId val="34875264"/>
        <c:scaling>
          <c:orientation val="maxMin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M,kNm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8733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mz</c:v>
          </c:tx>
          <c:marker>
            <c:symbol val="none"/>
          </c:marker>
          <c:xVal>
            <c:numRef>
              <c:f>Sheet1!$B$73:$B$84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</c:numCache>
            </c:numRef>
          </c:xVal>
          <c:yVal>
            <c:numRef>
              <c:f>Sheet1!$AC$73:$AC$84</c:f>
              <c:numCache>
                <c:formatCode>General</c:formatCode>
                <c:ptCount val="12"/>
                <c:pt idx="0">
                  <c:v>-101.78778656420529</c:v>
                </c:pt>
                <c:pt idx="1">
                  <c:v>-109.39219182329657</c:v>
                </c:pt>
                <c:pt idx="2">
                  <c:v>-113.23122965534482</c:v>
                </c:pt>
                <c:pt idx="3">
                  <c:v>-113.94254364140208</c:v>
                </c:pt>
                <c:pt idx="4">
                  <c:v>-111.79427248887571</c:v>
                </c:pt>
                <c:pt idx="5">
                  <c:v>-107.86998309139429</c:v>
                </c:pt>
                <c:pt idx="6">
                  <c:v>-102.53485256374444</c:v>
                </c:pt>
                <c:pt idx="7">
                  <c:v>-95.728352579969567</c:v>
                </c:pt>
                <c:pt idx="8">
                  <c:v>-86.5017589459531</c:v>
                </c:pt>
                <c:pt idx="9">
                  <c:v>-70.277948934458266</c:v>
                </c:pt>
                <c:pt idx="10">
                  <c:v>-53.822692545813155</c:v>
                </c:pt>
                <c:pt idx="11">
                  <c:v>6.2172060094581783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08032"/>
        <c:axId val="34918400"/>
      </c:scatterChart>
      <c:valAx>
        <c:axId val="34908032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918400"/>
        <c:crosses val="autoZero"/>
        <c:crossBetween val="midCat"/>
      </c:valAx>
      <c:valAx>
        <c:axId val="34918400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mz,kN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4908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Mzd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Sheet1!$B$73:$B$84</c:f>
              <c:numCache>
                <c:formatCode>General</c:formatCode>
                <c:ptCount val="1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0.95</c:v>
                </c:pt>
                <c:pt idx="11">
                  <c:v>1</c:v>
                </c:pt>
              </c:numCache>
            </c:numRef>
          </c:xVal>
          <c:yVal>
            <c:numRef>
              <c:f>Sheet1!$AE$73:$AE$84</c:f>
              <c:numCache>
                <c:formatCode>General</c:formatCode>
                <c:ptCount val="12"/>
                <c:pt idx="0">
                  <c:v>-1683.8411587674618</c:v>
                </c:pt>
                <c:pt idx="1">
                  <c:v>-1500.5369375271102</c:v>
                </c:pt>
                <c:pt idx="2">
                  <c:v>-1307.2998076836495</c:v>
                </c:pt>
                <c:pt idx="3">
                  <c:v>-1110.1129724620732</c:v>
                </c:pt>
                <c:pt idx="4">
                  <c:v>-914.17341606099217</c:v>
                </c:pt>
                <c:pt idx="5">
                  <c:v>-723.5048422173179</c:v>
                </c:pt>
                <c:pt idx="6">
                  <c:v>-540.87344486865754</c:v>
                </c:pt>
                <c:pt idx="7">
                  <c:v>-368.78098280391384</c:v>
                </c:pt>
                <c:pt idx="8">
                  <c:v>-210.60524599941283</c:v>
                </c:pt>
                <c:pt idx="9">
                  <c:v>-74.520459559215794</c:v>
                </c:pt>
                <c:pt idx="10">
                  <c:v>-20.660781156778079</c:v>
                </c:pt>
                <c:pt idx="11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Mzc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Sheet1!$AF$93:$AF$101</c:f>
              <c:numCache>
                <c:formatCode>General</c:formatCode>
                <c:ptCount val="9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0.95</c:v>
                </c:pt>
                <c:pt idx="8">
                  <c:v>1</c:v>
                </c:pt>
              </c:numCache>
            </c:numRef>
          </c:xVal>
          <c:yVal>
            <c:numRef>
              <c:f>Sheet1!$AG$93:$AG$101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</c:ser>
        <c:ser>
          <c:idx val="2"/>
          <c:order val="2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Sheet1!$AF$92:$AF$93</c:f>
              <c:numCache>
                <c:formatCode>General</c:formatCode>
                <c:ptCount val="2"/>
                <c:pt idx="0">
                  <c:v>0.3</c:v>
                </c:pt>
                <c:pt idx="1">
                  <c:v>0.3</c:v>
                </c:pt>
              </c:numCache>
            </c:numRef>
          </c:xVal>
          <c:yVal>
            <c:numRef>
              <c:f>Sheet1!$AG$92:$AG$93</c:f>
              <c:numCache>
                <c:formatCode>General</c:formatCode>
                <c:ptCount val="2"/>
                <c:pt idx="0">
                  <c:v>41.116999999999997</c:v>
                </c:pt>
                <c:pt idx="1">
                  <c:v>0</c:v>
                </c:pt>
              </c:numCache>
            </c:numRef>
          </c:yVal>
          <c:smooth val="1"/>
        </c:ser>
        <c:ser>
          <c:idx val="3"/>
          <c:order val="3"/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Sheet1!$AF$89:$AF$92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Sheet1!$AG$89:$AG$92</c:f>
              <c:numCache>
                <c:formatCode>General</c:formatCode>
                <c:ptCount val="4"/>
                <c:pt idx="0">
                  <c:v>41.116999999999997</c:v>
                </c:pt>
                <c:pt idx="1">
                  <c:v>41.116999999999997</c:v>
                </c:pt>
                <c:pt idx="2">
                  <c:v>41.116999999999997</c:v>
                </c:pt>
                <c:pt idx="3">
                  <c:v>41.116999999999997</c:v>
                </c:pt>
              </c:numCache>
            </c:numRef>
          </c:yVal>
          <c:smooth val="1"/>
        </c:ser>
        <c:ser>
          <c:idx val="4"/>
          <c:order val="4"/>
          <c:tx>
            <c:v>Mztot</c:v>
          </c:tx>
          <c:marker>
            <c:symbol val="none"/>
          </c:marker>
          <c:xVal>
            <c:numRef>
              <c:f>Sheet1!$AF$93:$AF$101</c:f>
              <c:numCache>
                <c:formatCode>General</c:formatCode>
                <c:ptCount val="9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0.95</c:v>
                </c:pt>
                <c:pt idx="8">
                  <c:v>1</c:v>
                </c:pt>
              </c:numCache>
            </c:numRef>
          </c:xVal>
          <c:yVal>
            <c:numRef>
              <c:f>Sheet1!$AI$93:$AI$101</c:f>
              <c:numCache>
                <c:formatCode>General</c:formatCode>
                <c:ptCount val="9"/>
                <c:pt idx="0">
                  <c:v>-1110.1129724620732</c:v>
                </c:pt>
                <c:pt idx="1">
                  <c:v>-914.17341606099217</c:v>
                </c:pt>
                <c:pt idx="2">
                  <c:v>-723.5048422173179</c:v>
                </c:pt>
                <c:pt idx="3">
                  <c:v>-540.87344486865754</c:v>
                </c:pt>
                <c:pt idx="4">
                  <c:v>-368.78098280391384</c:v>
                </c:pt>
                <c:pt idx="5">
                  <c:v>-210.60524599941283</c:v>
                </c:pt>
                <c:pt idx="6">
                  <c:v>-74.520459559215794</c:v>
                </c:pt>
                <c:pt idx="7">
                  <c:v>-20.660781156778079</c:v>
                </c:pt>
                <c:pt idx="8">
                  <c:v>0</c:v>
                </c:pt>
              </c:numCache>
            </c:numRef>
          </c:yVal>
          <c:smooth val="1"/>
        </c:ser>
        <c:ser>
          <c:idx val="5"/>
          <c:order val="5"/>
          <c:marker>
            <c:symbol val="none"/>
          </c:marker>
          <c:xVal>
            <c:numRef>
              <c:f>Sheet1!$AF$92:$AF$93</c:f>
              <c:numCache>
                <c:formatCode>General</c:formatCode>
                <c:ptCount val="2"/>
                <c:pt idx="0">
                  <c:v>0.3</c:v>
                </c:pt>
                <c:pt idx="1">
                  <c:v>0.3</c:v>
                </c:pt>
              </c:numCache>
            </c:numRef>
          </c:xVal>
          <c:yVal>
            <c:numRef>
              <c:f>Sheet1!$AI$92:$AI$93</c:f>
              <c:numCache>
                <c:formatCode>General</c:formatCode>
                <c:ptCount val="2"/>
                <c:pt idx="0">
                  <c:v>-1068.9959724620733</c:v>
                </c:pt>
                <c:pt idx="1">
                  <c:v>-1110.1129724620732</c:v>
                </c:pt>
              </c:numCache>
            </c:numRef>
          </c:yVal>
          <c:smooth val="1"/>
        </c:ser>
        <c:ser>
          <c:idx val="6"/>
          <c:order val="6"/>
          <c:tx>
            <c:v>Mztot</c:v>
          </c:tx>
          <c:marker>
            <c:symbol val="none"/>
          </c:marker>
          <c:xVal>
            <c:numRef>
              <c:f>Sheet1!$AF$89:$AF$92</c:f>
              <c:numCache>
                <c:formatCode>General</c:formatCode>
                <c:ptCount val="4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</c:numCache>
            </c:numRef>
          </c:xVal>
          <c:yVal>
            <c:numRef>
              <c:f>Sheet1!$AI$89:$AI$92</c:f>
              <c:numCache>
                <c:formatCode>General</c:formatCode>
                <c:ptCount val="4"/>
                <c:pt idx="0">
                  <c:v>-1642.7241587674619</c:v>
                </c:pt>
                <c:pt idx="1">
                  <c:v>-1459.4199375271103</c:v>
                </c:pt>
                <c:pt idx="2">
                  <c:v>-1266.1828076836496</c:v>
                </c:pt>
                <c:pt idx="3">
                  <c:v>-1068.9959724620733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84000"/>
        <c:axId val="49582464"/>
      </c:scatterChart>
      <c:valAx>
        <c:axId val="49584000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582464"/>
        <c:crosses val="autoZero"/>
        <c:crossBetween val="midCat"/>
      </c:valAx>
      <c:valAx>
        <c:axId val="49582464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Mz,kNm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584000"/>
        <c:crosses val="autoZero"/>
        <c:crossBetween val="midCat"/>
      </c:valAx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wmf"/><Relationship Id="rId21" Type="http://schemas.openxmlformats.org/officeDocument/2006/relationships/image" Target="../media/image21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wmf"/><Relationship Id="rId2" Type="http://schemas.openxmlformats.org/officeDocument/2006/relationships/image" Target="../media/image2.wmf"/><Relationship Id="rId16" Type="http://schemas.openxmlformats.org/officeDocument/2006/relationships/image" Target="../media/image16.wmf"/><Relationship Id="rId20" Type="http://schemas.openxmlformats.org/officeDocument/2006/relationships/image" Target="../media/image20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10" Type="http://schemas.openxmlformats.org/officeDocument/2006/relationships/image" Target="../media/image10.wmf"/><Relationship Id="rId19" Type="http://schemas.openxmlformats.org/officeDocument/2006/relationships/image" Target="../media/image19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9</xdr:row>
      <xdr:rowOff>128587</xdr:rowOff>
    </xdr:from>
    <xdr:to>
      <xdr:col>9</xdr:col>
      <xdr:colOff>409575</xdr:colOff>
      <xdr:row>20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25</xdr:row>
          <xdr:rowOff>0</xdr:rowOff>
        </xdr:from>
        <xdr:to>
          <xdr:col>4</xdr:col>
          <xdr:colOff>295275</xdr:colOff>
          <xdr:row>27</xdr:row>
          <xdr:rowOff>104775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30</xdr:row>
          <xdr:rowOff>0</xdr:rowOff>
        </xdr:from>
        <xdr:to>
          <xdr:col>5</xdr:col>
          <xdr:colOff>9525</xdr:colOff>
          <xdr:row>31</xdr:row>
          <xdr:rowOff>66675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38</xdr:row>
          <xdr:rowOff>0</xdr:rowOff>
        </xdr:from>
        <xdr:to>
          <xdr:col>8</xdr:col>
          <xdr:colOff>9525</xdr:colOff>
          <xdr:row>40</xdr:row>
          <xdr:rowOff>133350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41</xdr:row>
          <xdr:rowOff>0</xdr:rowOff>
        </xdr:from>
        <xdr:to>
          <xdr:col>6</xdr:col>
          <xdr:colOff>523875</xdr:colOff>
          <xdr:row>42</xdr:row>
          <xdr:rowOff>38100</xdr:rowOff>
        </xdr:to>
        <xdr:sp macro="" textlink="">
          <xdr:nvSpPr>
            <xdr:cNvPr id="1038" name="Object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42</xdr:row>
          <xdr:rowOff>0</xdr:rowOff>
        </xdr:from>
        <xdr:to>
          <xdr:col>6</xdr:col>
          <xdr:colOff>457200</xdr:colOff>
          <xdr:row>43</xdr:row>
          <xdr:rowOff>28575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</xdr:colOff>
          <xdr:row>43</xdr:row>
          <xdr:rowOff>38100</xdr:rowOff>
        </xdr:from>
        <xdr:to>
          <xdr:col>6</xdr:col>
          <xdr:colOff>523875</xdr:colOff>
          <xdr:row>46</xdr:row>
          <xdr:rowOff>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46</xdr:row>
          <xdr:rowOff>0</xdr:rowOff>
        </xdr:from>
        <xdr:to>
          <xdr:col>6</xdr:col>
          <xdr:colOff>266700</xdr:colOff>
          <xdr:row>47</xdr:row>
          <xdr:rowOff>38100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46</xdr:row>
          <xdr:rowOff>0</xdr:rowOff>
        </xdr:from>
        <xdr:to>
          <xdr:col>8</xdr:col>
          <xdr:colOff>476250</xdr:colOff>
          <xdr:row>47</xdr:row>
          <xdr:rowOff>104775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48</xdr:row>
          <xdr:rowOff>0</xdr:rowOff>
        </xdr:from>
        <xdr:to>
          <xdr:col>7</xdr:col>
          <xdr:colOff>0</xdr:colOff>
          <xdr:row>49</xdr:row>
          <xdr:rowOff>57150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447675</xdr:colOff>
          <xdr:row>71</xdr:row>
          <xdr:rowOff>0</xdr:rowOff>
        </xdr:from>
        <xdr:to>
          <xdr:col>0</xdr:col>
          <xdr:colOff>571500</xdr:colOff>
          <xdr:row>72</xdr:row>
          <xdr:rowOff>9525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14</xdr:col>
      <xdr:colOff>457200</xdr:colOff>
      <xdr:row>56</xdr:row>
      <xdr:rowOff>185737</xdr:rowOff>
    </xdr:from>
    <xdr:to>
      <xdr:col>22</xdr:col>
      <xdr:colOff>152400</xdr:colOff>
      <xdr:row>68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71</xdr:row>
          <xdr:rowOff>0</xdr:rowOff>
        </xdr:from>
        <xdr:to>
          <xdr:col>7</xdr:col>
          <xdr:colOff>428625</xdr:colOff>
          <xdr:row>72</xdr:row>
          <xdr:rowOff>9525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71</xdr:row>
          <xdr:rowOff>0</xdr:rowOff>
        </xdr:from>
        <xdr:to>
          <xdr:col>8</xdr:col>
          <xdr:colOff>390525</xdr:colOff>
          <xdr:row>72</xdr:row>
          <xdr:rowOff>9525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571500</xdr:colOff>
          <xdr:row>70</xdr:row>
          <xdr:rowOff>85725</xdr:rowOff>
        </xdr:from>
        <xdr:to>
          <xdr:col>9</xdr:col>
          <xdr:colOff>590550</xdr:colOff>
          <xdr:row>72</xdr:row>
          <xdr:rowOff>28575</xdr:rowOff>
        </xdr:to>
        <xdr:sp macro="" textlink="">
          <xdr:nvSpPr>
            <xdr:cNvPr id="1117" name="Object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47625</xdr:colOff>
          <xdr:row>70</xdr:row>
          <xdr:rowOff>76200</xdr:rowOff>
        </xdr:from>
        <xdr:to>
          <xdr:col>10</xdr:col>
          <xdr:colOff>552450</xdr:colOff>
          <xdr:row>71</xdr:row>
          <xdr:rowOff>228600</xdr:rowOff>
        </xdr:to>
        <xdr:sp macro="" textlink="">
          <xdr:nvSpPr>
            <xdr:cNvPr id="1118" name="Object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9525</xdr:colOff>
          <xdr:row>70</xdr:row>
          <xdr:rowOff>19050</xdr:rowOff>
        </xdr:from>
        <xdr:to>
          <xdr:col>11</xdr:col>
          <xdr:colOff>600075</xdr:colOff>
          <xdr:row>72</xdr:row>
          <xdr:rowOff>19050</xdr:rowOff>
        </xdr:to>
        <xdr:sp macro="" textlink="">
          <xdr:nvSpPr>
            <xdr:cNvPr id="1119" name="Object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0</xdr:colOff>
          <xdr:row>71</xdr:row>
          <xdr:rowOff>0</xdr:rowOff>
        </xdr:from>
        <xdr:to>
          <xdr:col>20</xdr:col>
          <xdr:colOff>523875</xdr:colOff>
          <xdr:row>71</xdr:row>
          <xdr:rowOff>257175</xdr:rowOff>
        </xdr:to>
        <xdr:sp macro="" textlink="">
          <xdr:nvSpPr>
            <xdr:cNvPr id="1121" name="Object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0</xdr:colOff>
          <xdr:row>71</xdr:row>
          <xdr:rowOff>0</xdr:rowOff>
        </xdr:from>
        <xdr:to>
          <xdr:col>21</xdr:col>
          <xdr:colOff>390525</xdr:colOff>
          <xdr:row>71</xdr:row>
          <xdr:rowOff>257175</xdr:rowOff>
        </xdr:to>
        <xdr:sp macro="" textlink="">
          <xdr:nvSpPr>
            <xdr:cNvPr id="1122" name="Object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0</xdr:colOff>
          <xdr:row>71</xdr:row>
          <xdr:rowOff>0</xdr:rowOff>
        </xdr:from>
        <xdr:to>
          <xdr:col>24</xdr:col>
          <xdr:colOff>381000</xdr:colOff>
          <xdr:row>72</xdr:row>
          <xdr:rowOff>38100</xdr:rowOff>
        </xdr:to>
        <xdr:sp macro="" textlink="">
          <xdr:nvSpPr>
            <xdr:cNvPr id="1123" name="Object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0</xdr:colOff>
          <xdr:row>71</xdr:row>
          <xdr:rowOff>0</xdr:rowOff>
        </xdr:from>
        <xdr:to>
          <xdr:col>25</xdr:col>
          <xdr:colOff>409575</xdr:colOff>
          <xdr:row>72</xdr:row>
          <xdr:rowOff>38100</xdr:rowOff>
        </xdr:to>
        <xdr:sp macro="" textlink="">
          <xdr:nvSpPr>
            <xdr:cNvPr id="1124" name="Object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447675</xdr:colOff>
          <xdr:row>87</xdr:row>
          <xdr:rowOff>0</xdr:rowOff>
        </xdr:from>
        <xdr:to>
          <xdr:col>0</xdr:col>
          <xdr:colOff>571500</xdr:colOff>
          <xdr:row>88</xdr:row>
          <xdr:rowOff>9525</xdr:rowOff>
        </xdr:to>
        <xdr:sp macro="" textlink="">
          <xdr:nvSpPr>
            <xdr:cNvPr id="1125" name="Object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0</xdr:colOff>
          <xdr:row>71</xdr:row>
          <xdr:rowOff>0</xdr:rowOff>
        </xdr:from>
        <xdr:to>
          <xdr:col>29</xdr:col>
          <xdr:colOff>533400</xdr:colOff>
          <xdr:row>71</xdr:row>
          <xdr:rowOff>276225</xdr:rowOff>
        </xdr:to>
        <xdr:sp macro="" textlink="">
          <xdr:nvSpPr>
            <xdr:cNvPr id="1126" name="Object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38100</xdr:colOff>
          <xdr:row>70</xdr:row>
          <xdr:rowOff>152400</xdr:rowOff>
        </xdr:from>
        <xdr:to>
          <xdr:col>30</xdr:col>
          <xdr:colOff>485775</xdr:colOff>
          <xdr:row>71</xdr:row>
          <xdr:rowOff>190500</xdr:rowOff>
        </xdr:to>
        <xdr:sp macro="" textlink="">
          <xdr:nvSpPr>
            <xdr:cNvPr id="1127" name="Object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595311</xdr:colOff>
      <xdr:row>100</xdr:row>
      <xdr:rowOff>140493</xdr:rowOff>
    </xdr:from>
    <xdr:to>
      <xdr:col>21</xdr:col>
      <xdr:colOff>178593</xdr:colOff>
      <xdr:row>119</xdr:row>
      <xdr:rowOff>11905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-1</xdr:colOff>
      <xdr:row>120</xdr:row>
      <xdr:rowOff>116681</xdr:rowOff>
    </xdr:from>
    <xdr:to>
      <xdr:col>21</xdr:col>
      <xdr:colOff>154781</xdr:colOff>
      <xdr:row>139</xdr:row>
      <xdr:rowOff>190499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47623</xdr:colOff>
      <xdr:row>140</xdr:row>
      <xdr:rowOff>200025</xdr:rowOff>
    </xdr:from>
    <xdr:to>
      <xdr:col>21</xdr:col>
      <xdr:colOff>190500</xdr:colOff>
      <xdr:row>161</xdr:row>
      <xdr:rowOff>35718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510267</xdr:colOff>
      <xdr:row>164</xdr:row>
      <xdr:rowOff>200023</xdr:rowOff>
    </xdr:from>
    <xdr:to>
      <xdr:col>13</xdr:col>
      <xdr:colOff>326570</xdr:colOff>
      <xdr:row>181</xdr:row>
      <xdr:rowOff>13606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54428</xdr:colOff>
      <xdr:row>103</xdr:row>
      <xdr:rowOff>111578</xdr:rowOff>
    </xdr:from>
    <xdr:to>
      <xdr:col>42</xdr:col>
      <xdr:colOff>122463</xdr:colOff>
      <xdr:row>120</xdr:row>
      <xdr:rowOff>149678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9" Type="http://schemas.openxmlformats.org/officeDocument/2006/relationships/image" Target="../media/image18.wmf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wmf"/><Relationship Id="rId34" Type="http://schemas.openxmlformats.org/officeDocument/2006/relationships/oleObject" Target="../embeddings/oleObject16.bin"/><Relationship Id="rId42" Type="http://schemas.openxmlformats.org/officeDocument/2006/relationships/oleObject" Target="../embeddings/oleObject20.bin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wmf"/><Relationship Id="rId25" Type="http://schemas.openxmlformats.org/officeDocument/2006/relationships/image" Target="../media/image11.wmf"/><Relationship Id="rId33" Type="http://schemas.openxmlformats.org/officeDocument/2006/relationships/image" Target="../media/image15.wmf"/><Relationship Id="rId38" Type="http://schemas.openxmlformats.org/officeDocument/2006/relationships/oleObject" Target="../embeddings/oleObject18.bin"/><Relationship Id="rId46" Type="http://schemas.openxmlformats.org/officeDocument/2006/relationships/image" Target="../media/image21.w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29" Type="http://schemas.openxmlformats.org/officeDocument/2006/relationships/image" Target="../media/image13.wmf"/><Relationship Id="rId41" Type="http://schemas.openxmlformats.org/officeDocument/2006/relationships/image" Target="../media/image19.wmf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24" Type="http://schemas.openxmlformats.org/officeDocument/2006/relationships/oleObject" Target="../embeddings/oleObject11.bin"/><Relationship Id="rId32" Type="http://schemas.openxmlformats.org/officeDocument/2006/relationships/oleObject" Target="../embeddings/oleObject15.bin"/><Relationship Id="rId37" Type="http://schemas.openxmlformats.org/officeDocument/2006/relationships/image" Target="../media/image17.wmf"/><Relationship Id="rId40" Type="http://schemas.openxmlformats.org/officeDocument/2006/relationships/oleObject" Target="../embeddings/oleObject19.bin"/><Relationship Id="rId45" Type="http://schemas.openxmlformats.org/officeDocument/2006/relationships/oleObject" Target="../embeddings/oleObject22.bin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23" Type="http://schemas.openxmlformats.org/officeDocument/2006/relationships/image" Target="../media/image10.wmf"/><Relationship Id="rId28" Type="http://schemas.openxmlformats.org/officeDocument/2006/relationships/oleObject" Target="../embeddings/oleObject13.bin"/><Relationship Id="rId36" Type="http://schemas.openxmlformats.org/officeDocument/2006/relationships/oleObject" Target="../embeddings/oleObject17.bin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wmf"/><Relationship Id="rId31" Type="http://schemas.openxmlformats.org/officeDocument/2006/relationships/image" Target="../media/image14.wmf"/><Relationship Id="rId44" Type="http://schemas.openxmlformats.org/officeDocument/2006/relationships/image" Target="../media/image20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wmf"/><Relationship Id="rId30" Type="http://schemas.openxmlformats.org/officeDocument/2006/relationships/oleObject" Target="../embeddings/oleObject14.bin"/><Relationship Id="rId35" Type="http://schemas.openxmlformats.org/officeDocument/2006/relationships/image" Target="../media/image16.wmf"/><Relationship Id="rId43" Type="http://schemas.openxmlformats.org/officeDocument/2006/relationships/oleObject" Target="../embeddings/oleObject2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39"/>
  <sheetViews>
    <sheetView tabSelected="1" topLeftCell="O89" zoomScale="70" zoomScaleNormal="70" workbookViewId="0">
      <selection activeCell="AD106" sqref="AD106"/>
    </sheetView>
  </sheetViews>
  <sheetFormatPr defaultRowHeight="15" x14ac:dyDescent="0.25"/>
  <sheetData>
    <row r="1" spans="1:19" ht="18" x14ac:dyDescent="0.25">
      <c r="A1" s="1" t="s">
        <v>0</v>
      </c>
      <c r="B1" s="1">
        <v>126.71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 ht="15.75" x14ac:dyDescent="0.25">
      <c r="A2" s="1" t="s">
        <v>2</v>
      </c>
      <c r="B2" s="1">
        <v>34.49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9" ht="18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L3" s="1"/>
      <c r="M3" s="2" t="s">
        <v>9</v>
      </c>
    </row>
    <row r="4" spans="1:19" ht="19.5" thickBot="1" x14ac:dyDescent="0.3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9" ht="37.5" customHeight="1" x14ac:dyDescent="0.25">
      <c r="A5" s="1" t="s">
        <v>5</v>
      </c>
      <c r="B5" s="1">
        <v>5.2489999999999997</v>
      </c>
      <c r="C5" s="1" t="s">
        <v>3</v>
      </c>
      <c r="D5" s="1"/>
      <c r="E5" s="1"/>
      <c r="F5" s="1"/>
      <c r="G5" s="1"/>
      <c r="H5" s="1"/>
      <c r="I5" s="1"/>
      <c r="J5" s="1"/>
      <c r="K5" s="1"/>
      <c r="L5" s="27" t="s">
        <v>10</v>
      </c>
      <c r="M5" s="28"/>
      <c r="N5" s="28"/>
      <c r="O5" s="29"/>
      <c r="P5" s="27" t="s">
        <v>11</v>
      </c>
      <c r="Q5" s="28"/>
      <c r="R5" s="28"/>
      <c r="S5" s="29"/>
    </row>
    <row r="6" spans="1:19" ht="19.5" customHeight="1" thickBot="1" x14ac:dyDescent="0.3">
      <c r="A6" s="1" t="s">
        <v>6</v>
      </c>
      <c r="B6" s="1">
        <v>1.3360000000000001</v>
      </c>
      <c r="C6" s="1" t="s">
        <v>3</v>
      </c>
      <c r="D6" s="1"/>
      <c r="E6" s="1"/>
      <c r="F6" s="1"/>
      <c r="G6" s="1"/>
      <c r="H6" s="1"/>
      <c r="I6" s="1"/>
      <c r="J6" s="1"/>
      <c r="K6" s="1"/>
      <c r="L6" s="30" t="s">
        <v>19</v>
      </c>
      <c r="M6" s="31"/>
      <c r="N6" s="31"/>
      <c r="O6" s="32"/>
      <c r="P6" s="30"/>
      <c r="Q6" s="31"/>
      <c r="R6" s="31"/>
      <c r="S6" s="32"/>
    </row>
    <row r="7" spans="1:19" ht="21.75" thickBot="1" x14ac:dyDescent="0.45">
      <c r="A7" s="1" t="s">
        <v>8</v>
      </c>
      <c r="B7">
        <f>17.36*2</f>
        <v>34.72</v>
      </c>
      <c r="C7" s="1" t="s">
        <v>3</v>
      </c>
      <c r="D7" s="1"/>
      <c r="E7" s="7" t="s">
        <v>34</v>
      </c>
      <c r="F7" s="1"/>
      <c r="G7" s="1"/>
      <c r="H7" s="1"/>
      <c r="I7" s="1"/>
      <c r="J7" s="1"/>
      <c r="K7" s="1"/>
      <c r="L7" s="3" t="s">
        <v>12</v>
      </c>
      <c r="M7" s="4" t="s">
        <v>13</v>
      </c>
      <c r="N7" s="4" t="s">
        <v>14</v>
      </c>
      <c r="O7" s="4" t="s">
        <v>15</v>
      </c>
      <c r="P7" s="5" t="s">
        <v>20</v>
      </c>
      <c r="Q7" s="4" t="s">
        <v>16</v>
      </c>
      <c r="R7" s="4" t="s">
        <v>17</v>
      </c>
      <c r="S7" s="4" t="s">
        <v>21</v>
      </c>
    </row>
    <row r="8" spans="1:19" ht="19.5" thickBot="1" x14ac:dyDescent="0.3">
      <c r="A8" s="1" t="s">
        <v>7</v>
      </c>
      <c r="B8" s="1">
        <f>0.5*(B5+B6)*B7</f>
        <v>114.31559999999999</v>
      </c>
      <c r="C8" s="1" t="s">
        <v>1</v>
      </c>
      <c r="D8" s="1"/>
      <c r="E8" s="1"/>
      <c r="F8" s="1"/>
      <c r="G8" s="1"/>
      <c r="H8" s="1"/>
      <c r="I8" s="1"/>
      <c r="J8" s="1"/>
      <c r="K8" s="1"/>
      <c r="L8" s="3">
        <v>0</v>
      </c>
      <c r="M8" s="4">
        <v>0</v>
      </c>
      <c r="N8" s="4">
        <v>0</v>
      </c>
      <c r="O8" s="4">
        <v>0</v>
      </c>
      <c r="P8" s="4">
        <v>-5.12</v>
      </c>
      <c r="Q8" s="4">
        <v>-0.22900000000000001</v>
      </c>
      <c r="R8" s="4">
        <v>1.6199999999999999E-2</v>
      </c>
      <c r="S8" s="4">
        <v>0.104</v>
      </c>
    </row>
    <row r="9" spans="1:19" ht="19.5" thickBot="1" x14ac:dyDescent="0.3">
      <c r="A9" s="1" t="s">
        <v>30</v>
      </c>
      <c r="B9" s="1">
        <f>B7/2</f>
        <v>17.36</v>
      </c>
      <c r="C9" s="1" t="s">
        <v>3</v>
      </c>
      <c r="D9" s="1"/>
      <c r="E9" s="1"/>
      <c r="F9" s="1"/>
      <c r="G9" s="1"/>
      <c r="H9" s="1"/>
      <c r="I9" s="1"/>
      <c r="J9" s="1"/>
      <c r="K9" s="1"/>
      <c r="L9" s="3">
        <v>2.5</v>
      </c>
      <c r="M9" s="4">
        <v>3.8</v>
      </c>
      <c r="N9" s="4">
        <v>-2.41</v>
      </c>
      <c r="O9" s="4">
        <v>6.21</v>
      </c>
      <c r="P9" s="4">
        <v>-3.27</v>
      </c>
      <c r="Q9" s="4">
        <v>-0.106</v>
      </c>
      <c r="R9" s="4">
        <v>1.3100000000000001E-2</v>
      </c>
      <c r="S9" s="4" t="s">
        <v>18</v>
      </c>
    </row>
    <row r="10" spans="1:19" ht="19.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3">
        <v>5</v>
      </c>
      <c r="M10" s="4">
        <v>5.21</v>
      </c>
      <c r="N10" s="4">
        <v>-3.15</v>
      </c>
      <c r="O10" s="4">
        <v>8.36</v>
      </c>
      <c r="P10" s="4">
        <v>-1.51</v>
      </c>
      <c r="Q10" s="4">
        <v>1.7000000000000001E-2</v>
      </c>
      <c r="R10" s="4">
        <v>1.1599999999999999E-2</v>
      </c>
      <c r="S10" s="4" t="s">
        <v>18</v>
      </c>
    </row>
    <row r="11" spans="1:19" ht="19.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>
        <v>7.5</v>
      </c>
      <c r="M11" s="4">
        <v>6.23</v>
      </c>
      <c r="N11" s="4">
        <v>-3.58</v>
      </c>
      <c r="O11" s="4">
        <v>9.81</v>
      </c>
      <c r="P11" s="4">
        <v>0.3</v>
      </c>
      <c r="Q11" s="4">
        <v>0.13900000000000001</v>
      </c>
      <c r="R11" s="4">
        <v>1.2699999999999999E-2</v>
      </c>
      <c r="S11" s="4">
        <v>0.41799999999999998</v>
      </c>
    </row>
    <row r="12" spans="1:19" ht="19.5" thickBo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3">
        <v>10</v>
      </c>
      <c r="M12" s="4">
        <v>7.06</v>
      </c>
      <c r="N12" s="4">
        <v>-3.9</v>
      </c>
      <c r="O12" s="6">
        <v>10.96</v>
      </c>
      <c r="P12" s="3">
        <v>2.14</v>
      </c>
      <c r="Q12" s="4">
        <v>0.26400000000000001</v>
      </c>
      <c r="R12" s="4">
        <v>1.6500000000000001E-2</v>
      </c>
      <c r="S12" s="4">
        <v>0.32700000000000001</v>
      </c>
    </row>
    <row r="13" spans="1:19" ht="19.5" thickBo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3">
        <v>15</v>
      </c>
      <c r="M13" s="4">
        <v>8.1999999999999993</v>
      </c>
      <c r="N13" s="4">
        <v>-4.28</v>
      </c>
      <c r="O13" s="6">
        <v>12.48</v>
      </c>
      <c r="P13" s="3">
        <v>4.01</v>
      </c>
      <c r="Q13" s="4">
        <v>0.39600000000000002</v>
      </c>
      <c r="R13" s="4">
        <v>2.35E-2</v>
      </c>
      <c r="S13" s="4">
        <v>0.29899999999999999</v>
      </c>
    </row>
    <row r="14" spans="1:19" ht="19.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3">
        <v>20</v>
      </c>
      <c r="M14" s="4">
        <v>8.69</v>
      </c>
      <c r="N14" s="4">
        <v>-4.6900000000000004</v>
      </c>
      <c r="O14" s="6">
        <v>13.38</v>
      </c>
      <c r="P14" s="3">
        <v>5.79</v>
      </c>
      <c r="Q14" s="4">
        <v>0.53500000000000003</v>
      </c>
      <c r="R14" s="4">
        <v>3.2500000000000001E-2</v>
      </c>
      <c r="S14" s="4">
        <v>0.28499999999999998</v>
      </c>
    </row>
    <row r="15" spans="1:19" ht="19.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3">
        <v>25</v>
      </c>
      <c r="M15" s="4">
        <v>8.92</v>
      </c>
      <c r="N15" s="4">
        <v>-4.9400000000000004</v>
      </c>
      <c r="O15" s="6">
        <v>13.86</v>
      </c>
      <c r="P15" s="3">
        <v>7.65</v>
      </c>
      <c r="Q15" s="4">
        <v>0.67800000000000005</v>
      </c>
      <c r="R15" s="4">
        <v>4.4600000000000001E-2</v>
      </c>
      <c r="S15" s="4">
        <v>0.27900000000000003</v>
      </c>
    </row>
    <row r="16" spans="1:19" ht="19.5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>
        <v>30</v>
      </c>
      <c r="M16" s="4">
        <v>8.9700000000000006</v>
      </c>
      <c r="N16" s="4">
        <v>-5.03</v>
      </c>
      <c r="O16" s="6">
        <v>14</v>
      </c>
      <c r="P16" s="3">
        <v>9.5</v>
      </c>
      <c r="Q16" s="4">
        <v>0.82499999999999996</v>
      </c>
      <c r="R16" s="4">
        <v>5.96E-2</v>
      </c>
      <c r="S16" s="4">
        <v>0.27500000000000002</v>
      </c>
    </row>
    <row r="17" spans="1:19" ht="19.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>
        <v>40</v>
      </c>
      <c r="M17" s="4">
        <v>8.68</v>
      </c>
      <c r="N17" s="4">
        <v>-4.8899999999999997</v>
      </c>
      <c r="O17" s="6">
        <v>13.57</v>
      </c>
      <c r="P17" s="3">
        <v>11.39</v>
      </c>
      <c r="Q17" s="4">
        <v>0.94299999999999995</v>
      </c>
      <c r="R17" s="4">
        <v>7.6399999999999996E-2</v>
      </c>
      <c r="S17" s="4">
        <v>0.27500000000000002</v>
      </c>
    </row>
    <row r="18" spans="1:19" ht="19.5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">
        <v>50</v>
      </c>
      <c r="M18" s="4">
        <v>7.88</v>
      </c>
      <c r="N18" s="4">
        <v>-4.4400000000000004</v>
      </c>
      <c r="O18" s="6">
        <v>12.32</v>
      </c>
      <c r="P18" s="3">
        <v>13.15</v>
      </c>
      <c r="Q18" s="4">
        <v>1.0569999999999999</v>
      </c>
      <c r="R18" s="4">
        <v>9.2299999999999993E-2</v>
      </c>
      <c r="S18" s="4">
        <v>0.26100000000000001</v>
      </c>
    </row>
    <row r="19" spans="1:19" ht="19.5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3">
        <v>60</v>
      </c>
      <c r="M19" s="4">
        <v>6.05</v>
      </c>
      <c r="N19" s="4">
        <v>-3.71</v>
      </c>
      <c r="O19" s="6">
        <v>10.66</v>
      </c>
      <c r="P19" s="3">
        <v>14.99</v>
      </c>
      <c r="Q19" s="4">
        <v>1.1539999999999999</v>
      </c>
      <c r="R19" s="4">
        <v>0.11</v>
      </c>
      <c r="S19" s="4">
        <v>0.26100000000000001</v>
      </c>
    </row>
    <row r="20" spans="1:19" ht="19.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">
        <v>70</v>
      </c>
      <c r="M20" s="4">
        <v>5.5</v>
      </c>
      <c r="N20" s="4">
        <v>-3.02</v>
      </c>
      <c r="O20" s="6">
        <v>8.52</v>
      </c>
      <c r="P20" s="3">
        <v>16.940000000000001</v>
      </c>
      <c r="Q20" s="4">
        <v>1.226</v>
      </c>
      <c r="R20" s="4">
        <v>0.13020000000000001</v>
      </c>
      <c r="S20" s="4">
        <v>0.26</v>
      </c>
    </row>
    <row r="21" spans="1:19" ht="19.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3">
        <v>80</v>
      </c>
      <c r="M21" s="4">
        <v>3.96</v>
      </c>
      <c r="N21" s="4">
        <v>-2.1800000000000002</v>
      </c>
      <c r="O21" s="6">
        <v>6.44</v>
      </c>
      <c r="P21" s="3">
        <v>18.649999999999999</v>
      </c>
      <c r="Q21" s="4">
        <v>1.2569999999999999</v>
      </c>
      <c r="R21" s="4">
        <v>0.16719999999999999</v>
      </c>
      <c r="S21" s="4">
        <v>0.26300000000000001</v>
      </c>
    </row>
    <row r="22" spans="1:19" ht="19.5" thickBot="1" x14ac:dyDescent="0.3">
      <c r="A22" s="1" t="s">
        <v>26</v>
      </c>
      <c r="B22" s="1">
        <v>71041</v>
      </c>
      <c r="C22" s="1" t="s">
        <v>27</v>
      </c>
      <c r="D22" s="1"/>
      <c r="E22" s="1"/>
      <c r="F22" s="1"/>
      <c r="G22" s="1"/>
      <c r="H22" s="1"/>
      <c r="I22" s="1"/>
      <c r="J22" s="1"/>
      <c r="K22" s="1"/>
      <c r="L22" s="3">
        <v>90</v>
      </c>
      <c r="M22" s="4">
        <v>2.0699999999999998</v>
      </c>
      <c r="N22" s="4">
        <v>-1.21</v>
      </c>
      <c r="O22" s="6">
        <v>3.28</v>
      </c>
      <c r="P22" s="3">
        <v>20.43</v>
      </c>
      <c r="Q22" s="4">
        <v>1.214</v>
      </c>
      <c r="R22" s="4">
        <v>0.2041</v>
      </c>
      <c r="S22" s="4">
        <v>0.28499999999999998</v>
      </c>
    </row>
    <row r="23" spans="1:19" ht="19.5" thickBot="1" x14ac:dyDescent="0.3">
      <c r="B23">
        <f>B22*9.81</f>
        <v>696912.21000000008</v>
      </c>
      <c r="C23" s="1" t="s">
        <v>28</v>
      </c>
      <c r="D23" s="1"/>
      <c r="E23" s="1"/>
      <c r="F23" s="1"/>
      <c r="G23" s="1"/>
      <c r="H23" s="1"/>
      <c r="I23" s="1"/>
      <c r="J23" s="1"/>
      <c r="K23" s="1"/>
      <c r="L23" s="3">
        <v>100</v>
      </c>
      <c r="M23" s="6">
        <v>0</v>
      </c>
      <c r="N23" s="4">
        <v>0</v>
      </c>
      <c r="O23" s="6">
        <v>0</v>
      </c>
      <c r="P23" s="3">
        <v>22.22</v>
      </c>
      <c r="Q23" s="4">
        <v>1.19</v>
      </c>
      <c r="R23" s="4">
        <v>0.2359</v>
      </c>
      <c r="S23" s="6">
        <v>0.30199999999999999</v>
      </c>
    </row>
    <row r="24" spans="1:19" ht="18.75" x14ac:dyDescent="0.25">
      <c r="A24" s="1" t="s">
        <v>22</v>
      </c>
      <c r="B24" s="1">
        <v>0.2</v>
      </c>
      <c r="C24" s="1"/>
      <c r="D24" s="1"/>
      <c r="E24" s="1"/>
      <c r="F24" s="1"/>
      <c r="G24" s="1"/>
      <c r="H24" s="1"/>
      <c r="I24" s="1"/>
      <c r="J24" s="1"/>
      <c r="K24" s="1"/>
      <c r="L24" s="2"/>
    </row>
    <row r="25" spans="1:19" ht="15.75" x14ac:dyDescent="0.25">
      <c r="A25" s="1" t="s">
        <v>23</v>
      </c>
      <c r="B25" s="1">
        <v>0.5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9" ht="15.75" x14ac:dyDescent="0.25">
      <c r="A26" s="1" t="s">
        <v>24</v>
      </c>
      <c r="B26" s="1">
        <v>0.8</v>
      </c>
      <c r="C26" s="1"/>
      <c r="D26" s="8" t="s">
        <v>35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9" ht="15.75" x14ac:dyDescent="0.25">
      <c r="A27" s="1" t="s">
        <v>25</v>
      </c>
      <c r="B27" s="1">
        <f>B23*B8/B1</f>
        <v>628742.30473897886</v>
      </c>
      <c r="C27" s="1" t="s">
        <v>28</v>
      </c>
      <c r="D27" s="1"/>
      <c r="E27" s="1"/>
      <c r="F27" s="1"/>
      <c r="G27" s="1" t="s">
        <v>72</v>
      </c>
      <c r="H27" s="1">
        <f>0.45*B30/2</f>
        <v>29976.662250000005</v>
      </c>
      <c r="I27" s="1" t="s">
        <v>28</v>
      </c>
      <c r="J27" s="1"/>
      <c r="K27" s="1"/>
      <c r="L27" s="1"/>
      <c r="M27" s="1"/>
      <c r="N27" s="1"/>
      <c r="O27" s="1"/>
      <c r="P27" s="1"/>
    </row>
    <row r="28" spans="1:19" ht="15.75" x14ac:dyDescent="0.25">
      <c r="A28" s="1" t="s">
        <v>29</v>
      </c>
      <c r="B28" s="1">
        <f>B9*(B5+2*B6)/(3*(B5+B6))</f>
        <v>6.9606965325234116</v>
      </c>
      <c r="C28" s="1" t="s">
        <v>3</v>
      </c>
      <c r="D28" s="1"/>
      <c r="E28" s="1"/>
      <c r="F28" s="1"/>
      <c r="G28" s="1" t="s">
        <v>73</v>
      </c>
      <c r="H28" s="1">
        <f>0.35*B30/2</f>
        <v>23315.18175</v>
      </c>
      <c r="I28" s="1" t="s">
        <v>28</v>
      </c>
      <c r="J28" s="1"/>
      <c r="K28" s="1"/>
      <c r="L28" s="1"/>
      <c r="M28" s="1"/>
      <c r="N28" s="1"/>
      <c r="O28" s="1"/>
      <c r="P28" s="1"/>
    </row>
    <row r="29" spans="1:19" ht="15.75" x14ac:dyDescent="0.25">
      <c r="A29" s="1" t="s">
        <v>31</v>
      </c>
      <c r="B29" s="1">
        <v>13581</v>
      </c>
      <c r="C29" s="1" t="s">
        <v>27</v>
      </c>
      <c r="D29" s="1">
        <f>B29/2</f>
        <v>6790.5</v>
      </c>
      <c r="E29" s="1" t="s">
        <v>27</v>
      </c>
      <c r="F29" s="1"/>
      <c r="G29" s="1" t="s">
        <v>74</v>
      </c>
      <c r="H29" s="1">
        <f>0.2*B30/2</f>
        <v>13322.961000000003</v>
      </c>
      <c r="I29" s="1" t="s">
        <v>28</v>
      </c>
      <c r="J29" s="1"/>
      <c r="K29" s="1"/>
      <c r="L29" s="1"/>
      <c r="M29" s="1"/>
      <c r="N29" s="1"/>
      <c r="O29" s="1"/>
      <c r="P29" s="1"/>
    </row>
    <row r="30" spans="1:19" ht="15.75" x14ac:dyDescent="0.25">
      <c r="A30" s="1" t="s">
        <v>32</v>
      </c>
      <c r="B30" s="1">
        <f>B29*9.81</f>
        <v>133229.61000000002</v>
      </c>
      <c r="C30" s="1" t="s">
        <v>28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9" ht="15.75" x14ac:dyDescent="0.25">
      <c r="A31" s="1" t="s">
        <v>33</v>
      </c>
      <c r="B31" s="1">
        <f>B23-0.2*B30</f>
        <v>670266.28800000006</v>
      </c>
      <c r="C31" s="1" t="s">
        <v>28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9" ht="15.75" x14ac:dyDescent="0.25">
      <c r="A32" s="1"/>
      <c r="B32" s="1">
        <f>B31/9.81</f>
        <v>68324.800000000003</v>
      </c>
      <c r="C32" s="1" t="s">
        <v>27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8.75" x14ac:dyDescent="0.35">
      <c r="A33" s="1" t="s">
        <v>50</v>
      </c>
      <c r="B33" s="1">
        <v>7388</v>
      </c>
      <c r="C33" s="1" t="s">
        <v>27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5.75" x14ac:dyDescent="0.25">
      <c r="B34">
        <f>B33*9.81</f>
        <v>72476.28</v>
      </c>
      <c r="C34" s="1" t="s">
        <v>28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5.75" x14ac:dyDescent="0.25">
      <c r="A35" s="1" t="s">
        <v>56</v>
      </c>
      <c r="B35">
        <v>7104</v>
      </c>
      <c r="C35" s="1" t="s">
        <v>27</v>
      </c>
      <c r="E35" s="1">
        <f>B36/2000</f>
        <v>34.845120000000001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5.75" x14ac:dyDescent="0.25">
      <c r="B36">
        <f>B35*9.81</f>
        <v>69690.240000000005</v>
      </c>
      <c r="C36" s="1" t="s">
        <v>28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5.75" x14ac:dyDescent="0.25">
      <c r="A37" s="1" t="s">
        <v>36</v>
      </c>
      <c r="B37" s="1">
        <v>2.5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8" x14ac:dyDescent="0.25">
      <c r="A38" s="9" t="s">
        <v>37</v>
      </c>
      <c r="B38" s="1">
        <v>0.125</v>
      </c>
      <c r="C38" s="1" t="s">
        <v>38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5.75" x14ac:dyDescent="0.25">
      <c r="B39">
        <v>1.2250000000000001</v>
      </c>
      <c r="C39" s="1" t="s">
        <v>44</v>
      </c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5.75" x14ac:dyDescent="0.25">
      <c r="A40" s="1" t="s">
        <v>39</v>
      </c>
      <c r="B40" s="1">
        <v>550</v>
      </c>
      <c r="C40" s="1" t="s">
        <v>40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5.75" x14ac:dyDescent="0.25">
      <c r="A41" s="1"/>
      <c r="B41" s="1">
        <f>B40/3.6</f>
        <v>152.77777777777777</v>
      </c>
      <c r="C41" s="1" t="s">
        <v>41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5.75" x14ac:dyDescent="0.25">
      <c r="A42" s="1" t="s">
        <v>42</v>
      </c>
      <c r="B42" s="1">
        <f>2*B37*B23/(B39*B41*B41*B8)</f>
        <v>1.0660709558098729</v>
      </c>
      <c r="C42" s="1"/>
      <c r="D42" s="1">
        <v>1.0569999999999999</v>
      </c>
      <c r="E42" s="1"/>
      <c r="F42" s="1" t="s">
        <v>53</v>
      </c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5.75" x14ac:dyDescent="0.25">
      <c r="A43" s="1" t="s">
        <v>46</v>
      </c>
      <c r="B43" s="1">
        <v>9.2299999999999993E-2</v>
      </c>
      <c r="C43" s="1"/>
      <c r="D43" s="1"/>
      <c r="E43" s="1"/>
      <c r="F43" s="1" t="s">
        <v>53</v>
      </c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5.75" x14ac:dyDescent="0.25">
      <c r="A44" s="9" t="s">
        <v>43</v>
      </c>
      <c r="B44" s="1">
        <v>13.15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5.75" x14ac:dyDescent="0.25">
      <c r="A45" s="9" t="s">
        <v>45</v>
      </c>
      <c r="B45" s="1">
        <f>ATAN(B43/D42)</f>
        <v>8.7101669217322042E-2</v>
      </c>
      <c r="C45" s="1"/>
      <c r="D45" s="1">
        <f>B45*57.3</f>
        <v>4.9909256461525526</v>
      </c>
      <c r="E45" s="1"/>
      <c r="F45" s="1" t="s">
        <v>54</v>
      </c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5.75" x14ac:dyDescent="0.25">
      <c r="A46" s="1" t="s">
        <v>47</v>
      </c>
      <c r="B46" s="1">
        <f>B27*COS(B45)</f>
        <v>626358.77237265662</v>
      </c>
      <c r="C46" s="1" t="s">
        <v>28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8.75" x14ac:dyDescent="0.3">
      <c r="A47" s="1" t="s">
        <v>48</v>
      </c>
      <c r="B47" s="1">
        <f>B27*SIN(B45)</f>
        <v>54695.283528851658</v>
      </c>
      <c r="C47" s="1" t="s">
        <v>28</v>
      </c>
      <c r="D47" s="1"/>
      <c r="E47" s="1"/>
      <c r="F47" s="10"/>
      <c r="G47" s="1"/>
      <c r="H47" s="10"/>
      <c r="I47" s="1"/>
      <c r="J47" s="1"/>
      <c r="K47" s="1"/>
      <c r="L47" s="1"/>
      <c r="M47" s="1"/>
      <c r="N47" s="1"/>
      <c r="O47" s="1"/>
      <c r="P47" s="1"/>
    </row>
    <row r="48" spans="1:16" ht="15.75" x14ac:dyDescent="0.25">
      <c r="A48" s="1" t="s">
        <v>49</v>
      </c>
      <c r="B48" s="1">
        <v>1.5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8.75" x14ac:dyDescent="0.3">
      <c r="A49" s="1" t="s">
        <v>51</v>
      </c>
      <c r="B49" s="1"/>
      <c r="C49" s="1"/>
      <c r="D49" s="1"/>
      <c r="E49" s="1"/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5.75" x14ac:dyDescent="0.25">
      <c r="A50" s="1" t="s">
        <v>47</v>
      </c>
      <c r="B50" s="1">
        <f>B37*B48*B23</f>
        <v>2613420.7875000001</v>
      </c>
      <c r="C50" s="1" t="s">
        <v>28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5.75" x14ac:dyDescent="0.25">
      <c r="A51" s="1" t="s">
        <v>52</v>
      </c>
      <c r="B51" s="1">
        <f>B48*B37*B33*9.81</f>
        <v>271786.05</v>
      </c>
      <c r="C51" s="1" t="s">
        <v>28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5.75" x14ac:dyDescent="0.25">
      <c r="A52" s="1" t="s">
        <v>55</v>
      </c>
      <c r="B52" s="1">
        <f>B37*B48*9.81*(B35+B29)</f>
        <v>760949.4375</v>
      </c>
      <c r="C52" s="1" t="s">
        <v>28</v>
      </c>
      <c r="D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5.75" x14ac:dyDescent="0.25">
      <c r="A53" s="1"/>
      <c r="B53" s="1"/>
      <c r="C53" s="1"/>
      <c r="D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6.5" thickBot="1" x14ac:dyDescent="0.3">
      <c r="A54" s="9" t="s">
        <v>57</v>
      </c>
      <c r="B54" s="1">
        <f>B5/B6</f>
        <v>3.9288922155688617</v>
      </c>
      <c r="C54" s="1"/>
      <c r="D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8.75" thickBot="1" x14ac:dyDescent="0.3">
      <c r="A55" s="9" t="s">
        <v>58</v>
      </c>
      <c r="B55" s="1">
        <f>B2*B2/B1</f>
        <v>9.3880522452845092</v>
      </c>
      <c r="C55" s="1"/>
      <c r="D55" s="1"/>
      <c r="K55" s="9" t="s">
        <v>62</v>
      </c>
      <c r="L55" s="12">
        <v>4</v>
      </c>
      <c r="M55" s="13">
        <v>5</v>
      </c>
      <c r="N55" s="1">
        <v>4.1689999999999996</v>
      </c>
      <c r="O55" s="1"/>
      <c r="P55" s="1"/>
    </row>
    <row r="56" spans="1:16" ht="18.75" x14ac:dyDescent="0.25">
      <c r="A56" s="1" t="s">
        <v>64</v>
      </c>
      <c r="B56" s="1">
        <v>25</v>
      </c>
      <c r="C56" s="1"/>
      <c r="D56" s="1"/>
      <c r="L56" s="14">
        <v>1.3858999999999999</v>
      </c>
      <c r="M56" s="15">
        <v>1.4157</v>
      </c>
      <c r="N56" s="1">
        <f>0.0298*N55+1.2667</f>
        <v>1.3909361999999998</v>
      </c>
      <c r="O56" s="1"/>
      <c r="P56" s="1"/>
    </row>
    <row r="57" spans="1:16" ht="18.75" x14ac:dyDescent="0.25">
      <c r="A57" s="9" t="s">
        <v>80</v>
      </c>
      <c r="B57" s="1">
        <v>0.98980000000000001</v>
      </c>
      <c r="C57" s="1"/>
      <c r="D57" s="1"/>
      <c r="L57" s="14">
        <v>1.3701000000000001</v>
      </c>
      <c r="M57" s="15">
        <v>1.3987000000000001</v>
      </c>
      <c r="N57" s="1">
        <f>0.0286*N55+1.2557</f>
        <v>1.3749334</v>
      </c>
      <c r="O57" s="1"/>
      <c r="P57" s="1"/>
    </row>
    <row r="58" spans="1:16" ht="18.75" x14ac:dyDescent="0.25">
      <c r="A58" s="1" t="s">
        <v>81</v>
      </c>
      <c r="B58" s="1">
        <v>0.99619999999999997</v>
      </c>
      <c r="C58" s="1"/>
      <c r="D58" s="1"/>
      <c r="L58" s="14">
        <v>1.3245</v>
      </c>
      <c r="M58" s="15">
        <v>1.349</v>
      </c>
      <c r="N58" s="1">
        <f>0.0245*N55+1.2265</f>
        <v>1.3286404999999999</v>
      </c>
      <c r="O58" s="1"/>
      <c r="P58" s="1"/>
    </row>
    <row r="59" spans="1:16" ht="18.75" x14ac:dyDescent="0.25">
      <c r="L59" s="14">
        <v>1.2524</v>
      </c>
      <c r="M59" s="15">
        <v>1.2710999999999999</v>
      </c>
      <c r="N59" s="1">
        <f>0.0187*N55+1.1776</f>
        <v>1.2555603</v>
      </c>
      <c r="O59" s="1"/>
      <c r="P59" s="1"/>
    </row>
    <row r="60" spans="1:16" ht="18.75" x14ac:dyDescent="0.25">
      <c r="L60" s="14">
        <v>1.1600999999999999</v>
      </c>
      <c r="M60" s="15">
        <v>1.1702999999999999</v>
      </c>
      <c r="N60" s="1">
        <f>0.0102*N55+1.1193</f>
        <v>1.1618238000000001</v>
      </c>
      <c r="O60" s="1"/>
      <c r="P60" s="1"/>
    </row>
    <row r="61" spans="1:16" ht="18.75" x14ac:dyDescent="0.25">
      <c r="L61" s="14">
        <v>1.0543</v>
      </c>
      <c r="M61" s="15">
        <v>1.0561</v>
      </c>
      <c r="N61" s="1">
        <f>0.0018*N55+1.0471</f>
        <v>1.0546042</v>
      </c>
      <c r="O61" s="1"/>
      <c r="P61" s="1"/>
    </row>
    <row r="62" spans="1:16" ht="18.75" x14ac:dyDescent="0.25">
      <c r="L62" s="16">
        <v>0.94189999999999996</v>
      </c>
      <c r="M62" s="17">
        <v>0.93430000000000002</v>
      </c>
      <c r="N62" s="1">
        <f>-0.0076*N55+0.9723</f>
        <v>0.94061560000000011</v>
      </c>
      <c r="O62" s="1"/>
      <c r="P62" s="1"/>
    </row>
    <row r="63" spans="1:16" ht="18.75" x14ac:dyDescent="0.25">
      <c r="L63" s="16">
        <v>0.82709999999999995</v>
      </c>
      <c r="M63" s="17">
        <v>0.80979999999999996</v>
      </c>
      <c r="N63" s="1">
        <f>-0.0173*N55+0.896</f>
        <v>0.82387630000000001</v>
      </c>
      <c r="O63" s="1"/>
      <c r="P63" s="1"/>
    </row>
    <row r="64" spans="1:16" ht="18.75" x14ac:dyDescent="0.25">
      <c r="L64" s="16">
        <v>0.70509999999999995</v>
      </c>
      <c r="M64" s="17">
        <v>0.6784</v>
      </c>
      <c r="N64" s="1">
        <f>-0.0267*N55+0.8119</f>
        <v>0.70058769999999992</v>
      </c>
      <c r="O64" s="1"/>
      <c r="P64" s="1"/>
    </row>
    <row r="65" spans="1:38" ht="18.75" x14ac:dyDescent="0.25">
      <c r="L65" s="16">
        <v>0.54339999999999999</v>
      </c>
      <c r="M65" s="17">
        <v>0.51149999999999995</v>
      </c>
      <c r="N65" s="1">
        <f>-0.0319*N55+0.671</f>
        <v>0.53800890000000012</v>
      </c>
      <c r="O65" s="1"/>
      <c r="P65" s="1"/>
    </row>
    <row r="66" spans="1:38" ht="18.75" x14ac:dyDescent="0.25">
      <c r="L66" s="16">
        <v>0.40920000000000001</v>
      </c>
      <c r="M66" s="17">
        <v>0.37980000000000003</v>
      </c>
      <c r="N66" s="1">
        <f>-0.0294*N55+0.5268</f>
        <v>0.40423140000000007</v>
      </c>
      <c r="O66" s="1"/>
      <c r="P66" s="1"/>
    </row>
    <row r="67" spans="1:38" ht="18.75" x14ac:dyDescent="0.25">
      <c r="L67" s="16">
        <v>0</v>
      </c>
      <c r="M67" s="17">
        <v>0</v>
      </c>
      <c r="N67" s="1">
        <v>0</v>
      </c>
      <c r="O67" s="1"/>
      <c r="P67" s="1"/>
    </row>
    <row r="68" spans="1:38" ht="15.75" x14ac:dyDescent="0.25">
      <c r="L68" s="1"/>
      <c r="M68" s="1"/>
      <c r="N68" s="1"/>
      <c r="O68" s="1"/>
      <c r="P68" s="1"/>
    </row>
    <row r="69" spans="1:38" ht="15.75" x14ac:dyDescent="0.25">
      <c r="K69" s="1"/>
      <c r="L69" s="1"/>
      <c r="M69" s="1"/>
      <c r="N69" s="1"/>
      <c r="O69" s="1"/>
      <c r="P69" s="1"/>
    </row>
    <row r="70" spans="1:38" ht="15.75" x14ac:dyDescent="0.25">
      <c r="K70" s="1"/>
      <c r="L70" s="1"/>
      <c r="M70" s="1"/>
      <c r="N70" s="1"/>
      <c r="O70" s="1"/>
      <c r="P70" s="1"/>
    </row>
    <row r="71" spans="1:38" ht="15.75" x14ac:dyDescent="0.25">
      <c r="A71" t="s">
        <v>60</v>
      </c>
      <c r="D71" s="1"/>
      <c r="E71" s="1"/>
      <c r="F71" s="1"/>
      <c r="M71" s="1"/>
      <c r="N71" s="1"/>
      <c r="O71" s="1"/>
      <c r="P71" s="1"/>
    </row>
    <row r="72" spans="1:38" ht="24.75" x14ac:dyDescent="0.45">
      <c r="A72" s="1"/>
      <c r="B72" t="s">
        <v>59</v>
      </c>
      <c r="C72" s="11" t="s">
        <v>61</v>
      </c>
      <c r="D72" s="18" t="s">
        <v>63</v>
      </c>
      <c r="E72" s="1"/>
      <c r="F72" s="18" t="s">
        <v>97</v>
      </c>
      <c r="G72" s="1"/>
      <c r="H72" s="10" t="s">
        <v>65</v>
      </c>
      <c r="M72" s="19" t="s">
        <v>66</v>
      </c>
      <c r="N72" s="19" t="s">
        <v>67</v>
      </c>
      <c r="O72" s="19" t="s">
        <v>68</v>
      </c>
      <c r="P72" s="20" t="s">
        <v>69</v>
      </c>
      <c r="Q72" s="19" t="s">
        <v>70</v>
      </c>
      <c r="R72" s="20" t="s">
        <v>71</v>
      </c>
      <c r="S72" s="18" t="s">
        <v>75</v>
      </c>
      <c r="T72" s="21" t="s">
        <v>76</v>
      </c>
      <c r="U72" s="21" t="s">
        <v>77</v>
      </c>
      <c r="V72" s="22" t="s">
        <v>54</v>
      </c>
      <c r="W72" s="21" t="s">
        <v>78</v>
      </c>
      <c r="X72" s="21" t="s">
        <v>79</v>
      </c>
      <c r="Z72" s="23" t="s">
        <v>65</v>
      </c>
      <c r="AA72" s="1" t="s">
        <v>82</v>
      </c>
      <c r="AB72" s="1" t="s">
        <v>83</v>
      </c>
      <c r="AC72" t="s">
        <v>84</v>
      </c>
      <c r="AD72" s="24" t="s">
        <v>54</v>
      </c>
      <c r="AE72" s="24" t="s">
        <v>54</v>
      </c>
      <c r="AF72" t="s">
        <v>85</v>
      </c>
      <c r="AG72" s="22" t="s">
        <v>86</v>
      </c>
      <c r="AH72" s="22" t="s">
        <v>87</v>
      </c>
      <c r="AI72" s="22" t="s">
        <v>88</v>
      </c>
      <c r="AK72" s="22" t="s">
        <v>115</v>
      </c>
    </row>
    <row r="73" spans="1:38" ht="15.75" x14ac:dyDescent="0.25">
      <c r="A73" s="1"/>
      <c r="B73">
        <v>0</v>
      </c>
      <c r="C73">
        <f t="shared" ref="C73:C83" si="0">N56</f>
        <v>1.3909361999999998</v>
      </c>
      <c r="D73" s="1">
        <v>-0.23499999999999999</v>
      </c>
      <c r="E73" s="1"/>
      <c r="F73" s="1">
        <f>D73*$B$56/45</f>
        <v>-0.13055555555555556</v>
      </c>
      <c r="G73" s="1"/>
      <c r="H73">
        <f>C73+F73</f>
        <v>1.2603806444444443</v>
      </c>
      <c r="I73">
        <f>$B$5-(($B$5-$B$6)*B73)</f>
        <v>5.2489999999999997</v>
      </c>
      <c r="J73">
        <f>$B$37*$B$48*$B$31*H73/$B$7/1000</f>
        <v>91.243230416779824</v>
      </c>
      <c r="K73">
        <f>-$B$37*$B$48*$B$34*I73/$B$8/1000</f>
        <v>-12.479530146804111</v>
      </c>
      <c r="L73">
        <f>J73+K73</f>
        <v>78.763700269975715</v>
      </c>
      <c r="M73" s="1">
        <f t="shared" ref="M73:M83" si="1">B74-B73</f>
        <v>0.1</v>
      </c>
      <c r="N73" s="1">
        <f>M73*$B$7/2</f>
        <v>1.736</v>
      </c>
      <c r="O73" s="1">
        <f>-(L73+L74)*N73/2</f>
        <v>-138.63030662526245</v>
      </c>
      <c r="P73" s="1">
        <f t="shared" ref="P73:P82" si="2">O73+P74</f>
        <v>-1113.4636533926334</v>
      </c>
      <c r="Q73">
        <f>-(P73+P74)*N73/2</f>
        <v>1812.6417961388836</v>
      </c>
      <c r="R73">
        <f t="shared" ref="R73:R82" si="3">Q73+R74</f>
        <v>8275.3318901752227</v>
      </c>
      <c r="S73">
        <f>AK73/2000*9.81</f>
        <v>51.296490000000006</v>
      </c>
      <c r="T73">
        <f>T74+S73</f>
        <v>173.867535</v>
      </c>
      <c r="U73">
        <f>-(T74+T73)*N73/2</f>
        <v>-257.30868743999997</v>
      </c>
      <c r="V73">
        <f t="shared" ref="V73:V82" si="4">U73+V74</f>
        <v>-624.67904141999998</v>
      </c>
      <c r="W73">
        <f>P73+T73</f>
        <v>-939.59611839263346</v>
      </c>
      <c r="X73">
        <f>R73+V73</f>
        <v>7650.6528487552223</v>
      </c>
      <c r="Y73">
        <f>J73*$B$57/$B$58</f>
        <v>90.657046242249208</v>
      </c>
      <c r="Z73">
        <f>-K73*$B$57/$B$58</f>
        <v>12.399356493983847</v>
      </c>
      <c r="AA73" s="26">
        <v>1.41</v>
      </c>
      <c r="AB73" s="26">
        <v>2.1</v>
      </c>
      <c r="AC73">
        <f>(Z73*AB73)-(Y73*AA73)</f>
        <v>-101.78778656420529</v>
      </c>
      <c r="AD73">
        <f t="shared" ref="AD73:AD82" si="5">(AC73+AC74)*N73/2</f>
        <v>-183.30422124035164</v>
      </c>
      <c r="AE73">
        <f t="shared" ref="AE73:AE82" si="6">AE74+AD73</f>
        <v>-1683.8411587674618</v>
      </c>
      <c r="AF73">
        <v>0</v>
      </c>
      <c r="AG73">
        <f t="shared" ref="AG73:AG80" si="7">S73*AF73</f>
        <v>0</v>
      </c>
      <c r="AH73">
        <f t="shared" ref="AH73:AH82" si="8">AH74+AG73</f>
        <v>41.117099999999994</v>
      </c>
      <c r="AI73">
        <f>AH73+AE73</f>
        <v>-1642.7240587674619</v>
      </c>
      <c r="AJ73">
        <v>0</v>
      </c>
      <c r="AK73">
        <f t="shared" ref="AK73:AK77" si="9">AJ73+$AL$78</f>
        <v>10458</v>
      </c>
    </row>
    <row r="74" spans="1:38" ht="15.75" x14ac:dyDescent="0.25">
      <c r="A74" s="1"/>
      <c r="B74">
        <v>0.1</v>
      </c>
      <c r="C74">
        <f t="shared" si="0"/>
        <v>1.3749334</v>
      </c>
      <c r="D74" s="1">
        <v>-0.17499999999999999</v>
      </c>
      <c r="E74" s="1"/>
      <c r="F74" s="1">
        <f t="shared" ref="F74:F84" si="10">D74*$B$56/45</f>
        <v>-9.7222222222222224E-2</v>
      </c>
      <c r="G74" s="1"/>
      <c r="H74">
        <f t="shared" ref="H74:H84" si="11">C74+F74</f>
        <v>1.2777111777777777</v>
      </c>
      <c r="I74">
        <f t="shared" ref="I74:I84" si="12">$B$5-(($B$5-$B$6)*B74)</f>
        <v>4.8576999999999995</v>
      </c>
      <c r="J74">
        <f t="shared" ref="J74:J84" si="13">$B$37*$B$48*$B$31*H74/$B$7/1000</f>
        <v>92.497846514820623</v>
      </c>
      <c r="K74">
        <f t="shared" ref="K74:K84" si="14">-$B$37*$B$48*$B$34*I74/$B$8/1000</f>
        <v>-11.549211963065407</v>
      </c>
      <c r="L74">
        <f t="shared" ref="L74:L84" si="15">J74+K74</f>
        <v>80.948634551755219</v>
      </c>
      <c r="M74" s="1">
        <f t="shared" si="1"/>
        <v>0.1</v>
      </c>
      <c r="N74" s="1">
        <f t="shared" ref="N74:N83" si="16">M74*$B$7/2</f>
        <v>1.736</v>
      </c>
      <c r="O74" s="1">
        <f t="shared" ref="O74:O83" si="17">-(L74+L75)*N74/2</f>
        <v>-140.24072183498018</v>
      </c>
      <c r="P74" s="1">
        <f t="shared" si="2"/>
        <v>-974.83334676737093</v>
      </c>
      <c r="Q74">
        <f t="shared" ref="Q74:Q83" si="18">-(P74+P75)*N74/2</f>
        <v>1570.581743435393</v>
      </c>
      <c r="R74">
        <f t="shared" si="3"/>
        <v>6462.6900940363394</v>
      </c>
      <c r="S74">
        <f t="shared" ref="S74:S75" si="19">AK74/2000*9.81</f>
        <v>37.964700000000001</v>
      </c>
      <c r="T74">
        <f t="shared" ref="T74:T82" si="20">T75+S74</f>
        <v>122.571045</v>
      </c>
      <c r="U74">
        <f t="shared" ref="U74:U77" si="21">-(T75+T74)*N74/2</f>
        <v>-179.82997452000001</v>
      </c>
      <c r="V74">
        <f t="shared" si="4"/>
        <v>-367.37035398</v>
      </c>
      <c r="W74">
        <f t="shared" ref="W74:W84" si="22">P74+T74</f>
        <v>-852.2623017673709</v>
      </c>
      <c r="X74">
        <f t="shared" ref="X74:X84" si="23">R74+V74</f>
        <v>6095.3197400563395</v>
      </c>
      <c r="Y74">
        <f t="shared" ref="Y74:Y84" si="24">J74*$B$57/$B$58</f>
        <v>91.903602168610163</v>
      </c>
      <c r="Z74">
        <f t="shared" ref="Z74:Z84" si="25">-K74*$B$57/$B$58</f>
        <v>11.475015058263542</v>
      </c>
      <c r="AA74" s="26">
        <v>1.45</v>
      </c>
      <c r="AB74" s="26">
        <v>2.08</v>
      </c>
      <c r="AC74">
        <f t="shared" ref="AC74:AC84" si="26">(Z74*AB74)-(Y74*AA74)</f>
        <v>-109.39219182329657</v>
      </c>
      <c r="AD74">
        <f t="shared" si="5"/>
        <v>-193.23712984346071</v>
      </c>
      <c r="AE74">
        <f t="shared" si="6"/>
        <v>-1500.5369375271102</v>
      </c>
      <c r="AF74">
        <v>0</v>
      </c>
      <c r="AG74">
        <f t="shared" si="7"/>
        <v>0</v>
      </c>
      <c r="AH74">
        <f t="shared" si="8"/>
        <v>41.117099999999994</v>
      </c>
      <c r="AI74">
        <f t="shared" ref="AI74:AI84" si="27">AH74+AE74</f>
        <v>-1459.4198375271103</v>
      </c>
      <c r="AJ74">
        <v>-2718</v>
      </c>
      <c r="AK74">
        <f t="shared" si="9"/>
        <v>7740</v>
      </c>
    </row>
    <row r="75" spans="1:38" ht="15.75" x14ac:dyDescent="0.25">
      <c r="A75" s="1"/>
      <c r="B75">
        <v>0.2</v>
      </c>
      <c r="C75">
        <f t="shared" si="0"/>
        <v>1.3286404999999999</v>
      </c>
      <c r="D75" s="1">
        <v>-0.123</v>
      </c>
      <c r="E75" s="1"/>
      <c r="F75" s="1">
        <f t="shared" si="10"/>
        <v>-6.8333333333333343E-2</v>
      </c>
      <c r="G75" s="1"/>
      <c r="H75">
        <f t="shared" si="11"/>
        <v>1.2603071666666665</v>
      </c>
      <c r="I75">
        <f t="shared" si="12"/>
        <v>4.4664000000000001</v>
      </c>
      <c r="J75">
        <f t="shared" si="13"/>
        <v>91.23791111118922</v>
      </c>
      <c r="K75">
        <f t="shared" si="14"/>
        <v>-10.618893779326706</v>
      </c>
      <c r="L75">
        <f t="shared" si="15"/>
        <v>80.619017331862509</v>
      </c>
      <c r="M75" s="1">
        <f t="shared" si="1"/>
        <v>9.9999999999999978E-2</v>
      </c>
      <c r="N75" s="1">
        <f t="shared" si="16"/>
        <v>1.7359999999999995</v>
      </c>
      <c r="O75" s="1">
        <f t="shared" si="17"/>
        <v>-137.95035062594559</v>
      </c>
      <c r="P75" s="1">
        <f t="shared" si="2"/>
        <v>-834.59262493239078</v>
      </c>
      <c r="Q75">
        <f t="shared" si="18"/>
        <v>1329.1118925393093</v>
      </c>
      <c r="R75">
        <f t="shared" si="3"/>
        <v>4892.1083506009463</v>
      </c>
      <c r="S75">
        <f t="shared" si="19"/>
        <v>26.266275000000004</v>
      </c>
      <c r="T75">
        <f t="shared" si="20"/>
        <v>84.606345000000005</v>
      </c>
      <c r="U75">
        <f t="shared" si="21"/>
        <v>-124.07748821999996</v>
      </c>
      <c r="V75">
        <f t="shared" si="4"/>
        <v>-187.54037946</v>
      </c>
      <c r="W75">
        <f t="shared" si="22"/>
        <v>-749.98627993239074</v>
      </c>
      <c r="X75">
        <f t="shared" si="23"/>
        <v>4704.5679711409466</v>
      </c>
      <c r="Y75">
        <f t="shared" si="24"/>
        <v>90.651761110073366</v>
      </c>
      <c r="Z75">
        <f t="shared" si="25"/>
        <v>10.550673622543238</v>
      </c>
      <c r="AA75" s="26">
        <v>1.49</v>
      </c>
      <c r="AB75" s="26">
        <v>2.0699999999999998</v>
      </c>
      <c r="AC75">
        <f t="shared" si="26"/>
        <v>-113.23122965534482</v>
      </c>
      <c r="AD75">
        <f t="shared" si="5"/>
        <v>-197.18683522157625</v>
      </c>
      <c r="AE75">
        <f t="shared" si="6"/>
        <v>-1307.2998076836495</v>
      </c>
      <c r="AF75">
        <v>0</v>
      </c>
      <c r="AG75">
        <f t="shared" si="7"/>
        <v>0</v>
      </c>
      <c r="AH75">
        <f t="shared" si="8"/>
        <v>41.117099999999994</v>
      </c>
      <c r="AI75">
        <f t="shared" si="27"/>
        <v>-1266.1827076836496</v>
      </c>
      <c r="AJ75">
        <v>-5103</v>
      </c>
      <c r="AK75">
        <f t="shared" si="9"/>
        <v>5355</v>
      </c>
    </row>
    <row r="76" spans="1:38" ht="15.75" x14ac:dyDescent="0.25">
      <c r="A76" s="1"/>
      <c r="B76">
        <v>0.3</v>
      </c>
      <c r="C76">
        <f t="shared" si="0"/>
        <v>1.2555603</v>
      </c>
      <c r="D76" s="1">
        <v>-7.1999999999999995E-2</v>
      </c>
      <c r="E76" s="1"/>
      <c r="F76" s="1">
        <f t="shared" si="10"/>
        <v>-3.9999999999999994E-2</v>
      </c>
      <c r="G76" s="1"/>
      <c r="H76">
        <f t="shared" si="11"/>
        <v>1.2155602999999999</v>
      </c>
      <c r="I76">
        <f t="shared" si="12"/>
        <v>4.0750999999999999</v>
      </c>
      <c r="J76">
        <f t="shared" si="13"/>
        <v>87.998533639238886</v>
      </c>
      <c r="K76">
        <f t="shared" si="14"/>
        <v>-9.688575595588004</v>
      </c>
      <c r="L76">
        <f t="shared" si="15"/>
        <v>78.30995804365088</v>
      </c>
      <c r="M76" s="1">
        <f t="shared" si="1"/>
        <v>0.10000000000000003</v>
      </c>
      <c r="N76" s="1">
        <f t="shared" si="16"/>
        <v>1.7360000000000004</v>
      </c>
      <c r="O76" s="1">
        <f t="shared" si="17"/>
        <v>-132.50419537365889</v>
      </c>
      <c r="P76" s="1">
        <f t="shared" si="2"/>
        <v>-696.64227430644519</v>
      </c>
      <c r="Q76">
        <f t="shared" si="18"/>
        <v>1094.3573466116532</v>
      </c>
      <c r="R76">
        <f t="shared" si="3"/>
        <v>3562.996458061637</v>
      </c>
      <c r="S76">
        <f>B36/2000+(AK76*9.81/2000)</f>
        <v>50.953140000000005</v>
      </c>
      <c r="T76">
        <f t="shared" si="20"/>
        <v>58.340070000000004</v>
      </c>
      <c r="U76">
        <f t="shared" si="21"/>
        <v>-57.051036000000018</v>
      </c>
      <c r="V76">
        <f t="shared" si="4"/>
        <v>-63.462891240000019</v>
      </c>
      <c r="W76">
        <f t="shared" si="22"/>
        <v>-638.30220430644522</v>
      </c>
      <c r="X76">
        <f t="shared" si="23"/>
        <v>3499.5335668216371</v>
      </c>
      <c r="Y76">
        <f t="shared" si="24"/>
        <v>87.433194736115894</v>
      </c>
      <c r="Z76">
        <f t="shared" si="25"/>
        <v>9.6263321868229337</v>
      </c>
      <c r="AA76" s="26">
        <v>1.53</v>
      </c>
      <c r="AB76" s="26">
        <v>2.06</v>
      </c>
      <c r="AC76">
        <f t="shared" si="26"/>
        <v>-113.94254364140208</v>
      </c>
      <c r="AD76">
        <f t="shared" si="5"/>
        <v>-195.93955640108118</v>
      </c>
      <c r="AE76">
        <f t="shared" si="6"/>
        <v>-1110.1129724620732</v>
      </c>
      <c r="AF76">
        <v>1.18</v>
      </c>
      <c r="AG76">
        <f>34.845*AF76</f>
        <v>41.117099999999994</v>
      </c>
      <c r="AH76">
        <f t="shared" si="8"/>
        <v>41.117099999999994</v>
      </c>
      <c r="AI76">
        <f t="shared" si="27"/>
        <v>-1068.9958724620733</v>
      </c>
      <c r="AJ76">
        <v>-7174</v>
      </c>
      <c r="AK76">
        <f t="shared" si="9"/>
        <v>3284</v>
      </c>
    </row>
    <row r="77" spans="1:38" ht="15.75" x14ac:dyDescent="0.25">
      <c r="A77" s="1"/>
      <c r="B77">
        <v>0.4</v>
      </c>
      <c r="C77">
        <f t="shared" si="0"/>
        <v>1.1618238000000001</v>
      </c>
      <c r="D77" s="1">
        <v>-2.5000000000000001E-2</v>
      </c>
      <c r="E77" s="1"/>
      <c r="F77" s="1">
        <f t="shared" si="10"/>
        <v>-1.3888888888888888E-2</v>
      </c>
      <c r="G77" s="1"/>
      <c r="H77">
        <f t="shared" si="11"/>
        <v>1.1479349111111112</v>
      </c>
      <c r="I77">
        <f t="shared" si="12"/>
        <v>3.6837999999999997</v>
      </c>
      <c r="J77">
        <f t="shared" si="13"/>
        <v>83.102902333243208</v>
      </c>
      <c r="K77">
        <f t="shared" si="14"/>
        <v>-8.7582574118493017</v>
      </c>
      <c r="L77">
        <f t="shared" si="15"/>
        <v>74.344644921393908</v>
      </c>
      <c r="M77" s="1">
        <f t="shared" si="1"/>
        <v>9.9999999999999978E-2</v>
      </c>
      <c r="N77" s="1">
        <f t="shared" si="16"/>
        <v>1.7359999999999995</v>
      </c>
      <c r="O77" s="1">
        <f t="shared" si="17"/>
        <v>-124.87789708332079</v>
      </c>
      <c r="P77" s="1">
        <f t="shared" si="2"/>
        <v>-564.13807893278636</v>
      </c>
      <c r="Q77">
        <f t="shared" si="18"/>
        <v>870.94969035899442</v>
      </c>
      <c r="R77">
        <f t="shared" si="3"/>
        <v>2468.6391114499838</v>
      </c>
      <c r="S77">
        <f>AK77/2000*9.81</f>
        <v>7.3869300000000004</v>
      </c>
      <c r="T77">
        <f t="shared" si="20"/>
        <v>7.3869300000000004</v>
      </c>
      <c r="U77">
        <f t="shared" si="21"/>
        <v>-6.4118552399999986</v>
      </c>
      <c r="V77">
        <f t="shared" si="4"/>
        <v>-6.4118552399999986</v>
      </c>
      <c r="W77">
        <f t="shared" si="22"/>
        <v>-556.75114893278635</v>
      </c>
      <c r="X77">
        <f t="shared" si="23"/>
        <v>2462.2272562099838</v>
      </c>
      <c r="Y77">
        <f t="shared" si="24"/>
        <v>82.569014986392418</v>
      </c>
      <c r="Z77">
        <f t="shared" si="25"/>
        <v>8.7019907511026293</v>
      </c>
      <c r="AA77" s="26">
        <v>1.57</v>
      </c>
      <c r="AB77" s="26">
        <v>2.0499999999999998</v>
      </c>
      <c r="AC77">
        <f t="shared" si="26"/>
        <v>-111.79427248887571</v>
      </c>
      <c r="AD77">
        <f t="shared" si="5"/>
        <v>-190.6685738436743</v>
      </c>
      <c r="AE77">
        <f t="shared" si="6"/>
        <v>-914.17341606099217</v>
      </c>
      <c r="AF77">
        <v>0</v>
      </c>
      <c r="AG77">
        <f t="shared" si="7"/>
        <v>0</v>
      </c>
      <c r="AH77">
        <f t="shared" si="8"/>
        <v>0</v>
      </c>
      <c r="AI77">
        <f t="shared" si="27"/>
        <v>-914.17341606099217</v>
      </c>
      <c r="AJ77">
        <v>-8952</v>
      </c>
      <c r="AK77">
        <f t="shared" si="9"/>
        <v>1506</v>
      </c>
    </row>
    <row r="78" spans="1:38" ht="15.75" x14ac:dyDescent="0.25">
      <c r="A78" s="1"/>
      <c r="B78">
        <v>0.5</v>
      </c>
      <c r="C78">
        <f t="shared" si="0"/>
        <v>1.0546042</v>
      </c>
      <c r="D78" s="1">
        <v>2.5000000000000001E-2</v>
      </c>
      <c r="E78" s="1"/>
      <c r="F78" s="1">
        <f t="shared" si="10"/>
        <v>1.3888888888888888E-2</v>
      </c>
      <c r="G78" s="1"/>
      <c r="H78">
        <f t="shared" si="11"/>
        <v>1.0684930888888888</v>
      </c>
      <c r="I78">
        <f t="shared" si="12"/>
        <v>3.2925</v>
      </c>
      <c r="J78">
        <f t="shared" si="13"/>
        <v>77.351839333583982</v>
      </c>
      <c r="K78">
        <f t="shared" si="14"/>
        <v>-7.8279392281106004</v>
      </c>
      <c r="L78">
        <f t="shared" si="15"/>
        <v>69.523900105473388</v>
      </c>
      <c r="M78" s="1">
        <f t="shared" si="1"/>
        <v>9.9999999999999978E-2</v>
      </c>
      <c r="N78" s="1">
        <f t="shared" si="16"/>
        <v>1.7359999999999995</v>
      </c>
      <c r="O78" s="1">
        <f t="shared" si="17"/>
        <v>-116.01391788068227</v>
      </c>
      <c r="P78" s="1">
        <f t="shared" si="2"/>
        <v>-439.26018184946554</v>
      </c>
      <c r="Q78">
        <f t="shared" si="18"/>
        <v>661.85559497023974</v>
      </c>
      <c r="R78">
        <f t="shared" si="3"/>
        <v>1597.6894210909895</v>
      </c>
      <c r="S78">
        <f t="shared" ref="S78:S84" si="28">AK78/2000*9.81</f>
        <v>0</v>
      </c>
      <c r="T78">
        <f t="shared" si="20"/>
        <v>0</v>
      </c>
      <c r="U78">
        <v>0</v>
      </c>
      <c r="V78">
        <f t="shared" si="4"/>
        <v>0</v>
      </c>
      <c r="W78">
        <f t="shared" si="22"/>
        <v>-439.26018184946554</v>
      </c>
      <c r="X78">
        <f t="shared" si="23"/>
        <v>1597.6894210909895</v>
      </c>
      <c r="Y78">
        <f t="shared" si="24"/>
        <v>76.854899189300767</v>
      </c>
      <c r="Z78">
        <f t="shared" si="25"/>
        <v>7.7776493153823258</v>
      </c>
      <c r="AA78" s="26">
        <v>1.61</v>
      </c>
      <c r="AB78" s="26">
        <v>2.04</v>
      </c>
      <c r="AC78">
        <f t="shared" si="26"/>
        <v>-107.86998309139429</v>
      </c>
      <c r="AD78">
        <f t="shared" si="5"/>
        <v>-182.63139734866036</v>
      </c>
      <c r="AE78">
        <f t="shared" si="6"/>
        <v>-723.5048422173179</v>
      </c>
      <c r="AF78">
        <v>0</v>
      </c>
      <c r="AG78">
        <f t="shared" si="7"/>
        <v>0</v>
      </c>
      <c r="AH78">
        <f t="shared" si="8"/>
        <v>0</v>
      </c>
      <c r="AI78">
        <f t="shared" si="27"/>
        <v>-723.5048422173179</v>
      </c>
      <c r="AJ78">
        <v>-10458</v>
      </c>
      <c r="AK78">
        <f>AJ78+$AL$78</f>
        <v>0</v>
      </c>
      <c r="AL78">
        <v>10458</v>
      </c>
    </row>
    <row r="79" spans="1:38" ht="15.75" x14ac:dyDescent="0.25">
      <c r="A79" s="1"/>
      <c r="B79">
        <v>0.6</v>
      </c>
      <c r="C79">
        <f t="shared" si="0"/>
        <v>0.94061560000000011</v>
      </c>
      <c r="D79" s="1">
        <v>7.2999999999999995E-2</v>
      </c>
      <c r="E79" s="1"/>
      <c r="F79" s="1">
        <f t="shared" si="10"/>
        <v>4.0555555555555553E-2</v>
      </c>
      <c r="G79" s="1"/>
      <c r="H79">
        <f t="shared" si="11"/>
        <v>0.98117115555555567</v>
      </c>
      <c r="I79">
        <f t="shared" si="12"/>
        <v>2.9012000000000002</v>
      </c>
      <c r="J79">
        <f t="shared" si="13"/>
        <v>71.03030835903941</v>
      </c>
      <c r="K79">
        <f t="shared" si="14"/>
        <v>-6.8976210443718982</v>
      </c>
      <c r="L79">
        <f t="shared" si="15"/>
        <v>64.132687314667507</v>
      </c>
      <c r="M79" s="1">
        <f t="shared" si="1"/>
        <v>9.9999999999999978E-2</v>
      </c>
      <c r="N79" s="1">
        <f t="shared" si="16"/>
        <v>1.7359999999999995</v>
      </c>
      <c r="O79" s="1">
        <f t="shared" si="17"/>
        <v>-106.13282843724311</v>
      </c>
      <c r="P79" s="1">
        <f t="shared" si="2"/>
        <v>-323.24626396878324</v>
      </c>
      <c r="Q79">
        <f t="shared" si="18"/>
        <v>469.03221916628053</v>
      </c>
      <c r="R79">
        <f t="shared" si="3"/>
        <v>935.83382612074979</v>
      </c>
      <c r="S79">
        <f t="shared" si="28"/>
        <v>0</v>
      </c>
      <c r="T79">
        <f t="shared" si="20"/>
        <v>0</v>
      </c>
      <c r="U79">
        <f t="shared" ref="U79:U82" si="29">(T80+T79)*N79/2</f>
        <v>0</v>
      </c>
      <c r="V79">
        <f t="shared" si="4"/>
        <v>0</v>
      </c>
      <c r="W79">
        <f t="shared" si="22"/>
        <v>-323.24626396878324</v>
      </c>
      <c r="X79">
        <f t="shared" si="23"/>
        <v>935.83382612074979</v>
      </c>
      <c r="Y79">
        <f t="shared" si="24"/>
        <v>70.573980339065656</v>
      </c>
      <c r="Z79">
        <f t="shared" si="25"/>
        <v>6.8533078796620206</v>
      </c>
      <c r="AA79" s="26">
        <v>1.65</v>
      </c>
      <c r="AB79" s="26">
        <v>2.0299999999999998</v>
      </c>
      <c r="AC79">
        <f t="shared" si="26"/>
        <v>-102.53485256374444</v>
      </c>
      <c r="AD79">
        <f t="shared" si="5"/>
        <v>-172.0924620647437</v>
      </c>
      <c r="AE79">
        <f t="shared" si="6"/>
        <v>-540.87344486865754</v>
      </c>
      <c r="AF79">
        <v>0</v>
      </c>
      <c r="AG79">
        <f t="shared" si="7"/>
        <v>0</v>
      </c>
      <c r="AH79">
        <f t="shared" si="8"/>
        <v>0</v>
      </c>
      <c r="AI79">
        <f t="shared" si="27"/>
        <v>-540.87344486865754</v>
      </c>
      <c r="AK79">
        <v>0</v>
      </c>
    </row>
    <row r="80" spans="1:38" ht="15.75" x14ac:dyDescent="0.25">
      <c r="A80" s="1"/>
      <c r="B80">
        <v>0.7</v>
      </c>
      <c r="C80">
        <f t="shared" si="0"/>
        <v>0.82387630000000001</v>
      </c>
      <c r="D80" s="1">
        <v>0.111</v>
      </c>
      <c r="E80" s="1"/>
      <c r="F80" s="1">
        <f t="shared" si="10"/>
        <v>6.1666666666666661E-2</v>
      </c>
      <c r="G80" s="1"/>
      <c r="H80">
        <f t="shared" si="11"/>
        <v>0.88554296666666665</v>
      </c>
      <c r="I80">
        <f t="shared" si="12"/>
        <v>2.5099000000000005</v>
      </c>
      <c r="J80">
        <f t="shared" si="13"/>
        <v>64.107459367674366</v>
      </c>
      <c r="K80">
        <f t="shared" si="14"/>
        <v>-5.967302860633195</v>
      </c>
      <c r="L80">
        <f t="shared" si="15"/>
        <v>58.140156507041169</v>
      </c>
      <c r="M80" s="1">
        <f t="shared" si="1"/>
        <v>0.10000000000000009</v>
      </c>
      <c r="N80" s="1">
        <f t="shared" si="16"/>
        <v>1.7360000000000015</v>
      </c>
      <c r="O80" s="1">
        <f t="shared" si="17"/>
        <v>-94.829517713954047</v>
      </c>
      <c r="P80" s="1">
        <f t="shared" si="2"/>
        <v>-217.11343553154012</v>
      </c>
      <c r="Q80">
        <f t="shared" si="18"/>
        <v>294.59690270704181</v>
      </c>
      <c r="R80">
        <f t="shared" si="3"/>
        <v>466.80160695446921</v>
      </c>
      <c r="S80">
        <f t="shared" si="28"/>
        <v>0</v>
      </c>
      <c r="T80">
        <f t="shared" si="20"/>
        <v>0</v>
      </c>
      <c r="U80">
        <f t="shared" si="29"/>
        <v>0</v>
      </c>
      <c r="V80">
        <f t="shared" si="4"/>
        <v>0</v>
      </c>
      <c r="W80">
        <f t="shared" si="22"/>
        <v>-217.11343553154012</v>
      </c>
      <c r="X80">
        <f t="shared" si="23"/>
        <v>466.80160695446921</v>
      </c>
      <c r="Y80">
        <f t="shared" si="24"/>
        <v>63.695606587155275</v>
      </c>
      <c r="Z80">
        <f t="shared" si="25"/>
        <v>5.9289664439417153</v>
      </c>
      <c r="AA80" s="26">
        <v>1.69</v>
      </c>
      <c r="AB80" s="26">
        <v>2.0099999999999998</v>
      </c>
      <c r="AC80">
        <f t="shared" si="26"/>
        <v>-95.728352579969567</v>
      </c>
      <c r="AD80">
        <f t="shared" si="5"/>
        <v>-158.17573680450101</v>
      </c>
      <c r="AE80">
        <f t="shared" si="6"/>
        <v>-368.78098280391384</v>
      </c>
      <c r="AF80">
        <v>0</v>
      </c>
      <c r="AG80">
        <f t="shared" si="7"/>
        <v>0</v>
      </c>
      <c r="AH80">
        <f t="shared" si="8"/>
        <v>0</v>
      </c>
      <c r="AI80">
        <f t="shared" si="27"/>
        <v>-368.78098280391384</v>
      </c>
      <c r="AK80">
        <v>0</v>
      </c>
    </row>
    <row r="81" spans="1:37" ht="15.75" x14ac:dyDescent="0.25">
      <c r="A81" s="1"/>
      <c r="B81">
        <v>0.8</v>
      </c>
      <c r="C81">
        <f t="shared" si="0"/>
        <v>0.70058769999999992</v>
      </c>
      <c r="D81" s="1">
        <v>0.13500000000000001</v>
      </c>
      <c r="E81" s="1"/>
      <c r="F81" s="1">
        <f t="shared" si="10"/>
        <v>7.4999999999999997E-2</v>
      </c>
      <c r="G81" s="1"/>
      <c r="H81">
        <f t="shared" si="11"/>
        <v>0.77558769999999988</v>
      </c>
      <c r="I81">
        <f t="shared" si="12"/>
        <v>2.1185999999999998</v>
      </c>
      <c r="J81">
        <f t="shared" si="13"/>
        <v>56.14742461450075</v>
      </c>
      <c r="K81">
        <f t="shared" si="14"/>
        <v>-5.0369846768944919</v>
      </c>
      <c r="L81">
        <f t="shared" si="15"/>
        <v>51.110439937606259</v>
      </c>
      <c r="M81" s="1">
        <f t="shared" si="1"/>
        <v>9.9999999999999978E-2</v>
      </c>
      <c r="N81" s="1">
        <f t="shared" si="16"/>
        <v>1.7359999999999995</v>
      </c>
      <c r="O81" s="1">
        <f t="shared" si="17"/>
        <v>-79.493748854217046</v>
      </c>
      <c r="P81" s="1">
        <f t="shared" si="2"/>
        <v>-122.28391781758609</v>
      </c>
      <c r="Q81">
        <f t="shared" si="18"/>
        <v>143.28430732586901</v>
      </c>
      <c r="R81">
        <f t="shared" si="3"/>
        <v>172.20470424742743</v>
      </c>
      <c r="S81">
        <f t="shared" si="28"/>
        <v>0</v>
      </c>
      <c r="T81">
        <f t="shared" si="20"/>
        <v>0</v>
      </c>
      <c r="U81">
        <f t="shared" si="29"/>
        <v>0</v>
      </c>
      <c r="V81">
        <f t="shared" si="4"/>
        <v>0</v>
      </c>
      <c r="W81">
        <f t="shared" si="22"/>
        <v>-122.28391781758609</v>
      </c>
      <c r="X81">
        <f t="shared" si="23"/>
        <v>172.20470424742743</v>
      </c>
      <c r="Y81">
        <f t="shared" si="24"/>
        <v>55.786710382887819</v>
      </c>
      <c r="Z81">
        <f t="shared" si="25"/>
        <v>5.0046250082214092</v>
      </c>
      <c r="AA81" s="26">
        <v>1.73</v>
      </c>
      <c r="AB81" s="26">
        <v>2</v>
      </c>
      <c r="AC81">
        <f t="shared" si="26"/>
        <v>-86.5017589459531</v>
      </c>
      <c r="AD81">
        <f t="shared" si="5"/>
        <v>-136.08478644019704</v>
      </c>
      <c r="AE81">
        <f t="shared" si="6"/>
        <v>-210.60524599941283</v>
      </c>
      <c r="AF81">
        <v>0</v>
      </c>
      <c r="AG81">
        <f>S81*AF81</f>
        <v>0</v>
      </c>
      <c r="AH81">
        <f t="shared" si="8"/>
        <v>0</v>
      </c>
      <c r="AI81">
        <f t="shared" si="27"/>
        <v>-210.60524599941283</v>
      </c>
      <c r="AK81">
        <v>0</v>
      </c>
    </row>
    <row r="82" spans="1:37" ht="15.75" x14ac:dyDescent="0.25">
      <c r="A82" s="1"/>
      <c r="B82">
        <v>0.9</v>
      </c>
      <c r="C82">
        <f t="shared" si="0"/>
        <v>0.53800890000000012</v>
      </c>
      <c r="D82" s="1">
        <v>0.14000000000000001</v>
      </c>
      <c r="E82" s="1"/>
      <c r="F82" s="1">
        <f t="shared" si="10"/>
        <v>7.7777777777777793E-2</v>
      </c>
      <c r="G82" s="1"/>
      <c r="H82">
        <f t="shared" si="11"/>
        <v>0.61578667777777796</v>
      </c>
      <c r="I82">
        <f t="shared" si="12"/>
        <v>1.7273000000000001</v>
      </c>
      <c r="J82">
        <f t="shared" si="13"/>
        <v>44.578886525845697</v>
      </c>
      <c r="K82">
        <f t="shared" si="14"/>
        <v>-4.1066664931557897</v>
      </c>
      <c r="L82">
        <f t="shared" si="15"/>
        <v>40.472220032689904</v>
      </c>
      <c r="M82" s="1">
        <f t="shared" si="1"/>
        <v>4.9999999999999933E-2</v>
      </c>
      <c r="N82" s="1">
        <f t="shared" si="16"/>
        <v>0.86799999999999877</v>
      </c>
      <c r="O82" s="1">
        <f t="shared" si="17"/>
        <v>-30.866823811921712</v>
      </c>
      <c r="P82" s="1">
        <f t="shared" si="2"/>
        <v>-42.790168963369041</v>
      </c>
      <c r="Q82">
        <f t="shared" si="18"/>
        <v>23.745665125830275</v>
      </c>
      <c r="R82">
        <f t="shared" si="3"/>
        <v>28.920396921558421</v>
      </c>
      <c r="S82">
        <f t="shared" si="28"/>
        <v>0</v>
      </c>
      <c r="T82">
        <f t="shared" si="20"/>
        <v>0</v>
      </c>
      <c r="U82">
        <f t="shared" si="29"/>
        <v>0</v>
      </c>
      <c r="V82">
        <f t="shared" si="4"/>
        <v>0</v>
      </c>
      <c r="W82">
        <f t="shared" si="22"/>
        <v>-42.790168963369041</v>
      </c>
      <c r="X82">
        <f t="shared" si="23"/>
        <v>28.920396921558421</v>
      </c>
      <c r="Y82">
        <f t="shared" si="24"/>
        <v>44.292493358042634</v>
      </c>
      <c r="Z82">
        <f t="shared" si="25"/>
        <v>4.0802835725011048</v>
      </c>
      <c r="AA82" s="26">
        <v>1.77</v>
      </c>
      <c r="AB82" s="26">
        <v>1.99</v>
      </c>
      <c r="AC82">
        <f t="shared" si="26"/>
        <v>-70.277948934458266</v>
      </c>
      <c r="AD82">
        <f t="shared" si="5"/>
        <v>-53.859678402437723</v>
      </c>
      <c r="AE82">
        <f t="shared" si="6"/>
        <v>-74.520459559215794</v>
      </c>
      <c r="AF82">
        <v>0</v>
      </c>
      <c r="AG82">
        <f t="shared" ref="AG82:AG83" si="30">S82*AF82</f>
        <v>0</v>
      </c>
      <c r="AH82">
        <f t="shared" si="8"/>
        <v>0</v>
      </c>
      <c r="AI82">
        <f t="shared" si="27"/>
        <v>-74.520459559215794</v>
      </c>
      <c r="AK82">
        <v>0</v>
      </c>
    </row>
    <row r="83" spans="1:37" ht="15.75" x14ac:dyDescent="0.25">
      <c r="A83" s="1"/>
      <c r="B83">
        <v>0.95</v>
      </c>
      <c r="C83">
        <f t="shared" si="0"/>
        <v>0.40423140000000007</v>
      </c>
      <c r="D83" s="1">
        <v>0.125</v>
      </c>
      <c r="E83" s="1"/>
      <c r="F83" s="1">
        <f t="shared" si="10"/>
        <v>6.9444444444444448E-2</v>
      </c>
      <c r="G83" s="1"/>
      <c r="H83">
        <f t="shared" si="11"/>
        <v>0.47367584444444455</v>
      </c>
      <c r="I83">
        <f t="shared" si="12"/>
        <v>1.5316500000000004</v>
      </c>
      <c r="J83">
        <f t="shared" si="13"/>
        <v>34.291001220950811</v>
      </c>
      <c r="K83">
        <f t="shared" si="14"/>
        <v>-3.6415074012864399</v>
      </c>
      <c r="L83">
        <f t="shared" si="15"/>
        <v>30.649493819664372</v>
      </c>
      <c r="M83" s="1">
        <f t="shared" si="1"/>
        <v>5.0000000000000044E-2</v>
      </c>
      <c r="N83" s="1">
        <f t="shared" si="16"/>
        <v>0.86800000000000077</v>
      </c>
      <c r="O83" s="1">
        <f t="shared" si="17"/>
        <v>-11.923345151447332</v>
      </c>
      <c r="P83" s="1">
        <f>O83+P84</f>
        <v>-11.923345151447332</v>
      </c>
      <c r="Q83">
        <f t="shared" si="18"/>
        <v>5.1747317957281469</v>
      </c>
      <c r="R83">
        <f>Q83+R84</f>
        <v>5.1747317957281469</v>
      </c>
      <c r="S83">
        <f t="shared" si="28"/>
        <v>0</v>
      </c>
      <c r="T83">
        <f>T84+S83</f>
        <v>0</v>
      </c>
      <c r="U83">
        <f>(T84+T83)*N83/2</f>
        <v>0</v>
      </c>
      <c r="V83">
        <f>U83+V84</f>
        <v>0</v>
      </c>
      <c r="W83">
        <f t="shared" si="22"/>
        <v>-11.923345151447332</v>
      </c>
      <c r="X83">
        <f t="shared" si="23"/>
        <v>5.1747317957281469</v>
      </c>
      <c r="Y83">
        <f t="shared" si="24"/>
        <v>34.070701674861589</v>
      </c>
      <c r="Z83">
        <f t="shared" si="25"/>
        <v>3.6181128546409536</v>
      </c>
      <c r="AA83" s="26">
        <v>1.79</v>
      </c>
      <c r="AB83" s="26">
        <v>1.98</v>
      </c>
      <c r="AC83">
        <f t="shared" si="26"/>
        <v>-53.822692545813155</v>
      </c>
      <c r="AD83">
        <f>(AC83+AC84)*N83/2</f>
        <v>-20.660781156778079</v>
      </c>
      <c r="AE83">
        <f>AE84+AD83</f>
        <v>-20.660781156778079</v>
      </c>
      <c r="AF83">
        <v>0</v>
      </c>
      <c r="AG83">
        <f t="shared" si="30"/>
        <v>0</v>
      </c>
      <c r="AH83">
        <f>AH84+AG83</f>
        <v>0</v>
      </c>
      <c r="AI83">
        <f t="shared" si="27"/>
        <v>-20.660781156778079</v>
      </c>
      <c r="AK83">
        <v>0</v>
      </c>
    </row>
    <row r="84" spans="1:37" ht="15.75" x14ac:dyDescent="0.25">
      <c r="A84" s="1"/>
      <c r="B84">
        <v>1</v>
      </c>
      <c r="C84">
        <v>0</v>
      </c>
      <c r="D84" s="1"/>
      <c r="E84" s="1"/>
      <c r="F84" s="1">
        <f t="shared" si="10"/>
        <v>0</v>
      </c>
      <c r="G84" s="1"/>
      <c r="H84">
        <f t="shared" si="11"/>
        <v>0</v>
      </c>
      <c r="I84">
        <f t="shared" si="12"/>
        <v>1.3360000000000003</v>
      </c>
      <c r="J84">
        <f t="shared" si="13"/>
        <v>0</v>
      </c>
      <c r="K84">
        <f t="shared" si="14"/>
        <v>-3.1763483094170883</v>
      </c>
      <c r="L84">
        <f t="shared" si="15"/>
        <v>-3.1763483094170883</v>
      </c>
      <c r="M84" s="1">
        <v>0</v>
      </c>
      <c r="N84" s="1">
        <f>M84*$B$7/2</f>
        <v>0</v>
      </c>
      <c r="O84" s="1">
        <f t="shared" ref="O84" si="31">(L84+L85)*N84/2</f>
        <v>0</v>
      </c>
      <c r="P84" s="1">
        <v>0</v>
      </c>
      <c r="Q84">
        <f t="shared" ref="Q84" si="32">(P84+P85)*N84/2</f>
        <v>0</v>
      </c>
      <c r="R84">
        <v>0</v>
      </c>
      <c r="S84">
        <f t="shared" si="28"/>
        <v>0</v>
      </c>
      <c r="T84">
        <v>0</v>
      </c>
      <c r="U84">
        <v>0</v>
      </c>
      <c r="V84">
        <v>0</v>
      </c>
      <c r="W84">
        <f t="shared" si="22"/>
        <v>0</v>
      </c>
      <c r="X84">
        <f t="shared" si="23"/>
        <v>0</v>
      </c>
      <c r="Y84">
        <f t="shared" si="24"/>
        <v>0</v>
      </c>
      <c r="Z84">
        <f t="shared" si="25"/>
        <v>3.1559421367808014</v>
      </c>
      <c r="AA84" s="26">
        <v>1.81</v>
      </c>
      <c r="AB84" s="26">
        <v>1.97</v>
      </c>
      <c r="AC84">
        <f t="shared" si="26"/>
        <v>6.2172060094581783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f t="shared" si="27"/>
        <v>0</v>
      </c>
      <c r="AK84">
        <v>0</v>
      </c>
    </row>
    <row r="85" spans="1:37" ht="15.7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37" ht="15.7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37" ht="15.7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37" ht="15.75" x14ac:dyDescent="0.25">
      <c r="A88" s="1"/>
      <c r="B88" t="s">
        <v>59</v>
      </c>
      <c r="C88" s="1" t="s">
        <v>82</v>
      </c>
      <c r="D88" s="1" t="s">
        <v>83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37" ht="15.75" x14ac:dyDescent="0.25">
      <c r="A89" s="1"/>
      <c r="B89">
        <v>0</v>
      </c>
      <c r="C89" s="1">
        <v>0.38</v>
      </c>
      <c r="D89" s="1">
        <v>2.29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AF89">
        <v>0</v>
      </c>
      <c r="AG89">
        <v>41.116999999999997</v>
      </c>
      <c r="AH89">
        <f>AE73</f>
        <v>-1683.8411587674618</v>
      </c>
      <c r="AI89">
        <f>AH89+AG89</f>
        <v>-1642.7241587674619</v>
      </c>
    </row>
    <row r="90" spans="1:37" ht="15.75" x14ac:dyDescent="0.25">
      <c r="A90" s="1"/>
      <c r="B90">
        <v>0.1</v>
      </c>
      <c r="C90" s="1">
        <v>0.5</v>
      </c>
      <c r="D90" s="1">
        <v>2.2599999999999998</v>
      </c>
      <c r="E90" s="1"/>
      <c r="F90" s="1"/>
      <c r="G90" s="1"/>
      <c r="H90" s="1" t="s">
        <v>89</v>
      </c>
      <c r="I90" s="1">
        <f>B37*B48*(0.5*(B31-B34)-(0.8*D29+Q91+Q92+Q93))</f>
        <v>1087164.7649999999</v>
      </c>
      <c r="J90" s="1" t="s">
        <v>28</v>
      </c>
      <c r="K90" s="1">
        <f>I90/1000</f>
        <v>1087.164765</v>
      </c>
      <c r="L90" s="1" t="s">
        <v>90</v>
      </c>
      <c r="M90" s="1"/>
      <c r="N90" s="1">
        <f>K90+W73</f>
        <v>147.56864660736653</v>
      </c>
      <c r="O90" s="1"/>
      <c r="P90" s="1"/>
      <c r="Q90" t="s">
        <v>91</v>
      </c>
      <c r="R90" t="s">
        <v>92</v>
      </c>
      <c r="S90" t="s">
        <v>93</v>
      </c>
      <c r="AF90">
        <v>0.1</v>
      </c>
      <c r="AG90">
        <v>41.116999999999997</v>
      </c>
      <c r="AH90">
        <f t="shared" ref="AH90:AH93" si="33">AE74</f>
        <v>-1500.5369375271102</v>
      </c>
      <c r="AI90">
        <f t="shared" ref="AI90:AI101" si="34">AH90+AG90</f>
        <v>-1459.4199375271103</v>
      </c>
    </row>
    <row r="91" spans="1:37" ht="15.75" x14ac:dyDescent="0.25">
      <c r="A91" s="1"/>
      <c r="B91">
        <v>0.2</v>
      </c>
      <c r="C91" s="1">
        <v>0.62</v>
      </c>
      <c r="D91" s="1">
        <v>2.2400000000000002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X91" t="s">
        <v>94</v>
      </c>
      <c r="Y91">
        <f>B37*B48*(0.5*(B31-B34)*R96-(Q91*R91+Q92*R92+Q93*R93+Q94*R94))</f>
        <v>7736805.5172426421</v>
      </c>
      <c r="AA91">
        <f>Y91/1000</f>
        <v>7736.8055172426421</v>
      </c>
      <c r="AC91">
        <f>AA91-X73</f>
        <v>86.15266848741976</v>
      </c>
      <c r="AF91">
        <v>0.2</v>
      </c>
      <c r="AG91">
        <v>41.116999999999997</v>
      </c>
      <c r="AH91">
        <f t="shared" si="33"/>
        <v>-1307.2998076836495</v>
      </c>
      <c r="AI91">
        <f t="shared" si="34"/>
        <v>-1266.1828076836496</v>
      </c>
    </row>
    <row r="92" spans="1:37" ht="15.75" x14ac:dyDescent="0.25">
      <c r="A92" s="1"/>
      <c r="B92">
        <v>0.3</v>
      </c>
      <c r="C92" s="1">
        <v>0.74</v>
      </c>
      <c r="D92" s="1">
        <v>2.21</v>
      </c>
      <c r="E92" s="1"/>
      <c r="F92" s="1"/>
      <c r="G92" s="1"/>
      <c r="H92" s="1"/>
      <c r="I92" s="1"/>
      <c r="J92" s="1"/>
      <c r="K92" s="1"/>
      <c r="L92" s="1"/>
      <c r="M92" s="1"/>
      <c r="N92" s="1">
        <f>N90/K90*100</f>
        <v>13.573714983980972</v>
      </c>
      <c r="O92" s="1"/>
      <c r="P92" s="1"/>
      <c r="Q92">
        <f>B35/2</f>
        <v>3552</v>
      </c>
      <c r="R92">
        <v>4.8899999999999997</v>
      </c>
      <c r="S92">
        <v>1.18</v>
      </c>
      <c r="AF92">
        <v>0.3</v>
      </c>
      <c r="AG92">
        <v>41.116999999999997</v>
      </c>
      <c r="AH92">
        <f t="shared" si="33"/>
        <v>-1110.1129724620732</v>
      </c>
      <c r="AI92">
        <f t="shared" si="34"/>
        <v>-1068.9959724620733</v>
      </c>
    </row>
    <row r="93" spans="1:37" ht="15.75" x14ac:dyDescent="0.25">
      <c r="A93" s="1"/>
      <c r="B93">
        <v>0.4</v>
      </c>
      <c r="C93" s="1">
        <v>0.86</v>
      </c>
      <c r="D93" s="1">
        <v>2.19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Y93">
        <f>AC91/AA91*100</f>
        <v>1.1135431580309922</v>
      </c>
      <c r="AF93">
        <v>0.3</v>
      </c>
      <c r="AG93">
        <v>0</v>
      </c>
      <c r="AH93">
        <f>AH92</f>
        <v>-1110.1129724620732</v>
      </c>
      <c r="AI93">
        <f t="shared" si="34"/>
        <v>-1110.1129724620732</v>
      </c>
    </row>
    <row r="94" spans="1:37" ht="15.75" x14ac:dyDescent="0.25">
      <c r="A94" s="1"/>
      <c r="B94">
        <v>0.5</v>
      </c>
      <c r="C94" s="1">
        <v>0.97</v>
      </c>
      <c r="D94" s="1">
        <v>2.16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AF94">
        <v>0.4</v>
      </c>
      <c r="AG94">
        <v>0</v>
      </c>
      <c r="AH94">
        <f>AE77</f>
        <v>-914.17341606099217</v>
      </c>
      <c r="AI94">
        <f t="shared" si="34"/>
        <v>-914.17341606099217</v>
      </c>
    </row>
    <row r="95" spans="1:37" ht="15.75" x14ac:dyDescent="0.25">
      <c r="A95" s="1"/>
      <c r="B95">
        <v>0.6</v>
      </c>
      <c r="C95" s="1">
        <v>1.0900000000000001</v>
      </c>
      <c r="D95" s="1">
        <v>2.14</v>
      </c>
      <c r="E95" s="1"/>
      <c r="F95" s="1"/>
      <c r="G95" s="1"/>
      <c r="H95" s="1"/>
      <c r="I95" s="1" t="s">
        <v>115</v>
      </c>
      <c r="J95" s="1"/>
      <c r="K95" s="1"/>
      <c r="L95" s="1"/>
      <c r="M95" s="1"/>
      <c r="N95" s="1"/>
      <c r="O95" s="1"/>
      <c r="P95" s="1"/>
      <c r="AF95">
        <v>0.5</v>
      </c>
      <c r="AG95">
        <v>0</v>
      </c>
      <c r="AH95">
        <f t="shared" ref="AH95:AH101" si="35">AE78</f>
        <v>-723.5048422173179</v>
      </c>
      <c r="AI95">
        <f t="shared" si="34"/>
        <v>-723.5048422173179</v>
      </c>
    </row>
    <row r="96" spans="1:37" ht="15.75" x14ac:dyDescent="0.25">
      <c r="A96" s="1"/>
      <c r="B96">
        <v>0.7</v>
      </c>
      <c r="C96" s="1">
        <v>1.21</v>
      </c>
      <c r="D96" s="1">
        <v>2.11</v>
      </c>
      <c r="E96" s="1"/>
      <c r="F96" s="1"/>
      <c r="G96" s="1"/>
      <c r="H96" s="1"/>
      <c r="I96" s="1" t="s">
        <v>95</v>
      </c>
      <c r="J96" s="1"/>
      <c r="K96" s="1"/>
      <c r="L96" s="1"/>
      <c r="M96" s="1"/>
      <c r="N96" s="1"/>
      <c r="O96" s="1"/>
      <c r="P96" s="1"/>
      <c r="Q96" t="s">
        <v>95</v>
      </c>
      <c r="R96">
        <f>B7*(2+B54)/(6*(1+B54))</f>
        <v>6.9606965325234116</v>
      </c>
      <c r="X96" t="s">
        <v>96</v>
      </c>
      <c r="Y96">
        <f>B48*B37*(0.5*B31*R97-0.5*B34*R98)-(Q91*S91+Q92*S92+Q93*S93+Q94*S94)</f>
        <v>1753161.7885500004</v>
      </c>
      <c r="AA96">
        <f>Y96/1000</f>
        <v>1753.1617885500004</v>
      </c>
      <c r="AC96">
        <f>AA96+AI73</f>
        <v>110.43772978253855</v>
      </c>
      <c r="AF96">
        <v>0.6</v>
      </c>
      <c r="AG96">
        <v>0</v>
      </c>
      <c r="AH96">
        <f t="shared" si="35"/>
        <v>-540.87344486865754</v>
      </c>
      <c r="AI96">
        <f t="shared" si="34"/>
        <v>-540.87344486865754</v>
      </c>
    </row>
    <row r="97" spans="1:35" ht="15.75" x14ac:dyDescent="0.25">
      <c r="A97" s="1"/>
      <c r="B97">
        <v>0.8</v>
      </c>
      <c r="C97" s="1">
        <v>1.33</v>
      </c>
      <c r="D97" s="1">
        <v>2.09</v>
      </c>
      <c r="E97" s="1"/>
      <c r="F97" s="1"/>
      <c r="G97" s="1"/>
      <c r="H97" s="1"/>
      <c r="I97" s="1" t="s">
        <v>82</v>
      </c>
      <c r="J97" s="1"/>
      <c r="K97" s="1"/>
      <c r="L97" s="1"/>
      <c r="M97" s="1"/>
      <c r="N97" s="1"/>
      <c r="O97" s="1"/>
      <c r="P97" s="1"/>
      <c r="Q97" t="s">
        <v>82</v>
      </c>
      <c r="R97">
        <v>1.62</v>
      </c>
      <c r="AF97">
        <v>0.7</v>
      </c>
      <c r="AG97">
        <v>0</v>
      </c>
      <c r="AH97">
        <f t="shared" si="35"/>
        <v>-368.78098280391384</v>
      </c>
      <c r="AI97">
        <f t="shared" si="34"/>
        <v>-368.78098280391384</v>
      </c>
    </row>
    <row r="98" spans="1:35" ht="15.75" x14ac:dyDescent="0.25">
      <c r="A98" s="1"/>
      <c r="B98">
        <v>0.9</v>
      </c>
      <c r="C98" s="1">
        <v>1.45</v>
      </c>
      <c r="D98" s="1">
        <v>2.06</v>
      </c>
      <c r="E98" s="1"/>
      <c r="F98" s="1"/>
      <c r="G98" s="1"/>
      <c r="H98" s="1"/>
      <c r="I98" s="1" t="s">
        <v>83</v>
      </c>
      <c r="J98" s="1"/>
      <c r="K98" s="1"/>
      <c r="L98" s="1"/>
      <c r="M98" s="1"/>
      <c r="N98" s="1"/>
      <c r="O98" s="1"/>
      <c r="P98" s="1"/>
      <c r="Q98" t="s">
        <v>83</v>
      </c>
      <c r="R98">
        <v>2.0499999999999998</v>
      </c>
      <c r="Y98">
        <f>AC96/AI73*100</f>
        <v>-6.722841197407198</v>
      </c>
      <c r="AF98">
        <v>0.8</v>
      </c>
      <c r="AG98">
        <v>0</v>
      </c>
      <c r="AH98">
        <f t="shared" si="35"/>
        <v>-210.60524599941283</v>
      </c>
      <c r="AI98">
        <f t="shared" si="34"/>
        <v>-210.60524599941283</v>
      </c>
    </row>
    <row r="99" spans="1:35" ht="15.75" x14ac:dyDescent="0.25">
      <c r="A99" s="1"/>
      <c r="B99">
        <v>0.95</v>
      </c>
      <c r="C99" s="1">
        <v>1.5</v>
      </c>
      <c r="D99" s="1">
        <v>2.0499999999999998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AF99">
        <v>0.9</v>
      </c>
      <c r="AG99">
        <v>0</v>
      </c>
      <c r="AH99">
        <f t="shared" si="35"/>
        <v>-74.520459559215794</v>
      </c>
      <c r="AI99">
        <f t="shared" si="34"/>
        <v>-74.520459559215794</v>
      </c>
    </row>
    <row r="100" spans="1:35" ht="15.75" x14ac:dyDescent="0.25">
      <c r="A100" s="1"/>
      <c r="B100">
        <v>1</v>
      </c>
      <c r="C100" s="1">
        <v>1.56</v>
      </c>
      <c r="D100" s="1">
        <v>2.04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AF100">
        <v>0.95</v>
      </c>
      <c r="AG100">
        <v>0</v>
      </c>
      <c r="AH100">
        <f t="shared" si="35"/>
        <v>-20.660781156778079</v>
      </c>
      <c r="AI100">
        <f t="shared" si="34"/>
        <v>-20.660781156778079</v>
      </c>
    </row>
    <row r="101" spans="1:35" ht="15.7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AF101">
        <v>1</v>
      </c>
      <c r="AG101">
        <v>0</v>
      </c>
      <c r="AH101">
        <f t="shared" si="35"/>
        <v>0</v>
      </c>
      <c r="AI101">
        <f t="shared" si="34"/>
        <v>0</v>
      </c>
    </row>
    <row r="102" spans="1:35" ht="15.7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W102" t="s">
        <v>98</v>
      </c>
      <c r="Y102">
        <v>0.2</v>
      </c>
      <c r="Z102" s="25">
        <v>0.4</v>
      </c>
      <c r="AA102">
        <v>0.7</v>
      </c>
    </row>
    <row r="103" spans="1:35" ht="15.7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W103" t="s">
        <v>99</v>
      </c>
      <c r="Y103">
        <v>0.1338</v>
      </c>
      <c r="Z103" s="25">
        <v>0.13569999999999999</v>
      </c>
      <c r="AA103">
        <v>8.5199999999999998E-2</v>
      </c>
    </row>
    <row r="104" spans="1:35" ht="15.7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W104" t="s">
        <v>100</v>
      </c>
      <c r="Y104">
        <v>5417</v>
      </c>
      <c r="Z104" s="25"/>
    </row>
    <row r="105" spans="1:35" ht="15.7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W105" t="s">
        <v>101</v>
      </c>
      <c r="Y105">
        <v>4466</v>
      </c>
      <c r="Z105" s="25"/>
    </row>
    <row r="106" spans="1:35" ht="15.7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W106" t="s">
        <v>102</v>
      </c>
      <c r="Y106">
        <v>4060</v>
      </c>
      <c r="Z106" s="25"/>
    </row>
    <row r="107" spans="1:35" ht="15.7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W107" t="s">
        <v>104</v>
      </c>
      <c r="Y107">
        <f>$Y$104*Y103</f>
        <v>724.79460000000006</v>
      </c>
      <c r="Z107" s="25">
        <f t="shared" ref="Z107:AA107" si="36">$Y$104*Z103</f>
        <v>735.0868999999999</v>
      </c>
      <c r="AA107">
        <f t="shared" si="36"/>
        <v>461.52839999999998</v>
      </c>
    </row>
    <row r="108" spans="1:35" ht="15.7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W108" t="s">
        <v>103</v>
      </c>
      <c r="Y108">
        <f>$Y$105*Y103</f>
        <v>597.55079999999998</v>
      </c>
      <c r="Z108" s="25">
        <f t="shared" ref="Z108:AA108" si="37">$Y$105*Z103</f>
        <v>606.03619999999989</v>
      </c>
      <c r="AA108">
        <f t="shared" si="37"/>
        <v>380.50319999999999</v>
      </c>
    </row>
    <row r="109" spans="1:35" ht="15.7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W109" t="s">
        <v>105</v>
      </c>
      <c r="Y109">
        <f>$Y$106*Y103</f>
        <v>543.22800000000007</v>
      </c>
      <c r="Z109">
        <f>$Y$106*Z103</f>
        <v>550.94199999999989</v>
      </c>
      <c r="AA109">
        <f t="shared" ref="AA109" si="38">$Y$106*AA103</f>
        <v>345.91199999999998</v>
      </c>
    </row>
    <row r="110" spans="1:35" ht="15.7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W110" t="s">
        <v>106</v>
      </c>
      <c r="Y110">
        <f>$X$73*Y107*Y107*0.3/($Y$107*$Y$107+$Z$107*$Z$107+$AA$107*$AA$107)</f>
        <v>942.9418570762931</v>
      </c>
      <c r="Z110" s="25">
        <f t="shared" ref="Z110:AA110" si="39">$X$73*Z107*Z107*0.3/($Y$107*$Y$107+$Z$107*$Z$107+$AA$107*$AA$107)</f>
        <v>969.9121124110917</v>
      </c>
      <c r="AA110">
        <f t="shared" si="39"/>
        <v>382.34188513918178</v>
      </c>
    </row>
    <row r="111" spans="1:35" ht="15.7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W111" t="s">
        <v>107</v>
      </c>
      <c r="Y111">
        <f>$X$75*Y108*Y108*0.3/($Y$108*$Y$108+$Z$108*$Z$108+$AA$108*$AA$108)</f>
        <v>579.83732200985457</v>
      </c>
      <c r="Z111" s="25">
        <f t="shared" ref="Z111:AA111" si="40">$X$75*Z108*Z108*0.3/($Y$108*$Y$108+$Z$108*$Z$108+$AA$108*$AA$108)</f>
        <v>596.42197196456152</v>
      </c>
      <c r="AA111">
        <f t="shared" si="40"/>
        <v>235.11109736786804</v>
      </c>
    </row>
    <row r="112" spans="1:35" ht="15.7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W112" t="s">
        <v>108</v>
      </c>
      <c r="Y112">
        <f>$X$76*Y109*Y109*0.3/($Y$109*$Y$109+$Z$109*$Z$109+$AA$109*$AA$109)</f>
        <v>431.31700596459723</v>
      </c>
      <c r="Z112" s="25">
        <f t="shared" ref="Z112:AA112" si="41">$X$76*Z109*Z109*0.3/($Y$109*$Y$109+$Z$109*$Z$109+$AA$109*$AA$109)</f>
        <v>443.65364124471364</v>
      </c>
      <c r="AA112">
        <f t="shared" si="41"/>
        <v>174.88942283718023</v>
      </c>
    </row>
    <row r="113" spans="1:27" ht="15.7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W113" t="s">
        <v>109</v>
      </c>
      <c r="Y113">
        <f>$W$73*Y107*Y107/3/($Y$107*$Y$107+$Z$107*$Z$107+$AA$107*$AA$107)</f>
        <v>-128.67231743976492</v>
      </c>
      <c r="Z113" s="25">
        <f t="shared" ref="Z113:AA113" si="42">$W$73*Z107*Z107/3/($Y$107*$Y$107+$Z$107*$Z$107+$AA$107*$AA$107)</f>
        <v>-132.35263476773983</v>
      </c>
      <c r="AA113">
        <f t="shared" si="42"/>
        <v>-52.173753923373063</v>
      </c>
    </row>
    <row r="114" spans="1:27" ht="15.7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W114" t="s">
        <v>110</v>
      </c>
      <c r="Y114">
        <f>$W$75*Y108*Y108/3/($Y$108*$Y$108+$Z$108*$Z$108+$AA$108*$AA$108)</f>
        <v>-102.70633392144671</v>
      </c>
      <c r="Z114" s="25">
        <f t="shared" ref="Z114:AA114" si="43">$W$75*Z108*Z108/3/($Y$108*$Y$108+$Z$108*$Z$108+$AA$108*$AA$108)</f>
        <v>-105.64396579087212</v>
      </c>
      <c r="AA114">
        <f t="shared" si="43"/>
        <v>-41.645126931811454</v>
      </c>
    </row>
    <row r="115" spans="1:27" ht="15.7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W115" t="s">
        <v>111</v>
      </c>
      <c r="Y115">
        <f>$W$76*Y109*Y109/3/($Y$109*$Y$109+$Z$109*$Z$109+$AA$109*$AA$109)</f>
        <v>-87.411838179497252</v>
      </c>
      <c r="Z115" s="25">
        <f t="shared" ref="Z115:AA115" si="44">$W$76*Z109*Z109/3/($Y$109*$Y$109+$Z$109*$Z$109+$AA$109*$AA$109)</f>
        <v>-89.912013113182851</v>
      </c>
      <c r="AA115">
        <f t="shared" si="44"/>
        <v>-35.443550142801627</v>
      </c>
    </row>
    <row r="116" spans="1:27" ht="15.7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W116" t="s">
        <v>112</v>
      </c>
      <c r="Z116">
        <f>$AI$73*(811690+998094)/2810107</f>
        <v>-1057.9581909060446</v>
      </c>
    </row>
    <row r="117" spans="1:27" ht="15.7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W117" t="s">
        <v>113</v>
      </c>
      <c r="Z117">
        <f>$AI$75*(551709+678408)/1910041</f>
        <v>-815.45520427450924</v>
      </c>
    </row>
    <row r="118" spans="1:27" ht="15.7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W118" t="s">
        <v>114</v>
      </c>
      <c r="Z118">
        <f>$AI$76*(455958+560668)/1578546</f>
        <v>-688.46203901414822</v>
      </c>
    </row>
    <row r="119" spans="1:27" ht="15.7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Z119">
        <f>811690+998094</f>
        <v>1809784</v>
      </c>
    </row>
    <row r="120" spans="1:27" ht="15.7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Z120">
        <f>551709+678408</f>
        <v>1230117</v>
      </c>
    </row>
    <row r="121" spans="1:27" ht="15.7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Z121">
        <f>455958+560668</f>
        <v>1016626</v>
      </c>
    </row>
    <row r="122" spans="1:27" ht="15.7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27" ht="15.7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27" ht="15.7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27" ht="15.7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27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27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27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5.7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5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5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5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5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5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5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5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5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5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5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5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5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5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5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5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5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5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5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5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5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5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5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5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5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5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5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5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5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5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5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5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5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5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5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5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5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5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5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5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5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5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5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5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5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5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5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5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5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5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5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5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5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5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5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5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5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5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5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5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5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5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5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5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5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5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5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5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5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5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5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5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5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5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5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5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5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5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5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5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5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5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5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5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5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5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5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5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5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5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5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5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5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5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5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5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5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5.7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5.7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5.7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5.7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5.7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5.7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5.7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5.7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5.7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5.7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5.7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5.7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5.7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5.7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5.7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5.7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5.7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5.7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5.7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5.7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5.7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5.7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5.7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5.7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5.7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5.7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5.7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5.7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5.7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5.7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5.7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5.7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5.7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5.7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5.7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5.7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5.7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5.7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5.7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5.7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5.7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5.7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5.7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5.7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5.7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5.7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5.7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5.7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5.7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5.7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5.7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5.7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5.7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5.7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5.7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5.7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5.7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5.7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5.7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5.7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5.7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5.7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5.7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5.7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5.7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5.7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5.7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5.7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5.7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5.7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5.7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5.7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5.7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5.7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5.7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5.7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5.7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5.7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5.7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5.7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5.7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5.7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5.7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5.7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5.7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5.7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5.7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5.7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5.7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5.7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5.7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5.7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5.7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5.7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5.7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5.7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5.7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5.7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5.7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5.7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5.7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5.7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5.7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5.7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5.7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5.7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5.7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5.7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5.7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5.7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5.7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5.7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5.7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5.7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5.7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5.7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5.7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5.7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5.7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5.7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5.7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5.7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5.7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5.7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5.7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5.7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5.7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5.7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5.7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5.7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5.7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5.7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5.7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5.7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5.7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5.7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5.7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5.7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5.7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5.7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5.7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5.7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5.7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5.7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5.7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5.7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5.7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5.7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5.7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5.7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5.7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5.7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5.7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5.7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5.7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5.7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5.7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.7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5.7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5.7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5.7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.7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5.7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5.7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5.7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5.7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5.7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5.7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5.7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5.7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5.7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5.7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5.7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5.7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.7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5.7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5.7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5.7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5.7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5.7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5.7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5.7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5.7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5.7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5.7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5.7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5.7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5.7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5.7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5.7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5.7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.7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5.7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5.7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5.7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5.7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5.7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5.7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5.7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5.7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5.7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5.7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5.7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5.7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5.7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5.7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5.7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5.7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5.7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5.7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5.7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5.7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5.7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5.7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5.7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5.7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5.7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5.7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5.7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5.7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5.7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5.7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.7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5.7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5.7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5.7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5.7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5.7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5.7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5.7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5.7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5.7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5.7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5.7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5.7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5.7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5.7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5.7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5.7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5.7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5.7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5.7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5.7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5.7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5.7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.7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5.7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5.7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5.7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5.7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5.7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5.7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5.7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5.7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5.7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5.7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5.7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5.7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5.7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5.7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5.7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5.7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5.7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5.7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5.7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5.7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5.7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5.7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5.7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5.7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5.7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5.7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5.7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5.7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5.7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5.7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5.7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5.7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5.7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5.7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5.7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5.7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5.7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5.7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5.7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5.7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5.7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5.7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5.7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5.7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5.7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5.7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5.7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5.7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5.7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5.7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5.7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5.7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5.7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5.7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5.7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5.7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5.7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5.7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5.7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5.7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5.7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5.7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5.7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5.7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5.7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5.7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5.7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5.7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5.7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5.7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5.7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5.7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5.7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5.7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5.7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5.7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5.7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5.7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5.7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5.7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</sheetData>
  <mergeCells count="3">
    <mergeCell ref="L5:O5"/>
    <mergeCell ref="L6:O6"/>
    <mergeCell ref="P5:S6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7" r:id="rId4">
          <objectPr defaultSize="0" autoPict="0" r:id="rId5">
            <anchor moveWithCells="1" sizeWithCells="1">
              <from>
                <xdr:col>3</xdr:col>
                <xdr:colOff>0</xdr:colOff>
                <xdr:row>25</xdr:row>
                <xdr:rowOff>0</xdr:rowOff>
              </from>
              <to>
                <xdr:col>4</xdr:col>
                <xdr:colOff>295275</xdr:colOff>
                <xdr:row>27</xdr:row>
                <xdr:rowOff>104775</xdr:rowOff>
              </to>
            </anchor>
          </objectPr>
        </oleObject>
      </mc:Choice>
      <mc:Fallback>
        <oleObject progId="Equation.DSMT4" shapeId="1027" r:id="rId4"/>
      </mc:Fallback>
    </mc:AlternateContent>
    <mc:AlternateContent xmlns:mc="http://schemas.openxmlformats.org/markup-compatibility/2006">
      <mc:Choice Requires="x14">
        <oleObject progId="Equation.DSMT4" shapeId="1029" r:id="rId6">
          <objectPr defaultSize="0" autoPict="0" r:id="rId7">
            <anchor moveWithCells="1" sizeWithCells="1">
              <from>
                <xdr:col>3</xdr:col>
                <xdr:colOff>0</xdr:colOff>
                <xdr:row>30</xdr:row>
                <xdr:rowOff>0</xdr:rowOff>
              </from>
              <to>
                <xdr:col>5</xdr:col>
                <xdr:colOff>9525</xdr:colOff>
                <xdr:row>31</xdr:row>
                <xdr:rowOff>66675</xdr:rowOff>
              </to>
            </anchor>
          </objectPr>
        </oleObject>
      </mc:Choice>
      <mc:Fallback>
        <oleObject progId="Equation.DSMT4" shapeId="1029" r:id="rId6"/>
      </mc:Fallback>
    </mc:AlternateContent>
    <mc:AlternateContent xmlns:mc="http://schemas.openxmlformats.org/markup-compatibility/2006">
      <mc:Choice Requires="x14">
        <oleObject progId="Equation.DSMT4" shapeId="1032" r:id="rId8">
          <objectPr defaultSize="0" autoPict="0" r:id="rId9">
            <anchor moveWithCells="1" sizeWithCells="1">
              <from>
                <xdr:col>5</xdr:col>
                <xdr:colOff>0</xdr:colOff>
                <xdr:row>38</xdr:row>
                <xdr:rowOff>0</xdr:rowOff>
              </from>
              <to>
                <xdr:col>8</xdr:col>
                <xdr:colOff>9525</xdr:colOff>
                <xdr:row>40</xdr:row>
                <xdr:rowOff>133350</xdr:rowOff>
              </to>
            </anchor>
          </objectPr>
        </oleObject>
      </mc:Choice>
      <mc:Fallback>
        <oleObject progId="Equation.DSMT4" shapeId="1032" r:id="rId8"/>
      </mc:Fallback>
    </mc:AlternateContent>
    <mc:AlternateContent xmlns:mc="http://schemas.openxmlformats.org/markup-compatibility/2006">
      <mc:Choice Requires="x14">
        <oleObject progId="Equation.3" shapeId="1038" r:id="rId10">
          <objectPr defaultSize="0" autoPict="0" r:id="rId11">
            <anchor moveWithCells="1" sizeWithCells="1">
              <from>
                <xdr:col>5</xdr:col>
                <xdr:colOff>0</xdr:colOff>
                <xdr:row>41</xdr:row>
                <xdr:rowOff>0</xdr:rowOff>
              </from>
              <to>
                <xdr:col>6</xdr:col>
                <xdr:colOff>523875</xdr:colOff>
                <xdr:row>42</xdr:row>
                <xdr:rowOff>38100</xdr:rowOff>
              </to>
            </anchor>
          </objectPr>
        </oleObject>
      </mc:Choice>
      <mc:Fallback>
        <oleObject progId="Equation.3" shapeId="1038" r:id="rId10"/>
      </mc:Fallback>
    </mc:AlternateContent>
    <mc:AlternateContent xmlns:mc="http://schemas.openxmlformats.org/markup-compatibility/2006">
      <mc:Choice Requires="x14">
        <oleObject progId="Equation.3" shapeId="1040" r:id="rId12">
          <objectPr defaultSize="0" autoPict="0" r:id="rId13">
            <anchor moveWithCells="1" sizeWithCells="1">
              <from>
                <xdr:col>5</xdr:col>
                <xdr:colOff>0</xdr:colOff>
                <xdr:row>42</xdr:row>
                <xdr:rowOff>0</xdr:rowOff>
              </from>
              <to>
                <xdr:col>6</xdr:col>
                <xdr:colOff>457200</xdr:colOff>
                <xdr:row>43</xdr:row>
                <xdr:rowOff>28575</xdr:rowOff>
              </to>
            </anchor>
          </objectPr>
        </oleObject>
      </mc:Choice>
      <mc:Fallback>
        <oleObject progId="Equation.3" shapeId="1040" r:id="rId12"/>
      </mc:Fallback>
    </mc:AlternateContent>
    <mc:AlternateContent xmlns:mc="http://schemas.openxmlformats.org/markup-compatibility/2006">
      <mc:Choice Requires="x14">
        <oleObject progId="Equation.3" shapeId="1042" r:id="rId14">
          <objectPr defaultSize="0" autoPict="0" r:id="rId15">
            <anchor moveWithCells="1" sizeWithCells="1">
              <from>
                <xdr:col>5</xdr:col>
                <xdr:colOff>57150</xdr:colOff>
                <xdr:row>43</xdr:row>
                <xdr:rowOff>38100</xdr:rowOff>
              </from>
              <to>
                <xdr:col>6</xdr:col>
                <xdr:colOff>523875</xdr:colOff>
                <xdr:row>46</xdr:row>
                <xdr:rowOff>0</xdr:rowOff>
              </to>
            </anchor>
          </objectPr>
        </oleObject>
      </mc:Choice>
      <mc:Fallback>
        <oleObject progId="Equation.3" shapeId="1042" r:id="rId14"/>
      </mc:Fallback>
    </mc:AlternateContent>
    <mc:AlternateContent xmlns:mc="http://schemas.openxmlformats.org/markup-compatibility/2006">
      <mc:Choice Requires="x14">
        <oleObject progId="Equation.3" shapeId="1045" r:id="rId16">
          <objectPr defaultSize="0" autoPict="0" r:id="rId17">
            <anchor moveWithCells="1" sizeWithCells="1">
              <from>
                <xdr:col>5</xdr:col>
                <xdr:colOff>0</xdr:colOff>
                <xdr:row>46</xdr:row>
                <xdr:rowOff>0</xdr:rowOff>
              </from>
              <to>
                <xdr:col>6</xdr:col>
                <xdr:colOff>266700</xdr:colOff>
                <xdr:row>47</xdr:row>
                <xdr:rowOff>38100</xdr:rowOff>
              </to>
            </anchor>
          </objectPr>
        </oleObject>
      </mc:Choice>
      <mc:Fallback>
        <oleObject progId="Equation.3" shapeId="1045" r:id="rId16"/>
      </mc:Fallback>
    </mc:AlternateContent>
    <mc:AlternateContent xmlns:mc="http://schemas.openxmlformats.org/markup-compatibility/2006">
      <mc:Choice Requires="x14">
        <oleObject progId="Equation.3" shapeId="1046" r:id="rId18">
          <objectPr defaultSize="0" autoPict="0" r:id="rId19">
            <anchor moveWithCells="1" sizeWithCells="1">
              <from>
                <xdr:col>7</xdr:col>
                <xdr:colOff>0</xdr:colOff>
                <xdr:row>46</xdr:row>
                <xdr:rowOff>0</xdr:rowOff>
              </from>
              <to>
                <xdr:col>8</xdr:col>
                <xdr:colOff>476250</xdr:colOff>
                <xdr:row>47</xdr:row>
                <xdr:rowOff>104775</xdr:rowOff>
              </to>
            </anchor>
          </objectPr>
        </oleObject>
      </mc:Choice>
      <mc:Fallback>
        <oleObject progId="Equation.3" shapeId="1046" r:id="rId18"/>
      </mc:Fallback>
    </mc:AlternateContent>
    <mc:AlternateContent xmlns:mc="http://schemas.openxmlformats.org/markup-compatibility/2006">
      <mc:Choice Requires="x14">
        <oleObject progId="Equation.3" shapeId="1048" r:id="rId20">
          <objectPr defaultSize="0" autoPict="0" r:id="rId21">
            <anchor moveWithCells="1" sizeWithCells="1">
              <from>
                <xdr:col>5</xdr:col>
                <xdr:colOff>0</xdr:colOff>
                <xdr:row>48</xdr:row>
                <xdr:rowOff>0</xdr:rowOff>
              </from>
              <to>
                <xdr:col>7</xdr:col>
                <xdr:colOff>0</xdr:colOff>
                <xdr:row>49</xdr:row>
                <xdr:rowOff>57150</xdr:rowOff>
              </to>
            </anchor>
          </objectPr>
        </oleObject>
      </mc:Choice>
      <mc:Fallback>
        <oleObject progId="Equation.3" shapeId="1048" r:id="rId20"/>
      </mc:Fallback>
    </mc:AlternateContent>
    <mc:AlternateContent xmlns:mc="http://schemas.openxmlformats.org/markup-compatibility/2006">
      <mc:Choice Requires="x14">
        <oleObject progId="Equation.DSMT4" shapeId="1049" r:id="rId22">
          <objectPr defaultSize="0" autoPict="0" r:id="rId23">
            <anchor moveWithCells="1" sizeWithCells="1">
              <from>
                <xdr:col>0</xdr:col>
                <xdr:colOff>447675</xdr:colOff>
                <xdr:row>71</xdr:row>
                <xdr:rowOff>0</xdr:rowOff>
              </from>
              <to>
                <xdr:col>0</xdr:col>
                <xdr:colOff>571500</xdr:colOff>
                <xdr:row>72</xdr:row>
                <xdr:rowOff>9525</xdr:rowOff>
              </to>
            </anchor>
          </objectPr>
        </oleObject>
      </mc:Choice>
      <mc:Fallback>
        <oleObject progId="Equation.DSMT4" shapeId="1049" r:id="rId22"/>
      </mc:Fallback>
    </mc:AlternateContent>
    <mc:AlternateContent xmlns:mc="http://schemas.openxmlformats.org/markup-compatibility/2006">
      <mc:Choice Requires="x14">
        <oleObject progId="Equation.3" shapeId="1050" r:id="rId24">
          <objectPr defaultSize="0" autoPict="0" r:id="rId25">
            <anchor moveWithCells="1" sizeWithCells="1">
              <from>
                <xdr:col>7</xdr:col>
                <xdr:colOff>0</xdr:colOff>
                <xdr:row>71</xdr:row>
                <xdr:rowOff>0</xdr:rowOff>
              </from>
              <to>
                <xdr:col>7</xdr:col>
                <xdr:colOff>428625</xdr:colOff>
                <xdr:row>72</xdr:row>
                <xdr:rowOff>9525</xdr:rowOff>
              </to>
            </anchor>
          </objectPr>
        </oleObject>
      </mc:Choice>
      <mc:Fallback>
        <oleObject progId="Equation.3" shapeId="1050" r:id="rId24"/>
      </mc:Fallback>
    </mc:AlternateContent>
    <mc:AlternateContent xmlns:mc="http://schemas.openxmlformats.org/markup-compatibility/2006">
      <mc:Choice Requires="x14">
        <oleObject progId="Equation.DSMT4" shapeId="1073" r:id="rId26">
          <objectPr defaultSize="0" autoPict="0" r:id="rId27">
            <anchor moveWithCells="1" sizeWithCells="1">
              <from>
                <xdr:col>8</xdr:col>
                <xdr:colOff>0</xdr:colOff>
                <xdr:row>71</xdr:row>
                <xdr:rowOff>0</xdr:rowOff>
              </from>
              <to>
                <xdr:col>8</xdr:col>
                <xdr:colOff>390525</xdr:colOff>
                <xdr:row>72</xdr:row>
                <xdr:rowOff>9525</xdr:rowOff>
              </to>
            </anchor>
          </objectPr>
        </oleObject>
      </mc:Choice>
      <mc:Fallback>
        <oleObject progId="Equation.DSMT4" shapeId="1073" r:id="rId26"/>
      </mc:Fallback>
    </mc:AlternateContent>
    <mc:AlternateContent xmlns:mc="http://schemas.openxmlformats.org/markup-compatibility/2006">
      <mc:Choice Requires="x14">
        <oleObject progId="Equation.3" shapeId="1117" r:id="rId28">
          <objectPr defaultSize="0" autoPict="0" r:id="rId29">
            <anchor moveWithCells="1" sizeWithCells="1">
              <from>
                <xdr:col>8</xdr:col>
                <xdr:colOff>571500</xdr:colOff>
                <xdr:row>70</xdr:row>
                <xdr:rowOff>85725</xdr:rowOff>
              </from>
              <to>
                <xdr:col>9</xdr:col>
                <xdr:colOff>590550</xdr:colOff>
                <xdr:row>72</xdr:row>
                <xdr:rowOff>28575</xdr:rowOff>
              </to>
            </anchor>
          </objectPr>
        </oleObject>
      </mc:Choice>
      <mc:Fallback>
        <oleObject progId="Equation.3" shapeId="1117" r:id="rId28"/>
      </mc:Fallback>
    </mc:AlternateContent>
    <mc:AlternateContent xmlns:mc="http://schemas.openxmlformats.org/markup-compatibility/2006">
      <mc:Choice Requires="x14">
        <oleObject progId="Equation.3" shapeId="1118" r:id="rId30">
          <objectPr defaultSize="0" autoPict="0" r:id="rId31">
            <anchor moveWithCells="1" sizeWithCells="1">
              <from>
                <xdr:col>10</xdr:col>
                <xdr:colOff>47625</xdr:colOff>
                <xdr:row>70</xdr:row>
                <xdr:rowOff>76200</xdr:rowOff>
              </from>
              <to>
                <xdr:col>10</xdr:col>
                <xdr:colOff>552450</xdr:colOff>
                <xdr:row>71</xdr:row>
                <xdr:rowOff>228600</xdr:rowOff>
              </to>
            </anchor>
          </objectPr>
        </oleObject>
      </mc:Choice>
      <mc:Fallback>
        <oleObject progId="Equation.3" shapeId="1118" r:id="rId30"/>
      </mc:Fallback>
    </mc:AlternateContent>
    <mc:AlternateContent xmlns:mc="http://schemas.openxmlformats.org/markup-compatibility/2006">
      <mc:Choice Requires="x14">
        <oleObject progId="Equation.3" shapeId="1119" r:id="rId32">
          <objectPr defaultSize="0" autoPict="0" r:id="rId33">
            <anchor moveWithCells="1" sizeWithCells="1">
              <from>
                <xdr:col>11</xdr:col>
                <xdr:colOff>9525</xdr:colOff>
                <xdr:row>70</xdr:row>
                <xdr:rowOff>19050</xdr:rowOff>
              </from>
              <to>
                <xdr:col>11</xdr:col>
                <xdr:colOff>600075</xdr:colOff>
                <xdr:row>72</xdr:row>
                <xdr:rowOff>19050</xdr:rowOff>
              </to>
            </anchor>
          </objectPr>
        </oleObject>
      </mc:Choice>
      <mc:Fallback>
        <oleObject progId="Equation.3" shapeId="1119" r:id="rId32"/>
      </mc:Fallback>
    </mc:AlternateContent>
    <mc:AlternateContent xmlns:mc="http://schemas.openxmlformats.org/markup-compatibility/2006">
      <mc:Choice Requires="x14">
        <oleObject progId="Equation.3" shapeId="1121" r:id="rId34">
          <objectPr defaultSize="0" autoPict="0" r:id="rId35">
            <anchor moveWithCells="1" sizeWithCells="1">
              <from>
                <xdr:col>20</xdr:col>
                <xdr:colOff>0</xdr:colOff>
                <xdr:row>71</xdr:row>
                <xdr:rowOff>0</xdr:rowOff>
              </from>
              <to>
                <xdr:col>20</xdr:col>
                <xdr:colOff>523875</xdr:colOff>
                <xdr:row>71</xdr:row>
                <xdr:rowOff>257175</xdr:rowOff>
              </to>
            </anchor>
          </objectPr>
        </oleObject>
      </mc:Choice>
      <mc:Fallback>
        <oleObject progId="Equation.3" shapeId="1121" r:id="rId34"/>
      </mc:Fallback>
    </mc:AlternateContent>
    <mc:AlternateContent xmlns:mc="http://schemas.openxmlformats.org/markup-compatibility/2006">
      <mc:Choice Requires="x14">
        <oleObject progId="Equation.3" shapeId="1122" r:id="rId36">
          <objectPr defaultSize="0" autoPict="0" r:id="rId37">
            <anchor moveWithCells="1" sizeWithCells="1">
              <from>
                <xdr:col>21</xdr:col>
                <xdr:colOff>0</xdr:colOff>
                <xdr:row>71</xdr:row>
                <xdr:rowOff>0</xdr:rowOff>
              </from>
              <to>
                <xdr:col>21</xdr:col>
                <xdr:colOff>390525</xdr:colOff>
                <xdr:row>71</xdr:row>
                <xdr:rowOff>257175</xdr:rowOff>
              </to>
            </anchor>
          </objectPr>
        </oleObject>
      </mc:Choice>
      <mc:Fallback>
        <oleObject progId="Equation.3" shapeId="1122" r:id="rId36"/>
      </mc:Fallback>
    </mc:AlternateContent>
    <mc:AlternateContent xmlns:mc="http://schemas.openxmlformats.org/markup-compatibility/2006">
      <mc:Choice Requires="x14">
        <oleObject progId="Equation.3" shapeId="1123" r:id="rId38">
          <objectPr defaultSize="0" autoPict="0" r:id="rId39">
            <anchor moveWithCells="1" sizeWithCells="1">
              <from>
                <xdr:col>24</xdr:col>
                <xdr:colOff>0</xdr:colOff>
                <xdr:row>71</xdr:row>
                <xdr:rowOff>0</xdr:rowOff>
              </from>
              <to>
                <xdr:col>24</xdr:col>
                <xdr:colOff>381000</xdr:colOff>
                <xdr:row>72</xdr:row>
                <xdr:rowOff>38100</xdr:rowOff>
              </to>
            </anchor>
          </objectPr>
        </oleObject>
      </mc:Choice>
      <mc:Fallback>
        <oleObject progId="Equation.3" shapeId="1123" r:id="rId38"/>
      </mc:Fallback>
    </mc:AlternateContent>
    <mc:AlternateContent xmlns:mc="http://schemas.openxmlformats.org/markup-compatibility/2006">
      <mc:Choice Requires="x14">
        <oleObject progId="Equation.3" shapeId="1124" r:id="rId40">
          <objectPr defaultSize="0" autoPict="0" r:id="rId41">
            <anchor moveWithCells="1" sizeWithCells="1">
              <from>
                <xdr:col>25</xdr:col>
                <xdr:colOff>0</xdr:colOff>
                <xdr:row>71</xdr:row>
                <xdr:rowOff>0</xdr:rowOff>
              </from>
              <to>
                <xdr:col>25</xdr:col>
                <xdr:colOff>409575</xdr:colOff>
                <xdr:row>72</xdr:row>
                <xdr:rowOff>38100</xdr:rowOff>
              </to>
            </anchor>
          </objectPr>
        </oleObject>
      </mc:Choice>
      <mc:Fallback>
        <oleObject progId="Equation.3" shapeId="1124" r:id="rId40"/>
      </mc:Fallback>
    </mc:AlternateContent>
    <mc:AlternateContent xmlns:mc="http://schemas.openxmlformats.org/markup-compatibility/2006">
      <mc:Choice Requires="x14">
        <oleObject progId="Equation.DSMT4" shapeId="1125" r:id="rId42">
          <objectPr defaultSize="0" autoPict="0" r:id="rId23">
            <anchor moveWithCells="1" sizeWithCells="1">
              <from>
                <xdr:col>0</xdr:col>
                <xdr:colOff>447675</xdr:colOff>
                <xdr:row>87</xdr:row>
                <xdr:rowOff>0</xdr:rowOff>
              </from>
              <to>
                <xdr:col>0</xdr:col>
                <xdr:colOff>571500</xdr:colOff>
                <xdr:row>88</xdr:row>
                <xdr:rowOff>9525</xdr:rowOff>
              </to>
            </anchor>
          </objectPr>
        </oleObject>
      </mc:Choice>
      <mc:Fallback>
        <oleObject progId="Equation.DSMT4" shapeId="1125" r:id="rId42"/>
      </mc:Fallback>
    </mc:AlternateContent>
    <mc:AlternateContent xmlns:mc="http://schemas.openxmlformats.org/markup-compatibility/2006">
      <mc:Choice Requires="x14">
        <oleObject progId="Equation.3" shapeId="1126" r:id="rId43">
          <objectPr defaultSize="0" autoPict="0" r:id="rId44">
            <anchor moveWithCells="1" sizeWithCells="1">
              <from>
                <xdr:col>29</xdr:col>
                <xdr:colOff>0</xdr:colOff>
                <xdr:row>71</xdr:row>
                <xdr:rowOff>0</xdr:rowOff>
              </from>
              <to>
                <xdr:col>29</xdr:col>
                <xdr:colOff>533400</xdr:colOff>
                <xdr:row>71</xdr:row>
                <xdr:rowOff>276225</xdr:rowOff>
              </to>
            </anchor>
          </objectPr>
        </oleObject>
      </mc:Choice>
      <mc:Fallback>
        <oleObject progId="Equation.3" shapeId="1126" r:id="rId43"/>
      </mc:Fallback>
    </mc:AlternateContent>
    <mc:AlternateContent xmlns:mc="http://schemas.openxmlformats.org/markup-compatibility/2006">
      <mc:Choice Requires="x14">
        <oleObject progId="Equation.3" shapeId="1127" r:id="rId45">
          <objectPr defaultSize="0" autoPict="0" r:id="rId46">
            <anchor moveWithCells="1" sizeWithCells="1">
              <from>
                <xdr:col>30</xdr:col>
                <xdr:colOff>38100</xdr:colOff>
                <xdr:row>70</xdr:row>
                <xdr:rowOff>152400</xdr:rowOff>
              </from>
              <to>
                <xdr:col>30</xdr:col>
                <xdr:colOff>485775</xdr:colOff>
                <xdr:row>71</xdr:row>
                <xdr:rowOff>190500</xdr:rowOff>
              </to>
            </anchor>
          </objectPr>
        </oleObject>
      </mc:Choice>
      <mc:Fallback>
        <oleObject progId="Equation.3" shapeId="1127" r:id="rId4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SEBASTIAN</dc:creator>
  <cp:lastModifiedBy>ROBIN</cp:lastModifiedBy>
  <dcterms:created xsi:type="dcterms:W3CDTF">2012-03-30T16:22:57Z</dcterms:created>
  <dcterms:modified xsi:type="dcterms:W3CDTF">2013-06-14T04:49:04Z</dcterms:modified>
</cp:coreProperties>
</file>