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rsettlag/Desktop/"/>
    </mc:Choice>
  </mc:AlternateContent>
  <xr:revisionPtr revIDLastSave="0" documentId="13_ncr:1_{8FFDE584-8596-4A49-BB01-886EABFF14F9}" xr6:coauthVersionLast="45" xr6:coauthVersionMax="45" xr10:uidLastSave="{00000000-0000-0000-0000-000000000000}"/>
  <bookViews>
    <workbookView xWindow="8180" yWindow="1780" windowWidth="29260" windowHeight="19120" activeTab="7" xr2:uid="{19882325-6CB8-BD46-ADED-9ABB001A07F8}"/>
  </bookViews>
  <sheets>
    <sheet name="Cost comparison" sheetId="1" r:id="rId1"/>
    <sheet name="ON-PREM" sheetId="2" r:id="rId2"/>
    <sheet name="Actual used CPU" sheetId="7" r:id="rId3"/>
    <sheet name="AWS web" sheetId="3" r:id="rId4"/>
    <sheet name="AWS compute" sheetId="4" r:id="rId5"/>
    <sheet name="AWS HM" sheetId="5" r:id="rId6"/>
    <sheet name="AWS GPU" sheetId="6" r:id="rId7"/>
    <sheet name="class_compute"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7" i="8" l="1"/>
  <c r="I14" i="8"/>
  <c r="I13" i="8"/>
  <c r="C3" i="8"/>
  <c r="D6" i="8" s="1"/>
  <c r="I6" i="8" s="1"/>
  <c r="I7" i="8"/>
  <c r="H6" i="8"/>
  <c r="I9" i="3"/>
  <c r="E9" i="7"/>
  <c r="F9" i="7" s="1"/>
  <c r="D4" i="1"/>
  <c r="H4" i="1" s="1"/>
  <c r="I4" i="1" s="1"/>
  <c r="I11" i="1" s="1"/>
  <c r="D5" i="1"/>
  <c r="G5" i="1" s="1"/>
  <c r="G12" i="1" s="1"/>
  <c r="G19" i="1" s="1"/>
  <c r="D6" i="1"/>
  <c r="G6" i="1" s="1"/>
  <c r="G13" i="1" s="1"/>
  <c r="G20" i="1" s="1"/>
  <c r="E8" i="7"/>
  <c r="F8" i="7" s="1"/>
  <c r="E7" i="7"/>
  <c r="E6" i="7"/>
  <c r="F6" i="7"/>
  <c r="F7" i="7"/>
  <c r="F9" i="2"/>
  <c r="E35" i="5"/>
  <c r="D9" i="7"/>
  <c r="C9" i="7"/>
  <c r="D8" i="7"/>
  <c r="C8" i="7"/>
  <c r="C7" i="7"/>
  <c r="D6" i="7"/>
  <c r="C6" i="7"/>
  <c r="I10" i="8" l="1"/>
  <c r="I11" i="8" s="1"/>
  <c r="I12" i="8" s="1"/>
  <c r="C17" i="8" s="1"/>
  <c r="I18" i="1"/>
  <c r="H11" i="1"/>
  <c r="B24" i="1"/>
  <c r="H6" i="1"/>
  <c r="G4" i="1"/>
  <c r="G11" i="1" s="1"/>
  <c r="D7" i="1"/>
  <c r="E19" i="7"/>
  <c r="F30" i="2"/>
  <c r="F14" i="2"/>
  <c r="C9" i="2"/>
  <c r="G4" i="2"/>
  <c r="G18" i="1" l="1"/>
  <c r="H18" i="1"/>
  <c r="I6" i="1"/>
  <c r="I13" i="1" s="1"/>
  <c r="I20" i="1" s="1"/>
  <c r="H13" i="1"/>
  <c r="H20" i="1" s="1"/>
  <c r="G7" i="1"/>
  <c r="G14" i="1" s="1"/>
  <c r="G21" i="1" s="1"/>
  <c r="H7" i="1"/>
  <c r="C10" i="2"/>
  <c r="I7" i="1" l="1"/>
  <c r="H14" i="1"/>
  <c r="H21" i="1" s="1"/>
  <c r="G15" i="1"/>
  <c r="G22" i="1"/>
  <c r="I7" i="6"/>
  <c r="H6" i="6"/>
  <c r="I6" i="6" s="1"/>
  <c r="I10" i="6" s="1"/>
  <c r="I11" i="6" s="1"/>
  <c r="I12" i="6" s="1"/>
  <c r="D6" i="6"/>
  <c r="C3" i="3"/>
  <c r="D8" i="3" s="1"/>
  <c r="I8" i="3" s="1"/>
  <c r="I7" i="5"/>
  <c r="H6" i="5"/>
  <c r="I6" i="5" s="1"/>
  <c r="D6" i="5"/>
  <c r="I7" i="4"/>
  <c r="H6" i="4"/>
  <c r="H7" i="3"/>
  <c r="H8" i="3"/>
  <c r="H6" i="3"/>
  <c r="D15" i="2"/>
  <c r="F15" i="2" s="1"/>
  <c r="F27" i="2"/>
  <c r="F28" i="2"/>
  <c r="F26" i="2"/>
  <c r="F11" i="2"/>
  <c r="F12" i="2"/>
  <c r="F13" i="2"/>
  <c r="F10" i="2"/>
  <c r="I14" i="1" l="1"/>
  <c r="I13" i="6"/>
  <c r="F29" i="2"/>
  <c r="F17" i="2"/>
  <c r="F16" i="2"/>
  <c r="G22" i="2" s="1"/>
  <c r="G23" i="2" s="1"/>
  <c r="D6" i="3"/>
  <c r="I6" i="3" s="1"/>
  <c r="D7" i="3"/>
  <c r="I7" i="3" s="1"/>
  <c r="I10" i="5"/>
  <c r="I11" i="5" s="1"/>
  <c r="I12" i="5" s="1"/>
  <c r="D6" i="4"/>
  <c r="F31" i="2"/>
  <c r="I21" i="1" l="1"/>
  <c r="I14" i="6"/>
  <c r="I13" i="5"/>
  <c r="I14" i="5" s="1"/>
  <c r="I15" i="5" s="1"/>
  <c r="C17" i="5" s="1"/>
  <c r="B28" i="1"/>
  <c r="C28" i="1" s="1"/>
  <c r="H9" i="2"/>
  <c r="C13" i="1" s="1"/>
  <c r="F18" i="2"/>
  <c r="F19" i="2" s="1"/>
  <c r="H10" i="2"/>
  <c r="I6" i="4"/>
  <c r="I10" i="4" s="1"/>
  <c r="I11" i="4" s="1"/>
  <c r="I12" i="4" s="1"/>
  <c r="I12" i="3"/>
  <c r="I13" i="3" s="1"/>
  <c r="I14" i="3" s="1"/>
  <c r="I15" i="6" l="1"/>
  <c r="C17" i="6"/>
  <c r="B29" i="1" s="1"/>
  <c r="C29" i="1" s="1"/>
  <c r="D13" i="1"/>
  <c r="I13" i="4"/>
  <c r="I14" i="4" s="1"/>
  <c r="I15" i="4" s="1"/>
  <c r="C17" i="4" s="1"/>
  <c r="B27" i="1" s="1"/>
  <c r="C27" i="1" s="1"/>
  <c r="I15" i="3"/>
  <c r="I16" i="3" s="1"/>
  <c r="I17" i="3" s="1"/>
  <c r="C19" i="3" l="1"/>
  <c r="B26" i="1" s="1"/>
  <c r="C26" i="1" s="1"/>
  <c r="H5" i="1"/>
  <c r="H8" i="1" s="1"/>
  <c r="G8" i="1"/>
  <c r="I5" i="1" l="1"/>
  <c r="H12" i="1"/>
  <c r="C14" i="1"/>
  <c r="C15" i="1" s="1"/>
  <c r="B25" i="1" s="1"/>
  <c r="D29" i="1" s="1"/>
  <c r="H19" i="1" l="1"/>
  <c r="H22" i="1" s="1"/>
  <c r="H15" i="1"/>
  <c r="I12" i="1"/>
  <c r="I8" i="1"/>
  <c r="D14" i="1"/>
  <c r="D15" i="1" s="1"/>
  <c r="D28" i="1"/>
  <c r="D27" i="1"/>
  <c r="D26" i="1"/>
  <c r="I19" i="1" l="1"/>
  <c r="I22" i="1" s="1"/>
  <c r="I15" i="1"/>
</calcChain>
</file>

<file path=xl/sharedStrings.xml><?xml version="1.0" encoding="utf-8"?>
<sst xmlns="http://schemas.openxmlformats.org/spreadsheetml/2006/main" count="271" uniqueCount="148">
  <si>
    <t>Number of nodes</t>
  </si>
  <si>
    <t>Network refresh period</t>
  </si>
  <si>
    <t>Cores per node * 2 = vCPU</t>
  </si>
  <si>
    <t>Item Description</t>
  </si>
  <si>
    <t>Units</t>
  </si>
  <si>
    <t>Unit Cost</t>
  </si>
  <si>
    <t>Years amortized</t>
  </si>
  <si>
    <t>Total yearly cost</t>
  </si>
  <si>
    <t>Networking upfront cost</t>
  </si>
  <si>
    <t>Data center space</t>
  </si>
  <si>
    <t>ANNUAL per node cost</t>
  </si>
  <si>
    <t>BeeGFS Storage costs (yearly/GB)</t>
  </si>
  <si>
    <t>hardware</t>
  </si>
  <si>
    <t>startup sysadmin (6 FTE months)</t>
  </si>
  <si>
    <t>on-going sysadmin (1 FTE month/year)</t>
  </si>
  <si>
    <t>full 7.5 PB / year</t>
  </si>
  <si>
    <t>1 TB / 5 years</t>
  </si>
  <si>
    <t>ON-PREM costs</t>
  </si>
  <si>
    <t>ANNUAL per vCPU cost</t>
  </si>
  <si>
    <t>vCPU hour</t>
  </si>
  <si>
    <t>NOTE 1: AWS uses hyperthreading, so converting our cores to vCPU to be as close as possible</t>
  </si>
  <si>
    <t>Vendor unit cost</t>
  </si>
  <si>
    <t>vCPUs in VM</t>
  </si>
  <si>
    <t>On-demand cost (1 year)</t>
  </si>
  <si>
    <t>NOTE: we are NOT including the fact that we generally keep our equipment longer than the 5 year depreciation</t>
  </si>
  <si>
    <t>1000 nodes (ca. current VT node count), 350K purchase redhat, 200 ongoing costs includes Openstack</t>
  </si>
  <si>
    <t>Notes</t>
  </si>
  <si>
    <t>S3 standard storage was selected based on frequent access as is typical with a research use case. Also this is assuming that the user uses no</t>
  </si>
  <si>
    <t>more than 50TB a month.</t>
  </si>
  <si>
    <t>First 1GB of data transfer is free on AWS. Additionally educational institutions get a discount of data transfer.</t>
  </si>
  <si>
    <t>Business supoort is 10% of monthly costs till 10K. This is assuming that the average user does not spend more than 10K a month.</t>
  </si>
  <si>
    <t>Reserved instances are generally more, so going with on-demand.</t>
  </si>
  <si>
    <t>0.5 GiB</t>
  </si>
  <si>
    <t>1 GiB</t>
  </si>
  <si>
    <t>2 GiB</t>
  </si>
  <si>
    <t>RAM</t>
  </si>
  <si>
    <t>t3a.nano On-demand general purpose</t>
  </si>
  <si>
    <t>t3a.micro On-demand general purpose</t>
  </si>
  <si>
    <t>t3a.small On-demand general purpose</t>
  </si>
  <si>
    <t>Note the t3a with 2 vCPU is cheaper than the t2 with 1 vCPU</t>
  </si>
  <si>
    <t>Vendor vCPU cost</t>
  </si>
  <si>
    <t>TOTAL VM hours requested per year -- assuming this is a web service running 365</t>
  </si>
  <si>
    <t>Storage (S3 for AWS, up to 50TB). Unit cost per GB per month -- x12</t>
  </si>
  <si>
    <t>Data transfer IN (up to 10TB a month), Units are GB -- end x12</t>
  </si>
  <si>
    <t>Data transfer OUT (up to 10TB a month), Units are GB -- end x12</t>
  </si>
  <si>
    <t>VM hours per month</t>
  </si>
  <si>
    <t>Total VM Monthly</t>
  </si>
  <si>
    <t>VM Monthly</t>
  </si>
  <si>
    <t>TOTAL VM Year</t>
  </si>
  <si>
    <t>Business support</t>
  </si>
  <si>
    <t>TOTAL VM hours is 20k to match our smallest project</t>
  </si>
  <si>
    <t>Took cheapest compute optimized on demand instance</t>
  </si>
  <si>
    <t>Business Support for On-demand 10% of monthly VM cost</t>
  </si>
  <si>
    <t>c5.9xlarge On-demand compute optimized (36 vCPU and 72 GB RAM)</t>
  </si>
  <si>
    <t>&gt;4 core jobs</t>
  </si>
  <si>
    <t>gpu jobs</t>
  </si>
  <si>
    <t>large mem jobs</t>
  </si>
  <si>
    <t>&lt;=4 core jobs</t>
  </si>
  <si>
    <t>tiny</t>
  </si>
  <si>
    <t>compute</t>
  </si>
  <si>
    <t>memory</t>
  </si>
  <si>
    <t>gpu</t>
  </si>
  <si>
    <t>1 month</t>
  </si>
  <si>
    <t>12 month</t>
  </si>
  <si>
    <t>On-prem</t>
  </si>
  <si>
    <t>hours per month</t>
  </si>
  <si>
    <t>added 500 GB storage to on-prem</t>
  </si>
  <si>
    <t>5 year</t>
  </si>
  <si>
    <t>p3.2xlarge On-demand gpu</t>
  </si>
  <si>
    <t>r5a.24xlarge On-demand memory optimized (768 GB RAM, 96 vCPU)</t>
  </si>
  <si>
    <t>monthly</t>
  </si>
  <si>
    <t>year</t>
  </si>
  <si>
    <t>Our users of the HM system really need the 3 TB.  I chose the AWS system with the most RAM and the cheapest rate.  It still only had 768 GB.</t>
  </si>
  <si>
    <t>Took one towards the bottom of the AWS price sheet, didn't look at what the GPU was.  None of the configs come close to what we have on our Volta boxes.  24 cores plus 384 GB ram with 2 Voltas per.</t>
  </si>
  <si>
    <t>monthly total cost</t>
  </si>
  <si>
    <t>added 5 TB storage to on-prem per 20k used</t>
  </si>
  <si>
    <t>average true vCPU cost</t>
  </si>
  <si>
    <t>Storage (S3 for AWS, up to 50TB). Unit cost per GB per month</t>
  </si>
  <si>
    <t>Data transfer IN (up to 10TB a month), Units are GB</t>
  </si>
  <si>
    <t>Data transfer OUT (up to 10TB a month), Units are GB</t>
  </si>
  <si>
    <t>average true vCPU cost inclusive of disk, data transfer and support</t>
  </si>
  <si>
    <t>annual data center cost</t>
  </si>
  <si>
    <t>ANNUAL compute cost</t>
  </si>
  <si>
    <t>true AWS web</t>
  </si>
  <si>
    <t>true AWS compute</t>
  </si>
  <si>
    <t>true AWS HM</t>
  </si>
  <si>
    <t>on-prem cost</t>
  </si>
  <si>
    <t>yearly</t>
  </si>
  <si>
    <t>All hardware costs include 5 years maintenance contract</t>
  </si>
  <si>
    <t>k80???</t>
  </si>
  <si>
    <t>Networking (0.5) and facilities (0.5) on-going cost (1 FTE)</t>
  </si>
  <si>
    <t>NOTE 2: thread counts and node unit costs based on Cray quote (308 nodes rounded up to $10.6k/node inclusive of support nodes, service contract and Bright for 5 years)</t>
  </si>
  <si>
    <t>Software - Bright cost ($75/node included in system cost)</t>
  </si>
  <si>
    <t>RedHat ($350k site license upfront) plus Openstack ($250k/year) &gt; Bright at $75/node/year</t>
  </si>
  <si>
    <t>$300k for network datacenter network, ie core above top of rack switches</t>
  </si>
  <si>
    <t>Datacenter ($5.8M - 30 year amort)</t>
  </si>
  <si>
    <t>1 TB / year</t>
  </si>
  <si>
    <t>Per cluster power/cooling ($140k/year measured on 400 node cluster)</t>
  </si>
  <si>
    <t>Total system cost (includes service and Bright)</t>
  </si>
  <si>
    <t>Items in blue-grey are changeable, others are derived via linked cells</t>
  </si>
  <si>
    <t>4 FTEs on going cost per year for ops + 1 FTE (networking + facilities)</t>
  </si>
  <si>
    <t>$3M/308 nodes = $10.6k per node cost based on competitive Cray quote for AMD and IB, 256 GB RAM, 128 cores per node</t>
  </si>
  <si>
    <t>Additional Notes:</t>
  </si>
  <si>
    <t>in reality comes out of system admins in compute costs above</t>
  </si>
  <si>
    <t>Usage data from Cascades from Oct 01, 2019 - Jan 31, 2020 -- scaled to 1000 128-core nodes, 12 months</t>
  </si>
  <si>
    <t>node cost was $30k, scaling normal node cost, added 5 TB storage to on-prem per 20k used</t>
  </si>
  <si>
    <t>on-prem recoveries</t>
  </si>
  <si>
    <t>recoveries</t>
  </si>
  <si>
    <t>Internet2 members, fees waived</t>
  </si>
  <si>
    <t>available</t>
  </si>
  <si>
    <t>CPU scaled actual</t>
  </si>
  <si>
    <t>CPU/4 months</t>
  </si>
  <si>
    <t>normal CPU</t>
  </si>
  <si>
    <t>tiny CPU</t>
  </si>
  <si>
    <t>highmem</t>
  </si>
  <si>
    <t>GPU</t>
  </si>
  <si>
    <t>starting with actual use on Cascades for Oct 01, 2019 - Jan 31, 2020, scale cores used to 1000 nodes, convert to vCPU</t>
  </si>
  <si>
    <t>vCPU scaled actual</t>
  </si>
  <si>
    <t>true AWS GPU</t>
  </si>
  <si>
    <t>Unit mix        (% of each)</t>
  </si>
  <si>
    <t>Totals</t>
  </si>
  <si>
    <t>Business Support for On-demand (% of monthly, Lights on support)</t>
  </si>
  <si>
    <t>VM cost/hour</t>
  </si>
  <si>
    <t>1000 nodes/year</t>
  </si>
  <si>
    <t>VM cost/hour/vCPU</t>
  </si>
  <si>
    <t>GPUs in VM</t>
  </si>
  <si>
    <t>VM cost/hour/GPU</t>
  </si>
  <si>
    <t>Vendor GPU cost</t>
  </si>
  <si>
    <t>Sysdmin FTE Salary (base plus fringe)</t>
  </si>
  <si>
    <t>just divided by 2 based on vCPU in VM all being 2</t>
  </si>
  <si>
    <t>average true GPU cost</t>
  </si>
  <si>
    <t xml:space="preserve">actual </t>
  </si>
  <si>
    <t>base nodes</t>
  </si>
  <si>
    <t>yearly vCPU/GPU hours scaled</t>
  </si>
  <si>
    <t>gpus-hours = /24</t>
  </si>
  <si>
    <t>NOTE: the GPU line is GPU hours, not CPU -- 2 GPU/24 cores</t>
  </si>
  <si>
    <t>AWS On-demand</t>
  </si>
  <si>
    <t>AWS reserved (64% off)</t>
  </si>
  <si>
    <t>on-prem (Montly / core hours)</t>
  </si>
  <si>
    <t>on-prem scaled by recoveries</t>
  </si>
  <si>
    <t>AWS cost factor (AWS/on-prem)</t>
  </si>
  <si>
    <t>AWS reserved (-64%)</t>
  </si>
  <si>
    <t>Quick, post submission attempt at working through a more appropriate student class compute would look like</t>
  </si>
  <si>
    <t>hours per class</t>
  </si>
  <si>
    <t>TOTAL VM hours assuming 3 credit class, 12 computing hours per week, 5 months</t>
  </si>
  <si>
    <t>assuming free</t>
  </si>
  <si>
    <t>VM class total</t>
  </si>
  <si>
    <t>Total VM for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</si>
</sst>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8" formatCode="&quot;$&quot;#,##0.00_);[Red]\(&quot;$&quot;#,##0.00\)"/>
    <numFmt numFmtId="44" formatCode="_(&quot;$&quot;* #,##0.00_);_(&quot;$&quot;* \(#,##0.00\);_(&quot;$&quot;* &quot;-&quot;??_);_(@_)"/>
    <numFmt numFmtId="43" formatCode="_(* #,##0.00_);_(* \(#,##0.00\);_(* &quot;-&quot;??_);_(@_)"/>
    <numFmt numFmtId="164" formatCode="&quot;$&quot;#,##0.0000_);[Red]\(&quot;$&quot;#,##0.0000\)"/>
    <numFmt numFmtId="165" formatCode="&quot;$&quot;#,##0.00000_);[Red]\(&quot;$&quot;#,##0.00000\)"/>
    <numFmt numFmtId="166" formatCode="_(&quot;$&quot;* #,##0.0000_);_(&quot;$&quot;* \(#,##0.0000\);_(&quot;$&quot;* &quot;-&quot;??_);_(@_)"/>
    <numFmt numFmtId="167" formatCode="_(* #,##0_);_(* \(#,##0\);_(* &quot;-&quot;??_);_(@_)"/>
    <numFmt numFmtId="178" formatCode="_(&quot;$&quot;* #,##0.000_);_(&quot;$&quot;* \(#,##0.000\);_(&quot;$&quot;* &quot;-&quot;??_);_(@_)"/>
    <numFmt numFmtId="179" formatCode="_(&quot;$&quot;* #,##0.00000_);_(&quot;$&quot;* \(#,##0.00000\);_(&quot;$&quot;* &quot;-&quot;??_);_(@_)"/>
  </numFmts>
  <fonts count="13" x14ac:knownFonts="1">
    <font>
      <sz val="12"/>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color theme="1"/>
      <name val="Calibri"/>
      <family val="2"/>
      <scheme val="minor"/>
    </font>
    <font>
      <sz val="14"/>
      <color rgb="FF666666"/>
      <name val="Calibri"/>
      <family val="2"/>
      <scheme val="minor"/>
    </font>
    <font>
      <b/>
      <sz val="14"/>
      <color rgb="FF000000"/>
      <name val="Calibri"/>
      <family val="2"/>
      <scheme val="minor"/>
    </font>
    <font>
      <b/>
      <sz val="14"/>
      <color theme="5" tint="-0.249977111117893"/>
      <name val="Calibri"/>
      <family val="2"/>
      <scheme val="minor"/>
    </font>
    <font>
      <sz val="14"/>
      <color theme="5" tint="-0.249977111117893"/>
      <name val="Calibri"/>
      <family val="2"/>
      <scheme val="minor"/>
    </font>
    <font>
      <b/>
      <sz val="14"/>
      <color rgb="FFFF0000"/>
      <name val="Calibri"/>
      <family val="2"/>
      <scheme val="minor"/>
    </font>
    <font>
      <sz val="14"/>
      <name val="Calibri"/>
      <family val="2"/>
      <scheme val="minor"/>
    </font>
    <font>
      <b/>
      <sz val="14"/>
      <name val="Calibri"/>
      <family val="2"/>
      <scheme val="minor"/>
    </font>
    <font>
      <sz val="14"/>
      <color rgb="FF00000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3" tint="0.79998168889431442"/>
        <bgColor indexed="64"/>
      </patternFill>
    </fill>
  </fills>
  <borders count="40">
    <border>
      <left/>
      <right/>
      <top/>
      <bottom/>
      <diagonal/>
    </border>
    <border>
      <left/>
      <right style="medium">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top/>
      <bottom style="thick">
        <color auto="1"/>
      </bottom>
      <diagonal/>
    </border>
    <border>
      <left/>
      <right/>
      <top style="thick">
        <color auto="1"/>
      </top>
      <bottom style="medium">
        <color auto="1"/>
      </bottom>
      <diagonal/>
    </border>
    <border>
      <left/>
      <right/>
      <top style="medium">
        <color auto="1"/>
      </top>
      <bottom style="medium">
        <color auto="1"/>
      </bottom>
      <diagonal/>
    </border>
    <border>
      <left style="medium">
        <color auto="1"/>
      </left>
      <right style="medium">
        <color auto="1"/>
      </right>
      <top style="thick">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ck">
        <color auto="1"/>
      </right>
      <top style="thick">
        <color auto="1"/>
      </top>
      <bottom style="medium">
        <color auto="1"/>
      </bottom>
      <diagonal/>
    </border>
    <border>
      <left style="medium">
        <color auto="1"/>
      </left>
      <right style="thick">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ck">
        <color auto="1"/>
      </right>
      <top style="medium">
        <color auto="1"/>
      </top>
      <bottom/>
      <diagonal/>
    </border>
    <border>
      <left style="medium">
        <color auto="1"/>
      </left>
      <right style="thick">
        <color auto="1"/>
      </right>
      <top/>
      <bottom style="medium">
        <color auto="1"/>
      </bottom>
      <diagonal/>
    </border>
    <border>
      <left/>
      <right/>
      <top style="medium">
        <color auto="1"/>
      </top>
      <bottom style="thick">
        <color auto="1"/>
      </bottom>
      <diagonal/>
    </border>
    <border>
      <left style="medium">
        <color auto="1"/>
      </left>
      <right style="medium">
        <color auto="1"/>
      </right>
      <top style="medium">
        <color auto="1"/>
      </top>
      <bottom style="thick">
        <color auto="1"/>
      </bottom>
      <diagonal/>
    </border>
    <border>
      <left style="medium">
        <color auto="1"/>
      </left>
      <right style="thick">
        <color auto="1"/>
      </right>
      <top style="medium">
        <color auto="1"/>
      </top>
      <bottom style="thick">
        <color auto="1"/>
      </bottom>
      <diagonal/>
    </border>
    <border>
      <left/>
      <right style="medium">
        <color auto="1"/>
      </right>
      <top style="thick">
        <color auto="1"/>
      </top>
      <bottom/>
      <diagonal/>
    </border>
    <border>
      <left style="medium">
        <color auto="1"/>
      </left>
      <right style="thick">
        <color auto="1"/>
      </right>
      <top style="medium">
        <color auto="1"/>
      </top>
      <bottom style="double">
        <color auto="1"/>
      </bottom>
      <diagonal/>
    </border>
    <border>
      <left/>
      <right style="medium">
        <color auto="1"/>
      </right>
      <top style="thick">
        <color auto="1"/>
      </top>
      <bottom style="medium">
        <color auto="1"/>
      </bottom>
      <diagonal/>
    </border>
    <border>
      <left/>
      <right style="medium">
        <color auto="1"/>
      </right>
      <top style="medium">
        <color auto="1"/>
      </top>
      <bottom style="thick">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top style="medium">
        <color auto="1"/>
      </top>
      <bottom/>
      <diagonal/>
    </border>
    <border>
      <left/>
      <right style="medium">
        <color auto="1"/>
      </right>
      <top/>
      <bottom style="thick">
        <color auto="1"/>
      </bottom>
      <diagonal/>
    </border>
    <border>
      <left style="medium">
        <color auto="1"/>
      </left>
      <right style="medium">
        <color auto="1"/>
      </right>
      <top/>
      <bottom style="thick">
        <color auto="1"/>
      </bottom>
      <diagonal/>
    </border>
    <border>
      <left style="medium">
        <color auto="1"/>
      </left>
      <right/>
      <top/>
      <bottom style="thick">
        <color auto="1"/>
      </bottom>
      <diagonal/>
    </border>
    <border>
      <left/>
      <right/>
      <top style="medium">
        <color auto="1"/>
      </top>
      <bottom/>
      <diagonal/>
    </border>
    <border>
      <left/>
      <right/>
      <top/>
      <bottom style="medium">
        <color auto="1"/>
      </bottom>
      <diagonal/>
    </border>
    <border>
      <left style="medium">
        <color auto="1"/>
      </left>
      <right style="thick">
        <color auto="1"/>
      </right>
      <top/>
      <bottom style="thick">
        <color auto="1"/>
      </bottom>
      <diagonal/>
    </border>
    <border>
      <left style="thick">
        <color auto="1"/>
      </left>
      <right style="thick">
        <color auto="1"/>
      </right>
      <top style="thick">
        <color auto="1"/>
      </top>
      <bottom style="double">
        <color auto="1"/>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auto="1"/>
      </right>
      <top style="thin">
        <color indexed="64"/>
      </top>
      <bottom style="medium">
        <color indexed="64"/>
      </bottom>
      <diagonal/>
    </border>
    <border>
      <left style="medium">
        <color auto="1"/>
      </left>
      <right/>
      <top style="thick">
        <color auto="1"/>
      </top>
      <bottom style="medium">
        <color auto="1"/>
      </bottom>
      <diagonal/>
    </border>
    <border>
      <left style="medium">
        <color auto="1"/>
      </left>
      <right style="thick">
        <color auto="1"/>
      </right>
      <top style="thick">
        <color auto="1"/>
      </top>
      <bottom style="thick">
        <color auto="1"/>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90">
    <xf numFmtId="0" fontId="0" fillId="0" borderId="0" xfId="0"/>
    <xf numFmtId="0" fontId="3" fillId="0" borderId="0" xfId="0" applyFont="1"/>
    <xf numFmtId="0" fontId="3" fillId="2" borderId="0" xfId="0" applyFont="1" applyFill="1"/>
    <xf numFmtId="0" fontId="3" fillId="0" borderId="0" xfId="0" applyFont="1" applyFill="1"/>
    <xf numFmtId="8" fontId="3" fillId="0" borderId="0" xfId="0" applyNumberFormat="1" applyFont="1"/>
    <xf numFmtId="165" fontId="3" fillId="0" borderId="0" xfId="0" applyNumberFormat="1" applyFont="1"/>
    <xf numFmtId="0" fontId="4" fillId="0" borderId="0" xfId="0" applyFont="1"/>
    <xf numFmtId="0" fontId="3" fillId="3" borderId="0" xfId="0" applyFont="1" applyFill="1"/>
    <xf numFmtId="0" fontId="5" fillId="0" borderId="0" xfId="0" applyFont="1"/>
    <xf numFmtId="0" fontId="4" fillId="3" borderId="0" xfId="0" applyFont="1" applyFill="1"/>
    <xf numFmtId="8" fontId="4" fillId="0" borderId="0" xfId="0" applyNumberFormat="1" applyFont="1"/>
    <xf numFmtId="0" fontId="8" fillId="0" borderId="0" xfId="0" applyFont="1"/>
    <xf numFmtId="0" fontId="7" fillId="0" borderId="0" xfId="0" applyFont="1"/>
    <xf numFmtId="0" fontId="0" fillId="4" borderId="0" xfId="0" applyFill="1"/>
    <xf numFmtId="44" fontId="0" fillId="0" borderId="0" xfId="2" applyFont="1"/>
    <xf numFmtId="44" fontId="0" fillId="0" borderId="0" xfId="0" applyNumberFormat="1"/>
    <xf numFmtId="44" fontId="2" fillId="6" borderId="0" xfId="0" applyNumberFormat="1" applyFont="1" applyFill="1"/>
    <xf numFmtId="167" fontId="0" fillId="0" borderId="0" xfId="0" applyNumberFormat="1"/>
    <xf numFmtId="9" fontId="0" fillId="0" borderId="0" xfId="3" applyFont="1"/>
    <xf numFmtId="0" fontId="0" fillId="7" borderId="0" xfId="0" applyFill="1"/>
    <xf numFmtId="0" fontId="3" fillId="8" borderId="0" xfId="0" applyFont="1" applyFill="1"/>
    <xf numFmtId="0" fontId="4" fillId="2" borderId="0" xfId="0" applyFont="1" applyFill="1"/>
    <xf numFmtId="0" fontId="5" fillId="8" borderId="0" xfId="0" applyFont="1" applyFill="1"/>
    <xf numFmtId="8" fontId="9" fillId="9" borderId="0" xfId="0" applyNumberFormat="1" applyFont="1" applyFill="1"/>
    <xf numFmtId="0" fontId="4" fillId="9" borderId="0" xfId="0" applyFont="1" applyFill="1"/>
    <xf numFmtId="0" fontId="3" fillId="9" borderId="0" xfId="0" applyFont="1" applyFill="1"/>
    <xf numFmtId="0" fontId="0" fillId="9" borderId="0" xfId="0" applyFill="1"/>
    <xf numFmtId="44" fontId="0" fillId="6" borderId="0" xfId="2" applyFont="1" applyFill="1"/>
    <xf numFmtId="44" fontId="0" fillId="6" borderId="0" xfId="0" applyNumberFormat="1" applyFill="1"/>
    <xf numFmtId="0" fontId="11" fillId="11" borderId="1" xfId="0" applyFont="1" applyFill="1" applyBorder="1" applyAlignment="1">
      <alignment horizontal="right"/>
    </xf>
    <xf numFmtId="0" fontId="11" fillId="11" borderId="3" xfId="0" applyFont="1" applyFill="1" applyBorder="1" applyAlignment="1">
      <alignment horizontal="right"/>
    </xf>
    <xf numFmtId="0" fontId="11" fillId="11" borderId="2" xfId="0" applyFont="1" applyFill="1" applyBorder="1" applyAlignment="1">
      <alignment horizontal="right"/>
    </xf>
    <xf numFmtId="6" fontId="11" fillId="11" borderId="1" xfId="0" applyNumberFormat="1" applyFont="1" applyFill="1" applyBorder="1" applyAlignment="1">
      <alignment horizontal="right"/>
    </xf>
    <xf numFmtId="0" fontId="5" fillId="0" borderId="4" xfId="0" applyFont="1" applyBorder="1" applyAlignment="1">
      <alignment horizontal="right" wrapText="1"/>
    </xf>
    <xf numFmtId="0" fontId="3" fillId="0" borderId="5" xfId="0" applyFont="1" applyBorder="1" applyAlignment="1">
      <alignment horizontal="right" wrapText="1"/>
    </xf>
    <xf numFmtId="0" fontId="5" fillId="0" borderId="6" xfId="0" applyFont="1" applyBorder="1" applyAlignment="1">
      <alignment horizontal="right" wrapText="1"/>
    </xf>
    <xf numFmtId="0" fontId="6" fillId="0" borderId="7" xfId="0" applyFont="1" applyBorder="1"/>
    <xf numFmtId="0" fontId="4" fillId="0" borderId="7" xfId="0" applyFont="1" applyBorder="1"/>
    <xf numFmtId="0" fontId="3" fillId="0" borderId="10" xfId="0" applyFont="1" applyBorder="1"/>
    <xf numFmtId="0" fontId="3" fillId="0" borderId="11" xfId="0" applyFont="1" applyBorder="1"/>
    <xf numFmtId="0" fontId="5" fillId="0" borderId="11" xfId="0" applyFont="1" applyBorder="1"/>
    <xf numFmtId="0" fontId="5" fillId="0" borderId="18" xfId="0" applyFont="1" applyBorder="1"/>
    <xf numFmtId="0" fontId="4" fillId="0" borderId="20" xfId="0" applyFont="1" applyBorder="1" applyAlignment="1">
      <alignment horizontal="right"/>
    </xf>
    <xf numFmtId="0" fontId="4" fillId="0" borderId="1" xfId="0" applyFont="1" applyBorder="1" applyAlignment="1">
      <alignment horizontal="right"/>
    </xf>
    <xf numFmtId="0" fontId="11" fillId="0" borderId="0" xfId="0" applyFont="1"/>
    <xf numFmtId="0" fontId="5" fillId="0" borderId="22" xfId="0" applyFont="1" applyBorder="1"/>
    <xf numFmtId="0" fontId="10" fillId="14" borderId="10" xfId="0" applyFont="1" applyFill="1" applyBorder="1"/>
    <xf numFmtId="6" fontId="10" fillId="14" borderId="10" xfId="0" applyNumberFormat="1" applyFont="1" applyFill="1" applyBorder="1"/>
    <xf numFmtId="0" fontId="5" fillId="0" borderId="10" xfId="0" applyFont="1" applyBorder="1"/>
    <xf numFmtId="0" fontId="5" fillId="0" borderId="14" xfId="0" applyFont="1" applyBorder="1"/>
    <xf numFmtId="0" fontId="10" fillId="14" borderId="11" xfId="0" applyFont="1" applyFill="1" applyBorder="1"/>
    <xf numFmtId="6" fontId="10" fillId="14" borderId="11" xfId="0" applyNumberFormat="1" applyFont="1" applyFill="1" applyBorder="1"/>
    <xf numFmtId="0" fontId="5" fillId="0" borderId="23" xfId="0" applyFont="1" applyBorder="1"/>
    <xf numFmtId="0" fontId="10" fillId="14" borderId="18" xfId="0" applyFont="1" applyFill="1" applyBorder="1"/>
    <xf numFmtId="6" fontId="10" fillId="14" borderId="18" xfId="0" applyNumberFormat="1" applyFont="1" applyFill="1" applyBorder="1"/>
    <xf numFmtId="6" fontId="5" fillId="0" borderId="12" xfId="0" applyNumberFormat="1" applyFont="1" applyBorder="1"/>
    <xf numFmtId="6" fontId="5" fillId="0" borderId="13" xfId="0" applyNumberFormat="1" applyFont="1" applyBorder="1"/>
    <xf numFmtId="6" fontId="5" fillId="0" borderId="15" xfId="0" applyNumberFormat="1" applyFont="1" applyBorder="1"/>
    <xf numFmtId="8" fontId="11" fillId="0" borderId="13" xfId="0" applyNumberFormat="1" applyFont="1" applyBorder="1"/>
    <xf numFmtId="8" fontId="11" fillId="0" borderId="21" xfId="0" applyNumberFormat="1" applyFont="1" applyBorder="1"/>
    <xf numFmtId="0" fontId="3" fillId="14" borderId="0" xfId="0" applyFont="1" applyFill="1"/>
    <xf numFmtId="0" fontId="0" fillId="0" borderId="0" xfId="0" applyFill="1"/>
    <xf numFmtId="167" fontId="0" fillId="0" borderId="0" xfId="1" applyNumberFormat="1" applyFont="1" applyFill="1"/>
    <xf numFmtId="167" fontId="0" fillId="0" borderId="0" xfId="1" applyNumberFormat="1" applyFont="1" applyFill="1" applyAlignment="1"/>
    <xf numFmtId="9" fontId="0" fillId="0" borderId="0" xfId="3" applyFont="1" applyFill="1" applyAlignment="1">
      <alignment wrapText="1"/>
    </xf>
    <xf numFmtId="0" fontId="0" fillId="0" borderId="0" xfId="0" applyFill="1" applyAlignment="1"/>
    <xf numFmtId="0" fontId="0" fillId="0" borderId="0" xfId="0" applyFill="1" applyAlignment="1">
      <alignment wrapText="1"/>
    </xf>
    <xf numFmtId="0" fontId="12" fillId="0" borderId="0" xfId="0" applyFont="1"/>
    <xf numFmtId="37" fontId="0" fillId="0" borderId="0" xfId="1" applyNumberFormat="1" applyFont="1"/>
    <xf numFmtId="0" fontId="0" fillId="14" borderId="0" xfId="0" applyFill="1"/>
    <xf numFmtId="0" fontId="0" fillId="10" borderId="0" xfId="0" applyFill="1"/>
    <xf numFmtId="8" fontId="3" fillId="0" borderId="11" xfId="0" applyNumberFormat="1" applyFont="1" applyBorder="1"/>
    <xf numFmtId="0" fontId="3" fillId="0" borderId="24" xfId="0" applyFont="1" applyBorder="1"/>
    <xf numFmtId="0" fontId="3" fillId="0" borderId="14" xfId="0" applyFont="1" applyBorder="1"/>
    <xf numFmtId="8" fontId="3" fillId="0" borderId="24" xfId="0" applyNumberFormat="1" applyFont="1" applyBorder="1"/>
    <xf numFmtId="0" fontId="3" fillId="0" borderId="25" xfId="0" applyFont="1" applyBorder="1"/>
    <xf numFmtId="0" fontId="3" fillId="0" borderId="26" xfId="0" applyFont="1" applyBorder="1"/>
    <xf numFmtId="0" fontId="3" fillId="0" borderId="6" xfId="0" applyFont="1" applyBorder="1"/>
    <xf numFmtId="0" fontId="4" fillId="0" borderId="28" xfId="0" applyFont="1" applyBorder="1" applyAlignment="1">
      <alignment wrapText="1"/>
    </xf>
    <xf numFmtId="0" fontId="4" fillId="0" borderId="29" xfId="0" applyFont="1" applyBorder="1" applyAlignment="1">
      <alignment wrapText="1"/>
    </xf>
    <xf numFmtId="0" fontId="4" fillId="0" borderId="30" xfId="0" applyFont="1" applyBorder="1" applyAlignment="1">
      <alignment wrapText="1"/>
    </xf>
    <xf numFmtId="166" fontId="3" fillId="12" borderId="11" xfId="2" applyNumberFormat="1" applyFont="1" applyFill="1" applyBorder="1"/>
    <xf numFmtId="0" fontId="3" fillId="0" borderId="4" xfId="0" applyFont="1" applyBorder="1"/>
    <xf numFmtId="0" fontId="3" fillId="0" borderId="6" xfId="0" applyFont="1" applyFill="1" applyBorder="1"/>
    <xf numFmtId="0" fontId="3" fillId="0" borderId="11" xfId="0" applyFont="1" applyFill="1" applyBorder="1"/>
    <xf numFmtId="0" fontId="3" fillId="0" borderId="27" xfId="0" applyFont="1" applyBorder="1"/>
    <xf numFmtId="0" fontId="3" fillId="0" borderId="31" xfId="0" applyFont="1" applyBorder="1"/>
    <xf numFmtId="0" fontId="3" fillId="0" borderId="3" xfId="0" applyFont="1" applyBorder="1"/>
    <xf numFmtId="0" fontId="3" fillId="0" borderId="0" xfId="0" applyFont="1" applyBorder="1"/>
    <xf numFmtId="0" fontId="3" fillId="0" borderId="1" xfId="0" applyFont="1" applyBorder="1"/>
    <xf numFmtId="8" fontId="3" fillId="0" borderId="0" xfId="0" applyNumberFormat="1" applyFont="1" applyBorder="1"/>
    <xf numFmtId="0" fontId="8" fillId="0" borderId="0" xfId="0" applyFont="1" applyBorder="1"/>
    <xf numFmtId="0" fontId="7" fillId="0" borderId="0" xfId="0" applyFont="1" applyBorder="1"/>
    <xf numFmtId="0" fontId="4" fillId="0" borderId="0" xfId="0" applyFont="1" applyBorder="1"/>
    <xf numFmtId="0" fontId="4" fillId="0" borderId="33" xfId="0" applyFont="1" applyBorder="1" applyAlignment="1">
      <alignment wrapText="1"/>
    </xf>
    <xf numFmtId="8" fontId="3" fillId="0" borderId="13" xfId="0" applyNumberFormat="1" applyFont="1" applyBorder="1"/>
    <xf numFmtId="164" fontId="4" fillId="2" borderId="0" xfId="0" applyNumberFormat="1" applyFont="1" applyFill="1"/>
    <xf numFmtId="0" fontId="4" fillId="0" borderId="28" xfId="0" applyFont="1" applyBorder="1"/>
    <xf numFmtId="44" fontId="3" fillId="0" borderId="11" xfId="2" applyFont="1" applyBorder="1"/>
    <xf numFmtId="178" fontId="3" fillId="0" borderId="11" xfId="2" applyNumberFormat="1" applyFont="1" applyBorder="1"/>
    <xf numFmtId="44" fontId="3" fillId="0" borderId="13" xfId="2" applyFont="1" applyBorder="1"/>
    <xf numFmtId="44" fontId="7" fillId="0" borderId="13" xfId="2" applyFont="1" applyBorder="1"/>
    <xf numFmtId="44" fontId="3" fillId="0" borderId="16" xfId="2" applyNumberFormat="1" applyFont="1" applyBorder="1"/>
    <xf numFmtId="166" fontId="3" fillId="0" borderId="16" xfId="2" applyNumberFormat="1" applyFont="1" applyBorder="1"/>
    <xf numFmtId="166" fontId="3" fillId="0" borderId="13" xfId="2" applyNumberFormat="1" applyFont="1" applyBorder="1"/>
    <xf numFmtId="166" fontId="4" fillId="0" borderId="34" xfId="2" applyNumberFormat="1" applyFont="1" applyBorder="1"/>
    <xf numFmtId="179" fontId="4" fillId="0" borderId="34" xfId="2" applyNumberFormat="1" applyFont="1" applyBorder="1"/>
    <xf numFmtId="179" fontId="4" fillId="0" borderId="0" xfId="2" applyNumberFormat="1" applyFont="1" applyBorder="1"/>
    <xf numFmtId="44" fontId="7" fillId="0" borderId="18" xfId="2" applyFont="1" applyBorder="1"/>
    <xf numFmtId="0" fontId="4" fillId="0" borderId="16" xfId="0" applyFont="1" applyBorder="1" applyAlignment="1">
      <alignment wrapText="1"/>
    </xf>
    <xf numFmtId="0" fontId="10" fillId="0" borderId="6" xfId="0" applyFont="1" applyBorder="1"/>
    <xf numFmtId="166" fontId="10" fillId="0" borderId="13" xfId="2" applyNumberFormat="1" applyFont="1" applyBorder="1"/>
    <xf numFmtId="0" fontId="10" fillId="0" borderId="11" xfId="0" applyFont="1" applyBorder="1"/>
    <xf numFmtId="8" fontId="10" fillId="0" borderId="11" xfId="0" applyNumberFormat="1" applyFont="1" applyBorder="1"/>
    <xf numFmtId="44" fontId="10" fillId="0" borderId="13" xfId="2" applyFont="1" applyBorder="1"/>
    <xf numFmtId="0" fontId="3" fillId="12" borderId="6" xfId="0" applyFont="1" applyFill="1" applyBorder="1"/>
    <xf numFmtId="166" fontId="3" fillId="12" borderId="6" xfId="2" applyNumberFormat="1" applyFont="1" applyFill="1" applyBorder="1"/>
    <xf numFmtId="0" fontId="3" fillId="12" borderId="11" xfId="0" applyFont="1" applyFill="1" applyBorder="1"/>
    <xf numFmtId="3" fontId="3" fillId="12" borderId="11" xfId="0" applyNumberFormat="1" applyFont="1" applyFill="1" applyBorder="1"/>
    <xf numFmtId="0" fontId="4" fillId="0" borderId="32" xfId="0" applyFont="1" applyBorder="1"/>
    <xf numFmtId="167" fontId="3" fillId="12" borderId="11" xfId="1" applyNumberFormat="1" applyFont="1" applyFill="1" applyBorder="1"/>
    <xf numFmtId="167" fontId="3" fillId="12" borderId="26" xfId="1" applyNumberFormat="1" applyFont="1" applyFill="1" applyBorder="1"/>
    <xf numFmtId="0" fontId="3" fillId="0" borderId="35" xfId="0" applyFont="1" applyBorder="1"/>
    <xf numFmtId="167" fontId="3" fillId="12" borderId="36" xfId="1" applyNumberFormat="1" applyFont="1" applyFill="1" applyBorder="1"/>
    <xf numFmtId="0" fontId="3" fillId="0" borderId="36" xfId="0" applyFont="1" applyBorder="1"/>
    <xf numFmtId="8" fontId="3" fillId="0" borderId="36" xfId="0" applyNumberFormat="1" applyFont="1" applyBorder="1"/>
    <xf numFmtId="44" fontId="3" fillId="0" borderId="15" xfId="2" applyFont="1" applyBorder="1"/>
    <xf numFmtId="44" fontId="3" fillId="0" borderId="37" xfId="2" applyFont="1" applyBorder="1"/>
    <xf numFmtId="44" fontId="7" fillId="0" borderId="15" xfId="2" applyFont="1" applyBorder="1"/>
    <xf numFmtId="166" fontId="4" fillId="0" borderId="0" xfId="2" applyNumberFormat="1" applyFont="1" applyBorder="1"/>
    <xf numFmtId="0" fontId="10" fillId="0" borderId="27" xfId="0" applyFont="1" applyBorder="1"/>
    <xf numFmtId="0" fontId="10" fillId="0" borderId="31" xfId="0" applyFont="1" applyBorder="1"/>
    <xf numFmtId="0" fontId="10" fillId="0" borderId="25" xfId="0" applyFont="1" applyBorder="1"/>
    <xf numFmtId="0" fontId="3" fillId="0" borderId="22" xfId="0" applyFont="1" applyBorder="1"/>
    <xf numFmtId="0" fontId="3" fillId="12" borderId="10" xfId="0" applyFont="1" applyFill="1" applyBorder="1"/>
    <xf numFmtId="178" fontId="3" fillId="0" borderId="38" xfId="2" applyNumberFormat="1" applyFont="1" applyBorder="1"/>
    <xf numFmtId="44" fontId="3" fillId="0" borderId="26" xfId="2" applyFont="1" applyBorder="1"/>
    <xf numFmtId="44" fontId="3" fillId="0" borderId="36" xfId="2" applyFont="1" applyBorder="1"/>
    <xf numFmtId="166" fontId="3" fillId="2" borderId="0" xfId="0" applyNumberFormat="1" applyFont="1" applyFill="1"/>
    <xf numFmtId="179" fontId="3" fillId="2" borderId="0" xfId="0" applyNumberFormat="1" applyFont="1" applyFill="1"/>
    <xf numFmtId="0" fontId="3" fillId="0" borderId="8" xfId="0" applyFont="1" applyBorder="1"/>
    <xf numFmtId="0" fontId="4" fillId="14" borderId="10" xfId="0" applyFont="1" applyFill="1" applyBorder="1"/>
    <xf numFmtId="6" fontId="4" fillId="14" borderId="10" xfId="0" applyNumberFormat="1" applyFont="1" applyFill="1" applyBorder="1"/>
    <xf numFmtId="8" fontId="3" fillId="0" borderId="12" xfId="0" applyNumberFormat="1" applyFont="1" applyBorder="1"/>
    <xf numFmtId="0" fontId="3" fillId="0" borderId="9" xfId="0" applyFont="1" applyBorder="1"/>
    <xf numFmtId="3" fontId="3" fillId="0" borderId="11" xfId="0" applyNumberFormat="1" applyFont="1" applyFill="1" applyBorder="1"/>
    <xf numFmtId="6" fontId="4" fillId="14" borderId="11" xfId="0" applyNumberFormat="1" applyFont="1" applyFill="1" applyBorder="1"/>
    <xf numFmtId="0" fontId="4" fillId="14" borderId="11" xfId="0" applyFont="1" applyFill="1" applyBorder="1"/>
    <xf numFmtId="0" fontId="3" fillId="0" borderId="17" xfId="0" applyFont="1" applyBorder="1"/>
    <xf numFmtId="0" fontId="4" fillId="14" borderId="18" xfId="0" applyFont="1" applyFill="1" applyBorder="1"/>
    <xf numFmtId="6" fontId="4" fillId="14" borderId="18" xfId="0" applyNumberFormat="1" applyFont="1" applyFill="1" applyBorder="1"/>
    <xf numFmtId="0" fontId="3" fillId="0" borderId="18" xfId="0" applyFont="1" applyBorder="1"/>
    <xf numFmtId="8" fontId="3" fillId="0" borderId="19" xfId="0" applyNumberFormat="1" applyFont="1" applyBorder="1"/>
    <xf numFmtId="6" fontId="3" fillId="0" borderId="0" xfId="0" applyNumberFormat="1" applyFont="1"/>
    <xf numFmtId="8" fontId="3" fillId="0" borderId="16" xfId="0" applyNumberFormat="1" applyFont="1" applyBorder="1"/>
    <xf numFmtId="165" fontId="4" fillId="13" borderId="21" xfId="0" applyNumberFormat="1" applyFont="1" applyFill="1" applyBorder="1"/>
    <xf numFmtId="166" fontId="7" fillId="0" borderId="19" xfId="2" applyNumberFormat="1" applyFont="1" applyBorder="1"/>
    <xf numFmtId="166" fontId="7" fillId="0" borderId="39" xfId="2" applyNumberFormat="1" applyFont="1" applyBorder="1"/>
    <xf numFmtId="178" fontId="3" fillId="12" borderId="6" xfId="2" applyNumberFormat="1" applyFont="1" applyFill="1" applyBorder="1"/>
    <xf numFmtId="0" fontId="0" fillId="0" borderId="11" xfId="0" applyBorder="1"/>
    <xf numFmtId="37" fontId="0" fillId="0" borderId="11" xfId="1" applyNumberFormat="1" applyFont="1" applyBorder="1"/>
    <xf numFmtId="167" fontId="0" fillId="0" borderId="11" xfId="1" applyNumberFormat="1" applyFont="1" applyBorder="1"/>
    <xf numFmtId="0" fontId="0" fillId="4" borderId="0" xfId="0" applyFill="1" applyAlignment="1">
      <alignment horizontal="center" wrapText="1"/>
    </xf>
    <xf numFmtId="43" fontId="0" fillId="0" borderId="0" xfId="0" applyNumberFormat="1"/>
    <xf numFmtId="178" fontId="3" fillId="12" borderId="10" xfId="2" applyNumberFormat="1" applyFont="1" applyFill="1" applyBorder="1"/>
    <xf numFmtId="0" fontId="2" fillId="5" borderId="0" xfId="0" applyFont="1" applyFill="1"/>
    <xf numFmtId="44" fontId="0" fillId="0" borderId="0" xfId="0" applyNumberFormat="1" applyFill="1"/>
    <xf numFmtId="9" fontId="0" fillId="0" borderId="0" xfId="3" applyFont="1" applyFill="1"/>
    <xf numFmtId="0" fontId="0" fillId="0" borderId="0" xfId="0" applyFill="1" applyAlignment="1">
      <alignment horizontal="center" wrapText="1"/>
    </xf>
    <xf numFmtId="164" fontId="0" fillId="4" borderId="0" xfId="0" applyNumberFormat="1" applyFill="1" applyAlignment="1">
      <alignment horizontal="center"/>
    </xf>
    <xf numFmtId="0" fontId="2" fillId="0" borderId="0" xfId="0" applyFont="1" applyFill="1"/>
    <xf numFmtId="9" fontId="0" fillId="0" borderId="0" xfId="0" applyNumberFormat="1" applyFill="1"/>
    <xf numFmtId="44" fontId="2" fillId="0" borderId="0" xfId="0" applyNumberFormat="1" applyFont="1" applyFill="1"/>
    <xf numFmtId="0" fontId="2" fillId="7" borderId="0" xfId="0" applyFont="1" applyFill="1" applyAlignment="1">
      <alignment horizontal="center"/>
    </xf>
    <xf numFmtId="0" fontId="0" fillId="5" borderId="14" xfId="0" applyFill="1" applyBorder="1"/>
    <xf numFmtId="0" fontId="0" fillId="4" borderId="11" xfId="0" applyFill="1" applyBorder="1"/>
    <xf numFmtId="167" fontId="0" fillId="4" borderId="11" xfId="1" applyNumberFormat="1" applyFont="1" applyFill="1" applyBorder="1"/>
    <xf numFmtId="2" fontId="0" fillId="0" borderId="0" xfId="0" applyNumberFormat="1" applyAlignment="1">
      <alignment horizontal="right"/>
    </xf>
    <xf numFmtId="2" fontId="0" fillId="0" borderId="0" xfId="2" applyNumberFormat="1" applyFont="1" applyAlignment="1">
      <alignment horizontal="right"/>
    </xf>
    <xf numFmtId="44" fontId="0" fillId="0" borderId="11" xfId="2" applyFont="1" applyBorder="1"/>
    <xf numFmtId="44" fontId="0" fillId="0" borderId="11" xfId="0" applyNumberFormat="1" applyBorder="1"/>
    <xf numFmtId="164" fontId="0" fillId="0" borderId="0" xfId="0" applyNumberFormat="1" applyFill="1" applyAlignment="1">
      <alignment horizontal="center"/>
    </xf>
    <xf numFmtId="0" fontId="0" fillId="4" borderId="9" xfId="0" applyFill="1" applyBorder="1"/>
    <xf numFmtId="0" fontId="0" fillId="6" borderId="9" xfId="0" applyFill="1" applyBorder="1"/>
    <xf numFmtId="165" fontId="0" fillId="4" borderId="11" xfId="0" applyNumberFormat="1" applyFill="1" applyBorder="1"/>
    <xf numFmtId="165" fontId="0" fillId="6" borderId="11" xfId="0" applyNumberFormat="1" applyFill="1" applyBorder="1"/>
    <xf numFmtId="2" fontId="0" fillId="0" borderId="11" xfId="0" applyNumberFormat="1" applyBorder="1"/>
    <xf numFmtId="2" fontId="0" fillId="0" borderId="11" xfId="0" applyNumberFormat="1" applyBorder="1" applyAlignment="1">
      <alignment horizontal="right"/>
    </xf>
    <xf numFmtId="2" fontId="0" fillId="0" borderId="11" xfId="2" applyNumberFormat="1" applyFont="1" applyBorder="1" applyAlignment="1">
      <alignment horizontal="right"/>
    </xf>
    <xf numFmtId="179" fontId="0" fillId="0" borderId="0" xfId="0" applyNumberForma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89DB2-783B-4744-8087-B4E01E2C33B2}">
  <dimension ref="A1:M34"/>
  <sheetViews>
    <sheetView showGridLines="0" topLeftCell="A8" zoomScale="140" zoomScaleNormal="140" workbookViewId="0">
      <selection activeCell="G35" sqref="G35"/>
    </sheetView>
  </sheetViews>
  <sheetFormatPr baseColWidth="10" defaultRowHeight="16" x14ac:dyDescent="0.2"/>
  <cols>
    <col min="1" max="1" width="30.33203125" customWidth="1"/>
    <col min="2" max="2" width="26.6640625" bestFit="1" customWidth="1"/>
    <col min="3" max="4" width="22.1640625" customWidth="1"/>
    <col min="5" max="5" width="6.33203125" style="61" customWidth="1"/>
    <col min="6" max="6" width="8.5" style="61" bestFit="1" customWidth="1"/>
    <col min="7" max="7" width="16.6640625" bestFit="1" customWidth="1"/>
    <col min="8" max="8" width="18.33203125" bestFit="1" customWidth="1"/>
    <col min="9" max="9" width="18.33203125" customWidth="1"/>
    <col min="10" max="10" width="6" style="61" customWidth="1"/>
    <col min="11" max="11" width="14.5" bestFit="1" customWidth="1"/>
    <col min="12" max="12" width="13.33203125" bestFit="1" customWidth="1"/>
  </cols>
  <sheetData>
    <row r="1" spans="1:11" s="26" customFormat="1" x14ac:dyDescent="0.2">
      <c r="A1" s="26" t="s">
        <v>104</v>
      </c>
      <c r="E1" s="61"/>
      <c r="F1" s="61"/>
      <c r="J1" s="61"/>
    </row>
    <row r="2" spans="1:11" x14ac:dyDescent="0.2">
      <c r="D2" s="162" t="s">
        <v>133</v>
      </c>
      <c r="E2" s="168"/>
      <c r="F2" s="168"/>
      <c r="G2" s="165" t="s">
        <v>64</v>
      </c>
      <c r="H2" s="165" t="s">
        <v>136</v>
      </c>
      <c r="I2" s="165" t="s">
        <v>141</v>
      </c>
      <c r="J2" s="170"/>
    </row>
    <row r="3" spans="1:11" ht="17" thickBot="1" x14ac:dyDescent="0.25">
      <c r="C3" s="13"/>
      <c r="D3" s="162"/>
      <c r="E3" s="168"/>
      <c r="F3" s="168"/>
      <c r="G3" s="173" t="s">
        <v>62</v>
      </c>
      <c r="H3" s="173"/>
      <c r="I3" s="173"/>
      <c r="J3" s="171"/>
    </row>
    <row r="4" spans="1:11" ht="17" thickBot="1" x14ac:dyDescent="0.25">
      <c r="B4" s="174" t="s">
        <v>59</v>
      </c>
      <c r="C4" s="175" t="s">
        <v>54</v>
      </c>
      <c r="D4" s="176">
        <f>'Actual used CPU'!F6</f>
        <v>1426091915.3160923</v>
      </c>
      <c r="E4" s="62"/>
      <c r="F4" s="174" t="s">
        <v>59</v>
      </c>
      <c r="G4" s="179">
        <f>D4/12*'ON-PREM'!F19+'ON-PREM'!F30*5/12*(D4/12)/20000</f>
        <v>242982.69995964546</v>
      </c>
      <c r="H4" s="179">
        <f>D4/12*'AWS compute'!I15</f>
        <v>5773691.5738144582</v>
      </c>
      <c r="I4" s="180">
        <f>H4*0.36</f>
        <v>2078528.9665732048</v>
      </c>
      <c r="J4" s="166"/>
      <c r="K4" t="s">
        <v>75</v>
      </c>
    </row>
    <row r="5" spans="1:11" ht="17" thickBot="1" x14ac:dyDescent="0.25">
      <c r="B5" s="174" t="s">
        <v>58</v>
      </c>
      <c r="C5" s="175" t="s">
        <v>57</v>
      </c>
      <c r="D5" s="176">
        <f>'Actual used CPU'!F7</f>
        <v>10133724.425287358</v>
      </c>
      <c r="E5" s="62"/>
      <c r="F5" s="174" t="s">
        <v>58</v>
      </c>
      <c r="G5" s="179">
        <f>D5/12*'ON-PREM'!F19+'Cost comparison'!G32/12*500/1024*(D5/12)/20000</f>
        <v>1326.304978198187</v>
      </c>
      <c r="H5" s="179">
        <f>D5/12*'AWS web'!I17</f>
        <v>127182.1824301884</v>
      </c>
      <c r="I5" s="180">
        <f t="shared" ref="I5:I7" si="0">H5*0.36</f>
        <v>45785.585674867827</v>
      </c>
      <c r="J5" s="166"/>
      <c r="K5" t="s">
        <v>66</v>
      </c>
    </row>
    <row r="6" spans="1:11" ht="17" thickBot="1" x14ac:dyDescent="0.25">
      <c r="B6" s="174" t="s">
        <v>60</v>
      </c>
      <c r="C6" s="175" t="s">
        <v>56</v>
      </c>
      <c r="D6" s="176">
        <f>'Actual used CPU'!F8</f>
        <v>10416655.925925925</v>
      </c>
      <c r="E6" s="62"/>
      <c r="F6" s="174" t="s">
        <v>60</v>
      </c>
      <c r="G6" s="179">
        <f>D6/12*'ON-PREM'!F19+'ON-PREM'!F30/12*5*(D6/12)/20000</f>
        <v>1774.8275228606931</v>
      </c>
      <c r="H6" s="179">
        <f>D6/12*'AWS HM'!I15</f>
        <v>60752.97555131172</v>
      </c>
      <c r="I6" s="180">
        <f t="shared" si="0"/>
        <v>21871.071198472218</v>
      </c>
      <c r="J6" s="166"/>
      <c r="K6" t="s">
        <v>75</v>
      </c>
    </row>
    <row r="7" spans="1:11" ht="17" thickBot="1" x14ac:dyDescent="0.25">
      <c r="B7" s="174" t="s">
        <v>61</v>
      </c>
      <c r="C7" s="175" t="s">
        <v>55</v>
      </c>
      <c r="D7" s="176">
        <f>'Actual used CPU'!F9</f>
        <v>1618684.2031848659</v>
      </c>
      <c r="E7" s="62"/>
      <c r="F7" s="174" t="s">
        <v>61</v>
      </c>
      <c r="G7" s="179">
        <f>D7/12*'ON-PREM'!F19*(12)*(30/10.6)+'ON-PREM'!F30*5/12*D7/12/20000</f>
        <v>7258.9810799363804</v>
      </c>
      <c r="H7" s="179">
        <f>D7/12*'AWS GPU'!I15</f>
        <v>462943.68211087165</v>
      </c>
      <c r="I7" s="180">
        <f t="shared" si="0"/>
        <v>166659.72555991379</v>
      </c>
      <c r="J7" s="166"/>
      <c r="K7" t="s">
        <v>105</v>
      </c>
    </row>
    <row r="8" spans="1:11" x14ac:dyDescent="0.2">
      <c r="B8" s="17"/>
      <c r="G8" s="16">
        <f>SUM(G4:G7)</f>
        <v>253342.81354064072</v>
      </c>
      <c r="H8" s="16">
        <f>SUM(H4:H7)</f>
        <v>6424570.4139068294</v>
      </c>
      <c r="I8" s="16">
        <f>SUM(I4:I7)</f>
        <v>2312845.3490064591</v>
      </c>
      <c r="J8" s="172"/>
      <c r="K8" t="s">
        <v>70</v>
      </c>
    </row>
    <row r="9" spans="1:11" x14ac:dyDescent="0.2">
      <c r="B9" s="17"/>
    </row>
    <row r="10" spans="1:11" ht="17" thickBot="1" x14ac:dyDescent="0.25">
      <c r="A10" s="61"/>
      <c r="B10" s="18"/>
      <c r="G10" s="173" t="s">
        <v>63</v>
      </c>
      <c r="H10" s="173"/>
      <c r="I10" s="173"/>
      <c r="K10" s="15"/>
    </row>
    <row r="11" spans="1:11" ht="17" thickBot="1" x14ac:dyDescent="0.25">
      <c r="B11" s="17"/>
      <c r="D11" s="61"/>
      <c r="F11" s="174" t="s">
        <v>59</v>
      </c>
      <c r="G11" s="180">
        <f>G4*12</f>
        <v>2915792.3995157452</v>
      </c>
      <c r="H11" s="180">
        <f t="shared" ref="H11:I11" si="1">H4*12</f>
        <v>69284298.885773495</v>
      </c>
      <c r="I11" s="180">
        <f t="shared" si="1"/>
        <v>24942347.598878458</v>
      </c>
      <c r="J11" s="166"/>
    </row>
    <row r="12" spans="1:11" ht="17" thickBot="1" x14ac:dyDescent="0.25">
      <c r="C12" s="19" t="s">
        <v>70</v>
      </c>
      <c r="D12" s="19" t="s">
        <v>87</v>
      </c>
      <c r="F12" s="174" t="s">
        <v>58</v>
      </c>
      <c r="G12" s="180">
        <f t="shared" ref="G12:I14" si="2">G5*12</f>
        <v>15915.659738378243</v>
      </c>
      <c r="H12" s="180">
        <f t="shared" si="2"/>
        <v>1526186.1891622609</v>
      </c>
      <c r="I12" s="180">
        <f t="shared" si="2"/>
        <v>549427.02809841395</v>
      </c>
      <c r="J12" s="166"/>
    </row>
    <row r="13" spans="1:11" ht="17" thickBot="1" x14ac:dyDescent="0.25">
      <c r="B13" s="17" t="s">
        <v>86</v>
      </c>
      <c r="C13" s="14">
        <f>'ON-PREM'!H9</f>
        <v>308069.44444440695</v>
      </c>
      <c r="D13" s="15">
        <f>C13*12</f>
        <v>3696833.3333328832</v>
      </c>
      <c r="E13" s="166"/>
      <c r="F13" s="174" t="s">
        <v>60</v>
      </c>
      <c r="G13" s="180">
        <f t="shared" si="2"/>
        <v>21297.930274328319</v>
      </c>
      <c r="H13" s="180">
        <f t="shared" si="2"/>
        <v>729035.70661574067</v>
      </c>
      <c r="I13" s="180">
        <f t="shared" si="2"/>
        <v>262452.85438166664</v>
      </c>
      <c r="J13" s="166"/>
    </row>
    <row r="14" spans="1:11" ht="17" thickBot="1" x14ac:dyDescent="0.25">
      <c r="B14" s="17" t="s">
        <v>106</v>
      </c>
      <c r="C14" s="27">
        <f>G8</f>
        <v>253342.81354064072</v>
      </c>
      <c r="D14" s="28">
        <f t="shared" ref="D14" si="3">C14*12</f>
        <v>3040113.7624876886</v>
      </c>
      <c r="E14" s="166"/>
      <c r="F14" s="174" t="s">
        <v>61</v>
      </c>
      <c r="G14" s="180">
        <f t="shared" si="2"/>
        <v>87107.772959236565</v>
      </c>
      <c r="H14" s="180">
        <f t="shared" si="2"/>
        <v>5555324.1853304598</v>
      </c>
      <c r="I14" s="180">
        <f t="shared" si="2"/>
        <v>1999916.7067189654</v>
      </c>
      <c r="J14" s="166"/>
    </row>
    <row r="15" spans="1:11" x14ac:dyDescent="0.2">
      <c r="B15" s="17" t="s">
        <v>107</v>
      </c>
      <c r="C15" s="18">
        <f>C14/C13</f>
        <v>0.82235618659791498</v>
      </c>
      <c r="D15" s="18">
        <f>D14/D13</f>
        <v>0.82235618659791498</v>
      </c>
      <c r="E15" s="167"/>
      <c r="F15" s="167"/>
      <c r="G15" s="16">
        <f>SUM(G11:G14)</f>
        <v>3040113.7624876881</v>
      </c>
      <c r="H15" s="16">
        <f t="shared" ref="H15:I15" si="4">SUM(H11:H14)</f>
        <v>77094844.966881961</v>
      </c>
      <c r="I15" s="16">
        <f t="shared" si="4"/>
        <v>27754144.188077506</v>
      </c>
      <c r="J15" s="172"/>
      <c r="K15" t="s">
        <v>71</v>
      </c>
    </row>
    <row r="16" spans="1:11" ht="14" customHeight="1" x14ac:dyDescent="0.2">
      <c r="A16" s="62"/>
      <c r="B16" s="61"/>
    </row>
    <row r="17" spans="1:13" ht="17" thickBot="1" x14ac:dyDescent="0.25">
      <c r="A17" s="63"/>
      <c r="B17" s="64"/>
      <c r="G17" s="173" t="s">
        <v>67</v>
      </c>
      <c r="H17" s="173"/>
      <c r="I17" s="173"/>
    </row>
    <row r="18" spans="1:13" ht="17" thickBot="1" x14ac:dyDescent="0.25">
      <c r="A18" s="65"/>
      <c r="B18" s="66"/>
      <c r="F18" s="174" t="s">
        <v>59</v>
      </c>
      <c r="G18" s="180">
        <f>G11*5</f>
        <v>14578961.997578725</v>
      </c>
      <c r="H18" s="180">
        <f t="shared" ref="H18:I18" si="5">H11*5</f>
        <v>346421494.42886746</v>
      </c>
      <c r="I18" s="180">
        <f t="shared" si="5"/>
        <v>124711737.99439229</v>
      </c>
      <c r="J18" s="166"/>
    </row>
    <row r="19" spans="1:13" ht="17" thickBot="1" x14ac:dyDescent="0.25">
      <c r="F19" s="174" t="s">
        <v>58</v>
      </c>
      <c r="G19" s="180">
        <f t="shared" ref="G19:I21" si="6">G12*5</f>
        <v>79578.298691891221</v>
      </c>
      <c r="H19" s="180">
        <f t="shared" si="6"/>
        <v>7630930.9458113043</v>
      </c>
      <c r="I19" s="180">
        <f t="shared" si="6"/>
        <v>2747135.1404920695</v>
      </c>
      <c r="J19" s="166"/>
    </row>
    <row r="20" spans="1:13" ht="17" thickBot="1" x14ac:dyDescent="0.25">
      <c r="F20" s="174" t="s">
        <v>60</v>
      </c>
      <c r="G20" s="180">
        <f t="shared" si="6"/>
        <v>106489.65137164159</v>
      </c>
      <c r="H20" s="180">
        <f t="shared" si="6"/>
        <v>3645178.5330787031</v>
      </c>
      <c r="I20" s="180">
        <f t="shared" si="6"/>
        <v>1312264.2719083331</v>
      </c>
      <c r="J20" s="166"/>
    </row>
    <row r="21" spans="1:13" ht="17" thickBot="1" x14ac:dyDescent="0.25">
      <c r="A21" s="61"/>
      <c r="C21" s="61"/>
      <c r="D21" s="61"/>
      <c r="F21" s="174" t="s">
        <v>61</v>
      </c>
      <c r="G21" s="180">
        <f t="shared" si="6"/>
        <v>435538.86479618284</v>
      </c>
      <c r="H21" s="180">
        <f t="shared" si="6"/>
        <v>27776620.926652297</v>
      </c>
      <c r="I21" s="180">
        <f t="shared" si="6"/>
        <v>9999583.5335948281</v>
      </c>
      <c r="J21" s="166"/>
      <c r="K21" t="s">
        <v>67</v>
      </c>
    </row>
    <row r="22" spans="1:13" s="61" customFormat="1" x14ac:dyDescent="0.2">
      <c r="C22"/>
      <c r="D22"/>
      <c r="G22" s="16">
        <f>SUM(G18:G21)</f>
        <v>15200568.81243844</v>
      </c>
      <c r="H22" s="16">
        <f t="shared" ref="H22" si="7">SUM(H18:H21)</f>
        <v>385474224.83440983</v>
      </c>
      <c r="I22" s="16">
        <f t="shared" ref="I22" si="8">SUM(I18:I21)</f>
        <v>138770720.94038752</v>
      </c>
      <c r="J22" s="172"/>
      <c r="L22"/>
      <c r="M22"/>
    </row>
    <row r="23" spans="1:13" s="61" customFormat="1" ht="17" thickBot="1" x14ac:dyDescent="0.25">
      <c r="B23" s="19" t="s">
        <v>136</v>
      </c>
      <c r="C23" s="19" t="s">
        <v>137</v>
      </c>
      <c r="D23" s="19" t="s">
        <v>140</v>
      </c>
      <c r="E23" s="19"/>
      <c r="L23"/>
      <c r="M23"/>
    </row>
    <row r="24" spans="1:13" ht="17" thickBot="1" x14ac:dyDescent="0.25">
      <c r="A24" s="182" t="s">
        <v>138</v>
      </c>
      <c r="B24" s="184">
        <f>('ON-PREM'!F16+'ON-PREM'!F29)/SUM('Cost comparison'!D4:D6)</f>
        <v>2.5554577965851695E-3</v>
      </c>
      <c r="C24" s="13"/>
      <c r="D24" s="169"/>
      <c r="E24" s="169"/>
      <c r="G24" s="61"/>
      <c r="H24" s="61"/>
      <c r="I24" s="61"/>
    </row>
    <row r="25" spans="1:13" ht="17" thickBot="1" x14ac:dyDescent="0.25">
      <c r="A25" s="182" t="s">
        <v>139</v>
      </c>
      <c r="B25" s="184">
        <f>B24/C15</f>
        <v>3.1074829109720577E-3</v>
      </c>
      <c r="C25" s="13"/>
      <c r="D25" s="169"/>
      <c r="E25" s="169"/>
    </row>
    <row r="26" spans="1:13" ht="17" thickBot="1" x14ac:dyDescent="0.25">
      <c r="A26" s="183" t="s">
        <v>83</v>
      </c>
      <c r="B26" s="185">
        <f>'AWS web'!C19</f>
        <v>0.15060466666666666</v>
      </c>
      <c r="C26" s="186">
        <f>B26*0.36</f>
        <v>5.4217679999999997E-2</v>
      </c>
      <c r="D26" s="187">
        <f>C26/B25</f>
        <v>17.447458780405668</v>
      </c>
      <c r="E26" s="187"/>
    </row>
    <row r="27" spans="1:13" ht="17" thickBot="1" x14ac:dyDescent="0.25">
      <c r="A27" s="183" t="s">
        <v>84</v>
      </c>
      <c r="B27" s="185">
        <f>'AWS compute'!C17</f>
        <v>4.8583333333333339E-2</v>
      </c>
      <c r="C27" s="186">
        <f t="shared" ref="C27:C29" si="9">B27*0.36</f>
        <v>1.7490000000000002E-2</v>
      </c>
      <c r="D27" s="187">
        <f>C27/B25</f>
        <v>5.6283495359686215</v>
      </c>
      <c r="E27" s="187"/>
    </row>
    <row r="28" spans="1:13" ht="17" thickBot="1" x14ac:dyDescent="0.25">
      <c r="A28" s="183" t="s">
        <v>85</v>
      </c>
      <c r="B28" s="185">
        <f>'AWS HM'!C17</f>
        <v>6.9987499999999994E-2</v>
      </c>
      <c r="C28" s="186">
        <f t="shared" si="9"/>
        <v>2.5195499999999996E-2</v>
      </c>
      <c r="D28" s="187">
        <f>C28/B25</f>
        <v>8.1080091900227185</v>
      </c>
      <c r="E28" s="187"/>
    </row>
    <row r="29" spans="1:13" ht="17" thickBot="1" x14ac:dyDescent="0.25">
      <c r="A29" s="183" t="s">
        <v>118</v>
      </c>
      <c r="B29" s="185">
        <f>'AWS GPU'!C17</f>
        <v>3.4319999999999999</v>
      </c>
      <c r="C29" s="186">
        <f t="shared" si="9"/>
        <v>1.23552</v>
      </c>
      <c r="D29" s="188">
        <f>C29/(B25)*(30/10.6)</f>
        <v>1125.2691703097107</v>
      </c>
      <c r="E29" s="188"/>
      <c r="F29" s="181"/>
    </row>
    <row r="30" spans="1:13" x14ac:dyDescent="0.2">
      <c r="F30" s="181"/>
    </row>
    <row r="31" spans="1:13" x14ac:dyDescent="0.2">
      <c r="F31" s="177"/>
    </row>
    <row r="32" spans="1:13" x14ac:dyDescent="0.2">
      <c r="F32" s="177"/>
    </row>
    <row r="33" spans="6:6" x14ac:dyDescent="0.2">
      <c r="F33" s="177"/>
    </row>
    <row r="34" spans="6:6" x14ac:dyDescent="0.2">
      <c r="F34" s="178"/>
    </row>
  </sheetData>
  <mergeCells count="10">
    <mergeCell ref="G17:I17"/>
    <mergeCell ref="G10:I10"/>
    <mergeCell ref="G3:I3"/>
    <mergeCell ref="D29:E29"/>
    <mergeCell ref="D2:D3"/>
    <mergeCell ref="D24:E24"/>
    <mergeCell ref="D25:E25"/>
    <mergeCell ref="D26:E26"/>
    <mergeCell ref="D27:E27"/>
    <mergeCell ref="D28:E2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F1AD1-37B5-854B-8588-9C28ACDE4F4F}">
  <dimension ref="B1:N40"/>
  <sheetViews>
    <sheetView showGridLines="0" workbookViewId="0">
      <selection activeCell="F30" sqref="F30"/>
    </sheetView>
  </sheetViews>
  <sheetFormatPr baseColWidth="10" defaultRowHeight="19" x14ac:dyDescent="0.25"/>
  <cols>
    <col min="1" max="1" width="10.83203125" style="1"/>
    <col min="2" max="2" width="67.5" style="1" customWidth="1"/>
    <col min="3" max="3" width="7.1640625" style="1" customWidth="1"/>
    <col min="4" max="4" width="16.6640625" style="1" bestFit="1" customWidth="1"/>
    <col min="5" max="5" width="17.5" style="1" customWidth="1"/>
    <col min="6" max="6" width="21.83203125" style="1" customWidth="1"/>
    <col min="7" max="7" width="27.1640625" style="1" bestFit="1" customWidth="1"/>
    <col min="8" max="8" width="15.1640625" style="1" bestFit="1" customWidth="1"/>
    <col min="9" max="9" width="18.33203125" style="1" bestFit="1" customWidth="1"/>
    <col min="10" max="10" width="10.83203125" style="1"/>
    <col min="11" max="11" width="17.6640625" style="1" bestFit="1" customWidth="1"/>
    <col min="12" max="16384" width="10.83203125" style="1"/>
  </cols>
  <sheetData>
    <row r="1" spans="2:14" x14ac:dyDescent="0.25">
      <c r="B1" s="60" t="s">
        <v>99</v>
      </c>
    </row>
    <row r="2" spans="2:14" x14ac:dyDescent="0.25">
      <c r="B2" s="20" t="s">
        <v>17</v>
      </c>
      <c r="C2" s="20"/>
      <c r="D2" s="20"/>
      <c r="E2" s="20"/>
      <c r="F2" s="20"/>
    </row>
    <row r="3" spans="2:14" x14ac:dyDescent="0.25">
      <c r="B3" s="2" t="s">
        <v>20</v>
      </c>
      <c r="C3" s="2"/>
      <c r="D3" s="2"/>
      <c r="E3" s="2"/>
      <c r="F3" s="2"/>
    </row>
    <row r="4" spans="2:14" x14ac:dyDescent="0.25">
      <c r="B4" s="2" t="s">
        <v>91</v>
      </c>
      <c r="C4" s="2"/>
      <c r="D4" s="2"/>
      <c r="E4" s="2"/>
      <c r="F4" s="2"/>
      <c r="G4" s="1">
        <f>3300000/326</f>
        <v>10122.699386503067</v>
      </c>
    </row>
    <row r="5" spans="2:14" ht="37" customHeight="1" thickBot="1" x14ac:dyDescent="0.3">
      <c r="B5" s="33" t="s">
        <v>0</v>
      </c>
      <c r="C5" s="34"/>
      <c r="D5" s="33" t="s">
        <v>1</v>
      </c>
      <c r="E5" s="35" t="s">
        <v>2</v>
      </c>
      <c r="F5" s="33" t="s">
        <v>95</v>
      </c>
      <c r="J5" s="3"/>
      <c r="K5" s="3"/>
      <c r="L5" s="3"/>
      <c r="M5" s="3"/>
      <c r="N5" s="3"/>
    </row>
    <row r="6" spans="2:14" x14ac:dyDescent="0.25">
      <c r="B6" s="29">
        <v>1000</v>
      </c>
      <c r="C6" s="30"/>
      <c r="D6" s="29">
        <v>5</v>
      </c>
      <c r="E6" s="31">
        <v>256</v>
      </c>
      <c r="F6" s="32">
        <v>5800000</v>
      </c>
    </row>
    <row r="8" spans="2:14" ht="20" thickBot="1" x14ac:dyDescent="0.3">
      <c r="B8" s="36" t="s">
        <v>3</v>
      </c>
      <c r="C8" s="36" t="s">
        <v>4</v>
      </c>
      <c r="D8" s="36" t="s">
        <v>5</v>
      </c>
      <c r="E8" s="37" t="s">
        <v>6</v>
      </c>
      <c r="F8" s="36" t="s">
        <v>7</v>
      </c>
    </row>
    <row r="9" spans="2:14" ht="21" thickTop="1" thickBot="1" x14ac:dyDescent="0.3">
      <c r="B9" s="140" t="s">
        <v>128</v>
      </c>
      <c r="C9" s="141">
        <f>4+11/12</f>
        <v>4.916666666666667</v>
      </c>
      <c r="D9" s="142">
        <v>135000</v>
      </c>
      <c r="E9" s="38">
        <v>1</v>
      </c>
      <c r="F9" s="143">
        <f>C9*D9/E9</f>
        <v>663750</v>
      </c>
      <c r="H9" s="10">
        <f>G22/12</f>
        <v>308069.44444440695</v>
      </c>
      <c r="I9" s="6" t="s">
        <v>74</v>
      </c>
    </row>
    <row r="10" spans="2:14" ht="20" thickBot="1" x14ac:dyDescent="0.3">
      <c r="B10" s="144" t="s">
        <v>98</v>
      </c>
      <c r="C10" s="145">
        <f>B6</f>
        <v>1000</v>
      </c>
      <c r="D10" s="146">
        <v>10600</v>
      </c>
      <c r="E10" s="39">
        <v>5</v>
      </c>
      <c r="F10" s="95">
        <f t="shared" ref="F10:F15" si="0">C10*D10/E10</f>
        <v>2120000</v>
      </c>
      <c r="H10" s="4">
        <f>((F17*1000)+F29)/12</f>
        <v>308069.44444440695</v>
      </c>
    </row>
    <row r="11" spans="2:14" ht="20" thickBot="1" x14ac:dyDescent="0.3">
      <c r="B11" s="144" t="s">
        <v>97</v>
      </c>
      <c r="C11" s="147">
        <v>2.5</v>
      </c>
      <c r="D11" s="146">
        <v>140000</v>
      </c>
      <c r="E11" s="39">
        <v>1</v>
      </c>
      <c r="F11" s="95">
        <f t="shared" si="0"/>
        <v>350000</v>
      </c>
    </row>
    <row r="12" spans="2:14" ht="20" thickBot="1" x14ac:dyDescent="0.3">
      <c r="B12" s="144" t="s">
        <v>8</v>
      </c>
      <c r="C12" s="147">
        <v>1</v>
      </c>
      <c r="D12" s="146">
        <v>300000</v>
      </c>
      <c r="E12" s="39">
        <v>5</v>
      </c>
      <c r="F12" s="95">
        <f t="shared" si="0"/>
        <v>60000</v>
      </c>
    </row>
    <row r="13" spans="2:14" ht="20" thickBot="1" x14ac:dyDescent="0.3">
      <c r="B13" s="144" t="s">
        <v>90</v>
      </c>
      <c r="C13" s="147">
        <v>1</v>
      </c>
      <c r="D13" s="146">
        <v>135000</v>
      </c>
      <c r="E13" s="39">
        <v>1</v>
      </c>
      <c r="F13" s="95">
        <f t="shared" si="0"/>
        <v>135000</v>
      </c>
    </row>
    <row r="14" spans="2:14" ht="20" thickBot="1" x14ac:dyDescent="0.3">
      <c r="B14" s="144" t="s">
        <v>92</v>
      </c>
      <c r="C14" s="147">
        <v>0</v>
      </c>
      <c r="D14" s="146">
        <v>75</v>
      </c>
      <c r="E14" s="39">
        <v>1</v>
      </c>
      <c r="F14" s="95">
        <f t="shared" si="0"/>
        <v>0</v>
      </c>
    </row>
    <row r="15" spans="2:14" ht="20" thickBot="1" x14ac:dyDescent="0.3">
      <c r="B15" s="148" t="s">
        <v>9</v>
      </c>
      <c r="C15" s="149">
        <v>1</v>
      </c>
      <c r="D15" s="150">
        <f>F6</f>
        <v>5800000</v>
      </c>
      <c r="E15" s="151">
        <v>30</v>
      </c>
      <c r="F15" s="152">
        <f t="shared" si="0"/>
        <v>193333.33333333334</v>
      </c>
    </row>
    <row r="16" spans="2:14" ht="21" thickTop="1" thickBot="1" x14ac:dyDescent="0.3">
      <c r="D16" s="153"/>
      <c r="E16" s="42" t="s">
        <v>82</v>
      </c>
      <c r="F16" s="154">
        <f>SUM(F9:F15)</f>
        <v>3522083.3333333335</v>
      </c>
    </row>
    <row r="17" spans="2:9" ht="20" thickBot="1" x14ac:dyDescent="0.3">
      <c r="E17" s="43" t="s">
        <v>10</v>
      </c>
      <c r="F17" s="95">
        <f>SUM(F9:F15)/B6</f>
        <v>3522.0833333333335</v>
      </c>
      <c r="H17" s="4"/>
    </row>
    <row r="18" spans="2:9" ht="20" thickBot="1" x14ac:dyDescent="0.3">
      <c r="E18" s="43" t="s">
        <v>18</v>
      </c>
      <c r="F18" s="95">
        <f>F17/E6</f>
        <v>13.758138020833334</v>
      </c>
    </row>
    <row r="19" spans="2:9" ht="20" thickBot="1" x14ac:dyDescent="0.3">
      <c r="E19" s="43" t="s">
        <v>19</v>
      </c>
      <c r="F19" s="155">
        <f>F18/365/24</f>
        <v>1.5705637010083714E-3</v>
      </c>
      <c r="H19" s="4"/>
    </row>
    <row r="20" spans="2:9" ht="20" thickTop="1" x14ac:dyDescent="0.25">
      <c r="F20" s="4"/>
      <c r="H20" s="5"/>
    </row>
    <row r="22" spans="2:9" x14ac:dyDescent="0.25">
      <c r="G22" s="23">
        <f>F16+F29</f>
        <v>3696833.3333328837</v>
      </c>
      <c r="H22" s="24" t="s">
        <v>81</v>
      </c>
      <c r="I22" s="25"/>
    </row>
    <row r="23" spans="2:9" x14ac:dyDescent="0.25">
      <c r="B23" s="22" t="s">
        <v>11</v>
      </c>
      <c r="C23" s="20"/>
      <c r="D23" s="20"/>
      <c r="E23" s="20"/>
      <c r="F23" s="20"/>
      <c r="G23" s="10">
        <f>G22/12</f>
        <v>308069.44444440695</v>
      </c>
      <c r="H23" s="6" t="s">
        <v>74</v>
      </c>
    </row>
    <row r="25" spans="2:9" ht="20" thickBot="1" x14ac:dyDescent="0.3">
      <c r="B25" s="36" t="s">
        <v>3</v>
      </c>
      <c r="C25" s="36" t="s">
        <v>4</v>
      </c>
      <c r="D25" s="36" t="s">
        <v>5</v>
      </c>
      <c r="E25" s="37" t="s">
        <v>6</v>
      </c>
      <c r="F25" s="36" t="s">
        <v>7</v>
      </c>
    </row>
    <row r="26" spans="2:9" ht="21" thickTop="1" thickBot="1" x14ac:dyDescent="0.3">
      <c r="B26" s="45" t="s">
        <v>12</v>
      </c>
      <c r="C26" s="46">
        <v>1</v>
      </c>
      <c r="D26" s="47">
        <v>750000</v>
      </c>
      <c r="E26" s="48">
        <v>5</v>
      </c>
      <c r="F26" s="55">
        <f>C26*D26/E26</f>
        <v>150000</v>
      </c>
    </row>
    <row r="27" spans="2:9" ht="20" thickBot="1" x14ac:dyDescent="0.3">
      <c r="B27" s="49" t="s">
        <v>13</v>
      </c>
      <c r="C27" s="50">
        <v>0.5</v>
      </c>
      <c r="D27" s="51">
        <v>135000</v>
      </c>
      <c r="E27" s="40">
        <v>5</v>
      </c>
      <c r="F27" s="56">
        <f t="shared" ref="F27:F28" si="1">C27*D27/E27</f>
        <v>13500</v>
      </c>
      <c r="H27" s="1" t="s">
        <v>103</v>
      </c>
    </row>
    <row r="28" spans="2:9" ht="20" thickBot="1" x14ac:dyDescent="0.3">
      <c r="B28" s="52" t="s">
        <v>14</v>
      </c>
      <c r="C28" s="53">
        <v>8.3333333329999995E-2</v>
      </c>
      <c r="D28" s="54">
        <v>135000</v>
      </c>
      <c r="E28" s="41">
        <v>1</v>
      </c>
      <c r="F28" s="57">
        <f t="shared" si="1"/>
        <v>11249.99999955</v>
      </c>
    </row>
    <row r="29" spans="2:9" ht="21" thickTop="1" thickBot="1" x14ac:dyDescent="0.3">
      <c r="E29" s="8" t="s">
        <v>15</v>
      </c>
      <c r="F29" s="56">
        <f>SUM(F26:F28)</f>
        <v>174749.99999955</v>
      </c>
      <c r="G29" s="6"/>
    </row>
    <row r="30" spans="2:9" ht="20" thickBot="1" x14ac:dyDescent="0.3">
      <c r="E30" s="44" t="s">
        <v>96</v>
      </c>
      <c r="F30" s="58">
        <f>F29/7.5/1024</f>
        <v>22.753906249941405</v>
      </c>
      <c r="G30" s="4"/>
    </row>
    <row r="31" spans="2:9" ht="20" thickBot="1" x14ac:dyDescent="0.3">
      <c r="E31" s="44" t="s">
        <v>16</v>
      </c>
      <c r="F31" s="59">
        <f>F29/7.5/1024*5</f>
        <v>113.76953124970703</v>
      </c>
    </row>
    <row r="32" spans="2:9" ht="20" thickTop="1" x14ac:dyDescent="0.25"/>
    <row r="33" spans="2:8" x14ac:dyDescent="0.25">
      <c r="B33" s="7" t="s">
        <v>102</v>
      </c>
      <c r="C33" s="7"/>
      <c r="D33" s="7"/>
      <c r="E33" s="7"/>
      <c r="F33" s="7"/>
      <c r="G33" s="7"/>
      <c r="H33" s="7"/>
    </row>
    <row r="34" spans="2:8" x14ac:dyDescent="0.25">
      <c r="B34" s="9" t="s">
        <v>100</v>
      </c>
      <c r="C34" s="9"/>
      <c r="D34" s="9"/>
      <c r="E34" s="7"/>
      <c r="F34" s="7"/>
      <c r="G34" s="7"/>
      <c r="H34" s="7"/>
    </row>
    <row r="35" spans="2:8" x14ac:dyDescent="0.25">
      <c r="B35" s="9" t="s">
        <v>25</v>
      </c>
      <c r="C35" s="9"/>
      <c r="D35" s="9"/>
      <c r="E35" s="7"/>
      <c r="F35" s="7"/>
      <c r="G35" s="7"/>
      <c r="H35" s="7"/>
    </row>
    <row r="36" spans="2:8" x14ac:dyDescent="0.25">
      <c r="B36" s="9" t="s">
        <v>101</v>
      </c>
      <c r="C36" s="9"/>
      <c r="D36" s="9"/>
      <c r="E36" s="7"/>
      <c r="F36" s="7"/>
      <c r="G36" s="7"/>
      <c r="H36" s="7"/>
    </row>
    <row r="37" spans="2:8" x14ac:dyDescent="0.25">
      <c r="B37" s="9" t="s">
        <v>94</v>
      </c>
      <c r="C37" s="9"/>
      <c r="D37" s="9"/>
      <c r="E37" s="7"/>
      <c r="F37" s="7"/>
      <c r="G37" s="7"/>
      <c r="H37" s="7"/>
    </row>
    <row r="38" spans="2:8" x14ac:dyDescent="0.25">
      <c r="B38" s="9" t="s">
        <v>24</v>
      </c>
      <c r="C38" s="9"/>
      <c r="D38" s="9"/>
      <c r="E38" s="7"/>
      <c r="F38" s="7"/>
      <c r="G38" s="7"/>
      <c r="H38" s="7"/>
    </row>
    <row r="39" spans="2:8" x14ac:dyDescent="0.25">
      <c r="B39" s="9" t="s">
        <v>88</v>
      </c>
      <c r="C39" s="7"/>
      <c r="D39" s="7"/>
      <c r="E39" s="7"/>
      <c r="F39" s="7"/>
      <c r="G39" s="7"/>
      <c r="H39" s="7"/>
    </row>
    <row r="40" spans="2:8" x14ac:dyDescent="0.25">
      <c r="B40" s="7" t="s">
        <v>93</v>
      </c>
      <c r="C40" s="7"/>
      <c r="D40" s="7"/>
      <c r="E40" s="7"/>
      <c r="F40" s="7"/>
      <c r="G40" s="7"/>
      <c r="H40"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B9A3B-E2FD-B648-83E9-4F97D42A715D}">
  <dimension ref="A2:F19"/>
  <sheetViews>
    <sheetView showGridLines="0" workbookViewId="0">
      <selection activeCell="E9" sqref="E9"/>
    </sheetView>
  </sheetViews>
  <sheetFormatPr baseColWidth="10" defaultRowHeight="16" x14ac:dyDescent="0.2"/>
  <cols>
    <col min="3" max="4" width="13" bestFit="1" customWidth="1"/>
    <col min="5" max="5" width="18.6640625" bestFit="1" customWidth="1"/>
    <col min="6" max="6" width="16.6640625" bestFit="1" customWidth="1"/>
  </cols>
  <sheetData>
    <row r="2" spans="1:6" x14ac:dyDescent="0.2">
      <c r="C2" t="s">
        <v>116</v>
      </c>
    </row>
    <row r="4" spans="1:6" x14ac:dyDescent="0.2">
      <c r="C4" s="69" t="s">
        <v>131</v>
      </c>
      <c r="D4" s="69" t="s">
        <v>109</v>
      </c>
      <c r="E4" s="69" t="s">
        <v>110</v>
      </c>
      <c r="F4" s="69" t="s">
        <v>117</v>
      </c>
    </row>
    <row r="5" spans="1:6" ht="17" thickBot="1" x14ac:dyDescent="0.25">
      <c r="B5" t="s">
        <v>132</v>
      </c>
      <c r="C5" s="70" t="s">
        <v>111</v>
      </c>
      <c r="D5" s="70" t="s">
        <v>111</v>
      </c>
      <c r="E5" s="70" t="s">
        <v>123</v>
      </c>
      <c r="F5" s="70" t="s">
        <v>123</v>
      </c>
    </row>
    <row r="6" spans="1:6" ht="17" thickBot="1" x14ac:dyDescent="0.25">
      <c r="A6" t="s">
        <v>112</v>
      </c>
      <c r="B6" s="159">
        <v>190</v>
      </c>
      <c r="C6" s="160">
        <f>49627998653/60/60</f>
        <v>13785555.181388889</v>
      </c>
      <c r="D6" s="161">
        <f>190*32*(31*2+30*2)*24</f>
        <v>17802240</v>
      </c>
      <c r="E6" s="161">
        <f>C6*(12/4)*(1000/232)*(128/32)</f>
        <v>713045957.65804613</v>
      </c>
      <c r="F6" s="161">
        <f>E6*2</f>
        <v>1426091915.3160923</v>
      </c>
    </row>
    <row r="7" spans="1:6" ht="17" thickBot="1" x14ac:dyDescent="0.25">
      <c r="A7" t="s">
        <v>113</v>
      </c>
      <c r="B7" s="159"/>
      <c r="C7" s="160">
        <f>352653610/60/60</f>
        <v>97959.336111111115</v>
      </c>
      <c r="D7" s="159"/>
      <c r="E7" s="161">
        <f t="shared" ref="E7:E9" si="0">C7*(12/4)*(1000/232)*(128/32)</f>
        <v>5066862.2126436792</v>
      </c>
      <c r="F7" s="161">
        <f t="shared" ref="F7:F9" si="1">E7*2</f>
        <v>10133724.425287358</v>
      </c>
    </row>
    <row r="8" spans="1:6" ht="17" thickBot="1" x14ac:dyDescent="0.25">
      <c r="A8" t="s">
        <v>114</v>
      </c>
      <c r="B8" s="159">
        <v>2</v>
      </c>
      <c r="C8" s="160">
        <f>815624159/60/60</f>
        <v>226562.26638888888</v>
      </c>
      <c r="D8" s="161">
        <f>2*72*(31*2+30*2)*24</f>
        <v>421632</v>
      </c>
      <c r="E8" s="161">
        <f>C8*(12/4)*(1000/232)*(128/72)</f>
        <v>5208327.9629629627</v>
      </c>
      <c r="F8" s="161">
        <f t="shared" si="1"/>
        <v>10416655.925925925</v>
      </c>
    </row>
    <row r="9" spans="1:6" ht="17" thickBot="1" x14ac:dyDescent="0.25">
      <c r="A9" t="s">
        <v>115</v>
      </c>
      <c r="B9" s="159">
        <v>40</v>
      </c>
      <c r="C9" s="160">
        <f>5407700186/60/60</f>
        <v>1502138.9405555555</v>
      </c>
      <c r="D9" s="161">
        <f>40*24*(31*2+30*2)*24</f>
        <v>2810880</v>
      </c>
      <c r="E9" s="161">
        <f>C9*(12/4)*(1000/232)*(2/24)</f>
        <v>1618684.2031848659</v>
      </c>
      <c r="F9" s="161">
        <f>E9</f>
        <v>1618684.2031848659</v>
      </c>
    </row>
    <row r="11" spans="1:6" x14ac:dyDescent="0.2">
      <c r="E11" t="s">
        <v>135</v>
      </c>
    </row>
    <row r="16" spans="1:6" x14ac:dyDescent="0.2">
      <c r="C16" s="68"/>
    </row>
    <row r="17" spans="3:5" x14ac:dyDescent="0.2">
      <c r="C17" s="68"/>
    </row>
    <row r="18" spans="3:5" x14ac:dyDescent="0.2">
      <c r="C18" s="68"/>
      <c r="E18" t="s">
        <v>134</v>
      </c>
    </row>
    <row r="19" spans="3:5" x14ac:dyDescent="0.2">
      <c r="C19" s="68"/>
      <c r="E19" s="163">
        <f>F9/24</f>
        <v>67445.175132702745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200EF-359F-9C42-94B2-CF6A00F93561}">
  <dimension ref="B3:K28"/>
  <sheetViews>
    <sheetView showGridLines="0" workbookViewId="0">
      <selection activeCell="B19" sqref="B1:I19"/>
    </sheetView>
  </sheetViews>
  <sheetFormatPr baseColWidth="10" defaultRowHeight="19" x14ac:dyDescent="0.25"/>
  <cols>
    <col min="1" max="1" width="10.83203125" style="1"/>
    <col min="2" max="2" width="77.5" style="1" customWidth="1"/>
    <col min="3" max="3" width="12.6640625" style="1" customWidth="1"/>
    <col min="4" max="4" width="11.83203125" style="1" customWidth="1"/>
    <col min="5" max="5" width="11.1640625" style="1" customWidth="1"/>
    <col min="6" max="6" width="7.83203125" style="1" customWidth="1"/>
    <col min="7" max="7" width="8" style="1" bestFit="1" customWidth="1"/>
    <col min="8" max="8" width="21.1640625" style="1" bestFit="1" customWidth="1"/>
    <col min="9" max="9" width="12.1640625" style="1" customWidth="1"/>
    <col min="10" max="16384" width="10.83203125" style="1"/>
  </cols>
  <sheetData>
    <row r="3" spans="2:11" x14ac:dyDescent="0.25">
      <c r="B3" s="1" t="s">
        <v>41</v>
      </c>
      <c r="C3" s="1">
        <f>30*24</f>
        <v>720</v>
      </c>
      <c r="D3" s="1" t="s">
        <v>65</v>
      </c>
    </row>
    <row r="5" spans="2:11" ht="37" customHeight="1" thickBot="1" x14ac:dyDescent="0.3">
      <c r="B5" s="78" t="s">
        <v>3</v>
      </c>
      <c r="C5" s="79" t="s">
        <v>119</v>
      </c>
      <c r="D5" s="79" t="s">
        <v>45</v>
      </c>
      <c r="E5" s="79" t="s">
        <v>21</v>
      </c>
      <c r="F5" s="79" t="s">
        <v>22</v>
      </c>
      <c r="G5" s="79" t="s">
        <v>35</v>
      </c>
      <c r="H5" s="79" t="s">
        <v>40</v>
      </c>
      <c r="I5" s="94" t="s">
        <v>120</v>
      </c>
    </row>
    <row r="6" spans="2:11" ht="21" thickTop="1" thickBot="1" x14ac:dyDescent="0.3">
      <c r="B6" s="82" t="s">
        <v>36</v>
      </c>
      <c r="C6" s="115">
        <v>0.5</v>
      </c>
      <c r="D6" s="77">
        <f>C6*C3</f>
        <v>360</v>
      </c>
      <c r="E6" s="116">
        <v>4.7000000000000002E-3</v>
      </c>
      <c r="F6" s="83">
        <v>2</v>
      </c>
      <c r="G6" s="77" t="s">
        <v>32</v>
      </c>
      <c r="H6" s="77">
        <f>E6/F6</f>
        <v>2.3500000000000001E-3</v>
      </c>
      <c r="I6" s="103">
        <f>E6*D6</f>
        <v>1.6920000000000002</v>
      </c>
    </row>
    <row r="7" spans="2:11" ht="20" thickBot="1" x14ac:dyDescent="0.3">
      <c r="B7" s="73" t="s">
        <v>37</v>
      </c>
      <c r="C7" s="117">
        <v>0.3</v>
      </c>
      <c r="D7" s="39">
        <f>C7*C3</f>
        <v>216</v>
      </c>
      <c r="E7" s="81">
        <v>9.4000000000000004E-3</v>
      </c>
      <c r="F7" s="84">
        <v>2</v>
      </c>
      <c r="G7" s="39" t="s">
        <v>33</v>
      </c>
      <c r="H7" s="39">
        <f t="shared" ref="H7:H8" si="0">E7/F7</f>
        <v>4.7000000000000002E-3</v>
      </c>
      <c r="I7" s="104">
        <f t="shared" ref="I7:I8" si="1">E7*D7</f>
        <v>2.0304000000000002</v>
      </c>
    </row>
    <row r="8" spans="2:11" ht="20" thickBot="1" x14ac:dyDescent="0.3">
      <c r="B8" s="73" t="s">
        <v>38</v>
      </c>
      <c r="C8" s="117">
        <v>0.2</v>
      </c>
      <c r="D8" s="39">
        <f>C8*C3</f>
        <v>144</v>
      </c>
      <c r="E8" s="81">
        <v>1.8800000000000001E-2</v>
      </c>
      <c r="F8" s="84">
        <v>2</v>
      </c>
      <c r="G8" s="39" t="s">
        <v>34</v>
      </c>
      <c r="H8" s="39">
        <f t="shared" si="0"/>
        <v>9.4000000000000004E-3</v>
      </c>
      <c r="I8" s="104">
        <f t="shared" si="1"/>
        <v>2.7072000000000003</v>
      </c>
    </row>
    <row r="9" spans="2:11" ht="20" thickBot="1" x14ac:dyDescent="0.3">
      <c r="B9" s="73" t="s">
        <v>77</v>
      </c>
      <c r="C9" s="118">
        <v>500</v>
      </c>
      <c r="D9" s="39"/>
      <c r="E9" s="81">
        <v>0.02</v>
      </c>
      <c r="F9" s="39"/>
      <c r="G9" s="39"/>
      <c r="H9" s="71"/>
      <c r="I9" s="100">
        <f>E9*C9</f>
        <v>10</v>
      </c>
    </row>
    <row r="10" spans="2:11" ht="20" thickBot="1" x14ac:dyDescent="0.3">
      <c r="B10" s="73" t="s">
        <v>78</v>
      </c>
      <c r="C10" s="117">
        <v>500</v>
      </c>
      <c r="D10" s="39"/>
      <c r="E10" s="81">
        <v>0.01</v>
      </c>
      <c r="F10" s="39"/>
      <c r="G10" s="39"/>
      <c r="H10" s="39"/>
      <c r="I10" s="100">
        <v>0</v>
      </c>
      <c r="K10" s="1" t="s">
        <v>108</v>
      </c>
    </row>
    <row r="11" spans="2:11" ht="20" thickBot="1" x14ac:dyDescent="0.3">
      <c r="B11" s="73" t="s">
        <v>79</v>
      </c>
      <c r="C11" s="117">
        <v>500</v>
      </c>
      <c r="D11" s="39"/>
      <c r="E11" s="81">
        <v>0.01</v>
      </c>
      <c r="F11" s="39"/>
      <c r="G11" s="39"/>
      <c r="H11" s="71"/>
      <c r="I11" s="100">
        <v>0</v>
      </c>
      <c r="K11" s="1" t="s">
        <v>108</v>
      </c>
    </row>
    <row r="12" spans="2:11" ht="20" thickBot="1" x14ac:dyDescent="0.3">
      <c r="B12" s="73"/>
      <c r="C12" s="85"/>
      <c r="D12" s="86"/>
      <c r="E12" s="86"/>
      <c r="F12" s="86"/>
      <c r="G12" s="86"/>
      <c r="H12" s="75" t="s">
        <v>47</v>
      </c>
      <c r="I12" s="100">
        <f>SUM(I6:I11)</f>
        <v>16.429600000000001</v>
      </c>
    </row>
    <row r="13" spans="2:11" ht="20" thickBot="1" x14ac:dyDescent="0.3">
      <c r="B13" s="73" t="s">
        <v>121</v>
      </c>
      <c r="C13" s="87"/>
      <c r="D13" s="88"/>
      <c r="E13" s="88"/>
      <c r="F13" s="88"/>
      <c r="G13" s="88"/>
      <c r="H13" s="89" t="s">
        <v>49</v>
      </c>
      <c r="I13" s="100">
        <f>I12*0.1</f>
        <v>1.6429600000000002</v>
      </c>
    </row>
    <row r="14" spans="2:11" ht="20" thickBot="1" x14ac:dyDescent="0.3">
      <c r="B14" s="86"/>
      <c r="C14" s="88"/>
      <c r="D14" s="90"/>
      <c r="E14" s="90"/>
      <c r="F14" s="88"/>
      <c r="G14" s="88"/>
      <c r="H14" s="88" t="s">
        <v>46</v>
      </c>
      <c r="I14" s="100">
        <f>I13+I12</f>
        <v>18.072559999999999</v>
      </c>
    </row>
    <row r="15" spans="2:11" ht="20" thickBot="1" x14ac:dyDescent="0.3">
      <c r="B15" s="88"/>
      <c r="C15" s="88"/>
      <c r="D15" s="88"/>
      <c r="E15" s="91" t="s">
        <v>23</v>
      </c>
      <c r="F15" s="88"/>
      <c r="G15" s="88"/>
      <c r="H15" s="92" t="s">
        <v>48</v>
      </c>
      <c r="I15" s="101">
        <f>I14*12</f>
        <v>216.87072000000001</v>
      </c>
    </row>
    <row r="16" spans="2:11" ht="20" thickBot="1" x14ac:dyDescent="0.3">
      <c r="B16" s="88"/>
      <c r="C16" s="88"/>
      <c r="D16" s="88"/>
      <c r="E16" s="91"/>
      <c r="F16" s="88"/>
      <c r="G16" s="88"/>
      <c r="H16" s="12" t="s">
        <v>122</v>
      </c>
      <c r="I16" s="156">
        <f>I15/C3</f>
        <v>0.30120933333333333</v>
      </c>
    </row>
    <row r="17" spans="2:11" ht="21" thickTop="1" thickBot="1" x14ac:dyDescent="0.3">
      <c r="B17" s="88"/>
      <c r="C17" s="88"/>
      <c r="D17" s="88"/>
      <c r="E17" s="88"/>
      <c r="F17" s="88"/>
      <c r="G17" s="88"/>
      <c r="H17" s="93" t="s">
        <v>124</v>
      </c>
      <c r="I17" s="106">
        <f>I16/2</f>
        <v>0.15060466666666666</v>
      </c>
      <c r="K17" s="1" t="s">
        <v>129</v>
      </c>
    </row>
    <row r="18" spans="2:11" ht="20" thickTop="1" x14ac:dyDescent="0.25"/>
    <row r="19" spans="2:11" x14ac:dyDescent="0.25">
      <c r="B19" s="21" t="s">
        <v>80</v>
      </c>
      <c r="C19" s="96">
        <f>I17</f>
        <v>0.15060466666666666</v>
      </c>
    </row>
    <row r="22" spans="2:11" x14ac:dyDescent="0.25">
      <c r="B22" s="9" t="s">
        <v>26</v>
      </c>
      <c r="C22" s="7"/>
      <c r="D22" s="7"/>
      <c r="E22" s="7"/>
      <c r="F22" s="7"/>
      <c r="G22" s="7"/>
      <c r="H22" s="7"/>
      <c r="I22" s="7"/>
      <c r="J22" s="7"/>
      <c r="K22" s="7"/>
    </row>
    <row r="23" spans="2:11" x14ac:dyDescent="0.25">
      <c r="B23" s="9" t="s">
        <v>31</v>
      </c>
      <c r="C23" s="7"/>
      <c r="D23" s="7"/>
      <c r="E23" s="7"/>
      <c r="F23" s="7"/>
      <c r="G23" s="7"/>
      <c r="H23" s="7"/>
      <c r="I23" s="7"/>
      <c r="J23" s="7"/>
      <c r="K23" s="7"/>
    </row>
    <row r="24" spans="2:11" x14ac:dyDescent="0.25">
      <c r="B24" s="7" t="s">
        <v>39</v>
      </c>
      <c r="C24" s="7"/>
      <c r="D24" s="7"/>
      <c r="E24" s="7"/>
      <c r="F24" s="7"/>
      <c r="G24" s="7"/>
      <c r="H24" s="7"/>
      <c r="I24" s="7"/>
      <c r="J24" s="7"/>
      <c r="K24" s="7"/>
    </row>
    <row r="25" spans="2:11" x14ac:dyDescent="0.25">
      <c r="B25" s="9" t="s">
        <v>27</v>
      </c>
      <c r="C25" s="7"/>
      <c r="D25" s="7"/>
      <c r="E25" s="7"/>
      <c r="F25" s="7"/>
      <c r="G25" s="7"/>
      <c r="H25" s="7"/>
      <c r="I25" s="7"/>
      <c r="J25" s="7"/>
      <c r="K25" s="7"/>
    </row>
    <row r="26" spans="2:11" x14ac:dyDescent="0.25">
      <c r="B26" s="9" t="s">
        <v>28</v>
      </c>
      <c r="C26" s="7"/>
      <c r="D26" s="7"/>
      <c r="E26" s="7"/>
      <c r="F26" s="7"/>
      <c r="G26" s="7"/>
      <c r="H26" s="7"/>
      <c r="I26" s="7"/>
      <c r="J26" s="7"/>
      <c r="K26" s="7"/>
    </row>
    <row r="27" spans="2:11" x14ac:dyDescent="0.25">
      <c r="B27" s="9" t="s">
        <v>29</v>
      </c>
      <c r="C27" s="7"/>
      <c r="D27" s="7"/>
      <c r="E27" s="7"/>
      <c r="F27" s="7"/>
      <c r="G27" s="7"/>
      <c r="H27" s="7"/>
      <c r="I27" s="7"/>
      <c r="J27" s="7"/>
      <c r="K27" s="7"/>
    </row>
    <row r="28" spans="2:11" x14ac:dyDescent="0.25">
      <c r="B28" s="9" t="s">
        <v>30</v>
      </c>
      <c r="C28" s="7"/>
      <c r="D28" s="7"/>
      <c r="E28" s="7"/>
      <c r="F28" s="7"/>
      <c r="G28" s="7"/>
      <c r="H28" s="7"/>
      <c r="I28" s="7"/>
      <c r="J28" s="7"/>
      <c r="K28"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B0F0B-7B4E-C749-BABE-0DE8D3B89278}">
  <dimension ref="B3:K26"/>
  <sheetViews>
    <sheetView showGridLines="0" workbookViewId="0">
      <selection activeCell="L19" sqref="L19"/>
    </sheetView>
  </sheetViews>
  <sheetFormatPr baseColWidth="10" defaultRowHeight="16" x14ac:dyDescent="0.2"/>
  <cols>
    <col min="2" max="2" width="77.6640625" customWidth="1"/>
    <col min="3" max="3" width="14.83203125" customWidth="1"/>
    <col min="4" max="4" width="13.6640625" customWidth="1"/>
    <col min="5" max="5" width="10.33203125" customWidth="1"/>
    <col min="6" max="6" width="8.6640625" customWidth="1"/>
    <col min="7" max="7" width="5.83203125" bestFit="1" customWidth="1"/>
    <col min="8" max="8" width="21.1640625" bestFit="1" customWidth="1"/>
    <col min="9" max="9" width="14.1640625" bestFit="1" customWidth="1"/>
    <col min="10" max="10" width="18.33203125" bestFit="1" customWidth="1"/>
  </cols>
  <sheetData>
    <row r="3" spans="2:11" ht="19" x14ac:dyDescent="0.25">
      <c r="B3" s="1" t="s">
        <v>50</v>
      </c>
      <c r="C3" s="1">
        <v>20000</v>
      </c>
      <c r="D3" s="1"/>
      <c r="E3" s="1"/>
      <c r="F3" s="1"/>
      <c r="G3" s="1"/>
      <c r="H3" s="1"/>
      <c r="I3" s="1"/>
      <c r="J3" s="1"/>
    </row>
    <row r="4" spans="2:11" ht="19" x14ac:dyDescent="0.25">
      <c r="B4" s="1"/>
      <c r="C4" s="1"/>
      <c r="D4" s="1"/>
      <c r="E4" s="1"/>
      <c r="F4" s="1"/>
      <c r="G4" s="1"/>
      <c r="H4" s="1"/>
      <c r="I4" s="1"/>
      <c r="J4" s="1"/>
    </row>
    <row r="5" spans="2:11" ht="40" customHeight="1" thickBot="1" x14ac:dyDescent="0.3">
      <c r="B5" s="97" t="s">
        <v>3</v>
      </c>
      <c r="C5" s="79" t="s">
        <v>119</v>
      </c>
      <c r="D5" s="79" t="s">
        <v>45</v>
      </c>
      <c r="E5" s="79" t="s">
        <v>21</v>
      </c>
      <c r="F5" s="79" t="s">
        <v>22</v>
      </c>
      <c r="G5" s="79" t="s">
        <v>35</v>
      </c>
      <c r="H5" s="79" t="s">
        <v>40</v>
      </c>
      <c r="I5" s="94" t="s">
        <v>120</v>
      </c>
      <c r="J5" s="1"/>
    </row>
    <row r="6" spans="2:11" ht="21" thickTop="1" thickBot="1" x14ac:dyDescent="0.3">
      <c r="B6" s="82" t="s">
        <v>53</v>
      </c>
      <c r="C6" s="115">
        <v>1</v>
      </c>
      <c r="D6" s="77">
        <f>C6*C3/12</f>
        <v>1666.6666666666667</v>
      </c>
      <c r="E6" s="158">
        <v>1.53</v>
      </c>
      <c r="F6" s="83">
        <v>36</v>
      </c>
      <c r="G6" s="77">
        <v>72</v>
      </c>
      <c r="H6" s="110">
        <f>E6/F6</f>
        <v>4.2500000000000003E-2</v>
      </c>
      <c r="I6" s="111">
        <f>E6*D6</f>
        <v>2550</v>
      </c>
      <c r="J6" s="1"/>
    </row>
    <row r="7" spans="2:11" ht="20" thickBot="1" x14ac:dyDescent="0.3">
      <c r="B7" s="73" t="s">
        <v>42</v>
      </c>
      <c r="C7" s="120">
        <v>5000</v>
      </c>
      <c r="D7" s="39"/>
      <c r="E7" s="99">
        <v>0.02</v>
      </c>
      <c r="F7" s="39"/>
      <c r="G7" s="39"/>
      <c r="H7" s="113"/>
      <c r="I7" s="114">
        <f>E7*C7</f>
        <v>100</v>
      </c>
      <c r="J7" s="1"/>
    </row>
    <row r="8" spans="2:11" ht="20" thickBot="1" x14ac:dyDescent="0.3">
      <c r="B8" s="73" t="s">
        <v>43</v>
      </c>
      <c r="C8" s="120">
        <v>5000</v>
      </c>
      <c r="D8" s="39"/>
      <c r="E8" s="99">
        <v>0.01</v>
      </c>
      <c r="F8" s="39"/>
      <c r="G8" s="39"/>
      <c r="H8" s="112"/>
      <c r="I8" s="114">
        <v>0</v>
      </c>
      <c r="K8" s="1" t="s">
        <v>108</v>
      </c>
    </row>
    <row r="9" spans="2:11" ht="20" thickBot="1" x14ac:dyDescent="0.3">
      <c r="B9" s="73" t="s">
        <v>44</v>
      </c>
      <c r="C9" s="120">
        <v>5000</v>
      </c>
      <c r="D9" s="39"/>
      <c r="E9" s="99">
        <v>0.01</v>
      </c>
      <c r="F9" s="39"/>
      <c r="G9" s="39"/>
      <c r="H9" s="113"/>
      <c r="I9" s="114">
        <v>0</v>
      </c>
      <c r="K9" s="1" t="s">
        <v>108</v>
      </c>
    </row>
    <row r="10" spans="2:11" ht="20" thickBot="1" x14ac:dyDescent="0.3">
      <c r="B10" s="73"/>
      <c r="C10" s="130"/>
      <c r="D10" s="131"/>
      <c r="E10" s="131"/>
      <c r="F10" s="131"/>
      <c r="G10" s="131"/>
      <c r="H10" s="132" t="s">
        <v>47</v>
      </c>
      <c r="I10" s="114">
        <f>SUM(I6:I9)</f>
        <v>2650</v>
      </c>
    </row>
    <row r="11" spans="2:11" ht="20" thickBot="1" x14ac:dyDescent="0.3">
      <c r="B11" s="73" t="s">
        <v>52</v>
      </c>
      <c r="C11" s="88"/>
      <c r="D11" s="88"/>
      <c r="E11" s="88"/>
      <c r="F11" s="88"/>
      <c r="G11" s="88"/>
      <c r="H11" s="88" t="s">
        <v>49</v>
      </c>
      <c r="I11" s="100">
        <f>I10*0.1</f>
        <v>265</v>
      </c>
    </row>
    <row r="12" spans="2:11" ht="20" thickBot="1" x14ac:dyDescent="0.3">
      <c r="B12" s="1"/>
      <c r="C12" s="88"/>
      <c r="D12" s="90"/>
      <c r="E12" s="90"/>
      <c r="F12" s="88"/>
      <c r="G12" s="88"/>
      <c r="H12" s="88" t="s">
        <v>46</v>
      </c>
      <c r="I12" s="98">
        <f>I11+I10</f>
        <v>2915</v>
      </c>
    </row>
    <row r="13" spans="2:11" ht="20" thickBot="1" x14ac:dyDescent="0.3">
      <c r="B13" s="1"/>
      <c r="C13" s="88"/>
      <c r="D13" s="88"/>
      <c r="E13" s="91" t="s">
        <v>23</v>
      </c>
      <c r="F13" s="88"/>
      <c r="G13" s="88"/>
      <c r="H13" s="92" t="s">
        <v>48</v>
      </c>
      <c r="I13" s="108">
        <f>I12*12</f>
        <v>34980</v>
      </c>
    </row>
    <row r="14" spans="2:11" ht="21" thickTop="1" thickBot="1" x14ac:dyDescent="0.3">
      <c r="B14" s="1"/>
      <c r="C14" s="88"/>
      <c r="D14" s="88"/>
      <c r="E14" s="91"/>
      <c r="F14" s="88"/>
      <c r="G14" s="88"/>
      <c r="H14" s="12" t="s">
        <v>122</v>
      </c>
      <c r="I14" s="157">
        <f>I13/C3</f>
        <v>1.7490000000000001</v>
      </c>
    </row>
    <row r="15" spans="2:11" ht="21" thickTop="1" thickBot="1" x14ac:dyDescent="0.3">
      <c r="B15" s="1"/>
      <c r="C15" s="88"/>
      <c r="D15" s="88"/>
      <c r="E15" s="88"/>
      <c r="F15" s="88"/>
      <c r="G15" s="88"/>
      <c r="H15" s="93" t="s">
        <v>124</v>
      </c>
      <c r="I15" s="106">
        <f>I14/F6</f>
        <v>4.8583333333333339E-2</v>
      </c>
      <c r="J15" s="1"/>
    </row>
    <row r="16" spans="2:11" ht="20" thickTop="1" x14ac:dyDescent="0.25">
      <c r="B16" s="1"/>
      <c r="C16" s="88"/>
      <c r="D16" s="88"/>
      <c r="E16" s="88"/>
      <c r="F16" s="88"/>
      <c r="G16" s="88"/>
      <c r="H16" s="88"/>
      <c r="I16" s="107"/>
      <c r="J16" s="1"/>
    </row>
    <row r="17" spans="2:10" ht="19" x14ac:dyDescent="0.25">
      <c r="B17" s="21" t="s">
        <v>76</v>
      </c>
      <c r="C17" s="139">
        <f>I15</f>
        <v>4.8583333333333339E-2</v>
      </c>
      <c r="D17" s="1"/>
      <c r="E17" s="1"/>
      <c r="F17" s="1"/>
      <c r="G17" s="1"/>
      <c r="H17" s="1"/>
      <c r="I17" s="1"/>
      <c r="J17" s="1"/>
    </row>
    <row r="18" spans="2:10" ht="19" x14ac:dyDescent="0.25">
      <c r="B18" s="1"/>
      <c r="C18" s="1"/>
      <c r="D18" s="1"/>
      <c r="E18" s="1"/>
      <c r="F18" s="1"/>
      <c r="G18" s="1"/>
      <c r="H18" s="1"/>
      <c r="I18" s="1"/>
      <c r="J18" s="1"/>
    </row>
    <row r="19" spans="2:10" ht="19" x14ac:dyDescent="0.25">
      <c r="B19" s="1"/>
      <c r="C19" s="1"/>
      <c r="D19" s="1"/>
      <c r="E19" s="1"/>
      <c r="F19" s="1"/>
      <c r="G19" s="1"/>
      <c r="H19" s="1"/>
      <c r="I19" s="1"/>
      <c r="J19" s="1"/>
    </row>
    <row r="20" spans="2:10" ht="19" x14ac:dyDescent="0.25">
      <c r="B20" s="9" t="s">
        <v>26</v>
      </c>
      <c r="C20" s="7"/>
      <c r="D20" s="7"/>
      <c r="E20" s="7"/>
      <c r="F20" s="7"/>
      <c r="G20" s="7"/>
      <c r="H20" s="7"/>
      <c r="I20" s="7"/>
      <c r="J20" s="7"/>
    </row>
    <row r="21" spans="2:10" ht="19" x14ac:dyDescent="0.25">
      <c r="B21" s="9" t="s">
        <v>31</v>
      </c>
      <c r="C21" s="7"/>
      <c r="D21" s="7"/>
      <c r="E21" s="7"/>
      <c r="F21" s="7"/>
      <c r="G21" s="7"/>
      <c r="H21" s="7"/>
      <c r="I21" s="7"/>
      <c r="J21" s="7"/>
    </row>
    <row r="22" spans="2:10" ht="19" x14ac:dyDescent="0.25">
      <c r="B22" s="7" t="s">
        <v>51</v>
      </c>
      <c r="C22" s="7"/>
      <c r="D22" s="7"/>
      <c r="E22" s="7"/>
      <c r="F22" s="7"/>
      <c r="G22" s="7"/>
      <c r="H22" s="7"/>
      <c r="I22" s="7"/>
      <c r="J22" s="7"/>
    </row>
    <row r="23" spans="2:10" ht="19" x14ac:dyDescent="0.25">
      <c r="B23" s="9" t="s">
        <v>27</v>
      </c>
      <c r="C23" s="7"/>
      <c r="D23" s="7"/>
      <c r="E23" s="7"/>
      <c r="F23" s="7"/>
      <c r="G23" s="7"/>
      <c r="H23" s="7"/>
      <c r="I23" s="7"/>
      <c r="J23" s="7"/>
    </row>
    <row r="24" spans="2:10" ht="19" x14ac:dyDescent="0.25">
      <c r="B24" s="9" t="s">
        <v>28</v>
      </c>
      <c r="C24" s="7"/>
      <c r="D24" s="7"/>
      <c r="E24" s="7"/>
      <c r="F24" s="7"/>
      <c r="G24" s="7"/>
      <c r="H24" s="7"/>
      <c r="I24" s="7"/>
      <c r="J24" s="7"/>
    </row>
    <row r="25" spans="2:10" ht="19" x14ac:dyDescent="0.25">
      <c r="B25" s="9" t="s">
        <v>29</v>
      </c>
      <c r="C25" s="7"/>
      <c r="D25" s="7"/>
      <c r="E25" s="7"/>
      <c r="F25" s="7"/>
      <c r="G25" s="7"/>
      <c r="H25" s="7"/>
      <c r="I25" s="7"/>
      <c r="J25" s="7"/>
    </row>
    <row r="26" spans="2:10" ht="19" x14ac:dyDescent="0.25">
      <c r="B26" s="9" t="s">
        <v>30</v>
      </c>
      <c r="C26" s="7"/>
      <c r="D26" s="7"/>
      <c r="E26" s="7"/>
      <c r="F26" s="7"/>
      <c r="G26" s="7"/>
      <c r="H26" s="7"/>
      <c r="I26" s="7"/>
      <c r="J26"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B703F-8478-C941-BCBA-953E48F3257F}">
  <dimension ref="B3:K35"/>
  <sheetViews>
    <sheetView showGridLines="0" workbookViewId="0">
      <selection activeCell="B22" sqref="B22"/>
    </sheetView>
  </sheetViews>
  <sheetFormatPr baseColWidth="10" defaultRowHeight="16" x14ac:dyDescent="0.2"/>
  <cols>
    <col min="2" max="2" width="77.6640625" customWidth="1"/>
    <col min="3" max="3" width="12.1640625" customWidth="1"/>
    <col min="4" max="4" width="12" customWidth="1"/>
    <col min="5" max="5" width="10.6640625" customWidth="1"/>
    <col min="6" max="6" width="7.5" customWidth="1"/>
    <col min="7" max="7" width="5.83203125" bestFit="1" customWidth="1"/>
    <col min="8" max="8" width="21.1640625" bestFit="1" customWidth="1"/>
    <col min="9" max="9" width="14.33203125" bestFit="1" customWidth="1"/>
    <col min="10" max="10" width="18.33203125" bestFit="1" customWidth="1"/>
  </cols>
  <sheetData>
    <row r="3" spans="2:11" ht="19" x14ac:dyDescent="0.25">
      <c r="B3" s="1" t="s">
        <v>50</v>
      </c>
      <c r="C3" s="1">
        <v>20000</v>
      </c>
      <c r="D3" s="1"/>
      <c r="E3" s="1"/>
      <c r="F3" s="1"/>
      <c r="G3" s="1"/>
      <c r="H3" s="1"/>
      <c r="I3" s="1"/>
      <c r="J3" s="1"/>
    </row>
    <row r="4" spans="2:11" ht="19" x14ac:dyDescent="0.25">
      <c r="B4" s="1"/>
      <c r="C4" s="1"/>
      <c r="D4" s="1"/>
      <c r="E4" s="1"/>
      <c r="F4" s="1"/>
      <c r="G4" s="1"/>
      <c r="H4" s="1"/>
      <c r="I4" s="1"/>
      <c r="J4" s="1"/>
    </row>
    <row r="5" spans="2:11" ht="40" customHeight="1" thickBot="1" x14ac:dyDescent="0.3">
      <c r="B5" s="119" t="s">
        <v>3</v>
      </c>
      <c r="C5" s="79" t="s">
        <v>119</v>
      </c>
      <c r="D5" s="79" t="s">
        <v>45</v>
      </c>
      <c r="E5" s="79" t="s">
        <v>21</v>
      </c>
      <c r="F5" s="79" t="s">
        <v>22</v>
      </c>
      <c r="G5" s="79" t="s">
        <v>35</v>
      </c>
      <c r="H5" s="79" t="s">
        <v>40</v>
      </c>
      <c r="I5" s="94" t="s">
        <v>120</v>
      </c>
      <c r="J5" s="1"/>
    </row>
    <row r="6" spans="2:11" ht="20" thickBot="1" x14ac:dyDescent="0.3">
      <c r="B6" s="82" t="s">
        <v>69</v>
      </c>
      <c r="C6" s="115">
        <v>1</v>
      </c>
      <c r="D6" s="77">
        <f>C6*C3/12</f>
        <v>1666.6666666666667</v>
      </c>
      <c r="E6" s="158">
        <v>6.048</v>
      </c>
      <c r="F6" s="115">
        <v>96</v>
      </c>
      <c r="G6" s="77">
        <v>768</v>
      </c>
      <c r="H6" s="77">
        <f>E6/F6</f>
        <v>6.3E-2</v>
      </c>
      <c r="I6" s="102">
        <f>H6*F6*D6</f>
        <v>10080</v>
      </c>
      <c r="J6" s="1"/>
    </row>
    <row r="7" spans="2:11" ht="20" thickBot="1" x14ac:dyDescent="0.3">
      <c r="B7" s="73" t="s">
        <v>42</v>
      </c>
      <c r="C7" s="120">
        <v>5000</v>
      </c>
      <c r="D7" s="39"/>
      <c r="E7" s="98">
        <v>0.02</v>
      </c>
      <c r="F7" s="39"/>
      <c r="G7" s="39"/>
      <c r="H7" s="71"/>
      <c r="I7" s="100">
        <f>E7*C7</f>
        <v>100</v>
      </c>
      <c r="J7" s="1"/>
    </row>
    <row r="8" spans="2:11" ht="19" x14ac:dyDescent="0.25">
      <c r="B8" s="75" t="s">
        <v>43</v>
      </c>
      <c r="C8" s="121">
        <v>5000</v>
      </c>
      <c r="D8" s="76"/>
      <c r="E8" s="136">
        <v>0.01</v>
      </c>
      <c r="F8" s="76"/>
      <c r="G8" s="76"/>
      <c r="H8" s="76"/>
      <c r="I8" s="126">
        <v>0</v>
      </c>
      <c r="K8" s="67" t="s">
        <v>108</v>
      </c>
    </row>
    <row r="9" spans="2:11" ht="20" thickBot="1" x14ac:dyDescent="0.3">
      <c r="B9" s="122" t="s">
        <v>44</v>
      </c>
      <c r="C9" s="123">
        <v>5000</v>
      </c>
      <c r="D9" s="124"/>
      <c r="E9" s="137">
        <v>0.01</v>
      </c>
      <c r="F9" s="124"/>
      <c r="G9" s="124"/>
      <c r="H9" s="125"/>
      <c r="I9" s="127">
        <v>0</v>
      </c>
      <c r="K9" s="67" t="s">
        <v>108</v>
      </c>
    </row>
    <row r="10" spans="2:11" ht="20" thickBot="1" x14ac:dyDescent="0.3">
      <c r="B10" s="73"/>
      <c r="C10" s="88"/>
      <c r="D10" s="88"/>
      <c r="E10" s="88"/>
      <c r="F10" s="88"/>
      <c r="G10" s="88"/>
      <c r="H10" s="88" t="s">
        <v>47</v>
      </c>
      <c r="I10" s="100">
        <f>SUM(I6:I9)</f>
        <v>10180</v>
      </c>
    </row>
    <row r="11" spans="2:11" ht="20" thickBot="1" x14ac:dyDescent="0.3">
      <c r="B11" s="73" t="s">
        <v>52</v>
      </c>
      <c r="C11" s="1"/>
      <c r="D11" s="1"/>
      <c r="E11" s="1"/>
      <c r="F11" s="1"/>
      <c r="G11" s="1"/>
      <c r="H11" s="1" t="s">
        <v>49</v>
      </c>
      <c r="I11" s="100">
        <f>I10*0.1</f>
        <v>1018</v>
      </c>
    </row>
    <row r="12" spans="2:11" ht="20" thickBot="1" x14ac:dyDescent="0.3">
      <c r="B12" s="1"/>
      <c r="C12" s="1"/>
      <c r="D12" s="4"/>
      <c r="E12" s="4"/>
      <c r="F12" s="1"/>
      <c r="G12" s="1"/>
      <c r="H12" s="1" t="s">
        <v>46</v>
      </c>
      <c r="I12" s="100">
        <f>I11+I10</f>
        <v>11198</v>
      </c>
    </row>
    <row r="13" spans="2:11" ht="20" thickBot="1" x14ac:dyDescent="0.3">
      <c r="B13" s="1"/>
      <c r="C13" s="1"/>
      <c r="D13" s="1"/>
      <c r="E13" s="11" t="s">
        <v>23</v>
      </c>
      <c r="F13" s="1"/>
      <c r="G13" s="1"/>
      <c r="H13" s="12" t="s">
        <v>48</v>
      </c>
      <c r="I13" s="128">
        <f>I12*12</f>
        <v>134376</v>
      </c>
    </row>
    <row r="14" spans="2:11" ht="20" thickBot="1" x14ac:dyDescent="0.3">
      <c r="B14" s="1"/>
      <c r="C14" s="1"/>
      <c r="D14" s="1"/>
      <c r="E14" s="11"/>
      <c r="F14" s="1"/>
      <c r="G14" s="1"/>
      <c r="H14" s="12" t="s">
        <v>122</v>
      </c>
      <c r="I14" s="156">
        <f>I13/C3</f>
        <v>6.7187999999999999</v>
      </c>
    </row>
    <row r="15" spans="2:11" ht="21" thickTop="1" thickBot="1" x14ac:dyDescent="0.3">
      <c r="B15" s="1"/>
      <c r="C15" s="1"/>
      <c r="D15" s="1"/>
      <c r="E15" s="1"/>
      <c r="F15" s="1"/>
      <c r="G15" s="1"/>
      <c r="H15" s="93" t="s">
        <v>124</v>
      </c>
      <c r="I15" s="106">
        <f>I14/F6</f>
        <v>6.9987499999999994E-2</v>
      </c>
      <c r="J15" s="1"/>
    </row>
    <row r="16" spans="2:11" ht="20" thickTop="1" x14ac:dyDescent="0.25">
      <c r="B16" s="1"/>
      <c r="C16" s="1"/>
      <c r="D16" s="1"/>
      <c r="E16" s="1"/>
      <c r="F16" s="1"/>
      <c r="G16" s="1"/>
      <c r="H16" s="93"/>
      <c r="I16" s="129"/>
      <c r="J16" s="1"/>
    </row>
    <row r="17" spans="2:10" ht="19" x14ac:dyDescent="0.25">
      <c r="B17" s="21" t="s">
        <v>76</v>
      </c>
      <c r="C17" s="139">
        <f>I15</f>
        <v>6.9987499999999994E-2</v>
      </c>
      <c r="H17" s="1"/>
      <c r="I17" s="1"/>
      <c r="J17" s="1"/>
    </row>
    <row r="18" spans="2:10" ht="19" x14ac:dyDescent="0.25">
      <c r="B18" s="1"/>
      <c r="C18" s="1"/>
      <c r="D18" s="1"/>
      <c r="E18" s="1"/>
      <c r="F18" s="1"/>
      <c r="G18" s="1"/>
      <c r="H18" s="1"/>
      <c r="I18" s="1"/>
      <c r="J18" s="1"/>
    </row>
    <row r="19" spans="2:10" ht="19" x14ac:dyDescent="0.25">
      <c r="B19" s="1"/>
      <c r="C19" s="1"/>
      <c r="D19" s="1"/>
      <c r="E19" s="1"/>
      <c r="F19" s="1"/>
      <c r="G19" s="1"/>
      <c r="H19" s="1"/>
      <c r="I19" s="1"/>
      <c r="J19" s="1"/>
    </row>
    <row r="20" spans="2:10" ht="19" x14ac:dyDescent="0.25">
      <c r="B20" s="9" t="s">
        <v>26</v>
      </c>
      <c r="C20" s="7"/>
      <c r="D20" s="7"/>
      <c r="E20" s="7"/>
      <c r="F20" s="7"/>
      <c r="G20" s="7"/>
      <c r="H20" s="7"/>
      <c r="I20" s="7"/>
      <c r="J20" s="7"/>
    </row>
    <row r="21" spans="2:10" ht="19" x14ac:dyDescent="0.25">
      <c r="B21" s="9" t="s">
        <v>31</v>
      </c>
      <c r="C21" s="7"/>
      <c r="D21" s="7"/>
      <c r="E21" s="7"/>
      <c r="F21" s="7"/>
      <c r="G21" s="7"/>
      <c r="H21" s="7"/>
      <c r="I21" s="7"/>
      <c r="J21" s="7"/>
    </row>
    <row r="22" spans="2:10" ht="19" x14ac:dyDescent="0.25">
      <c r="B22" s="7" t="s">
        <v>72</v>
      </c>
      <c r="C22" s="7"/>
      <c r="D22" s="7"/>
      <c r="E22" s="7"/>
      <c r="F22" s="7"/>
      <c r="G22" s="7"/>
      <c r="H22" s="7"/>
      <c r="I22" s="7"/>
      <c r="J22" s="7"/>
    </row>
    <row r="23" spans="2:10" ht="19" x14ac:dyDescent="0.25">
      <c r="B23" s="9" t="s">
        <v>27</v>
      </c>
      <c r="C23" s="7"/>
      <c r="D23" s="7"/>
      <c r="E23" s="7"/>
      <c r="F23" s="7"/>
      <c r="G23" s="7"/>
      <c r="H23" s="7"/>
      <c r="I23" s="7"/>
      <c r="J23" s="7"/>
    </row>
    <row r="24" spans="2:10" ht="19" x14ac:dyDescent="0.25">
      <c r="B24" s="9" t="s">
        <v>28</v>
      </c>
      <c r="C24" s="7"/>
      <c r="D24" s="7"/>
      <c r="E24" s="7"/>
      <c r="F24" s="7"/>
      <c r="G24" s="7"/>
      <c r="H24" s="7"/>
      <c r="I24" s="7"/>
      <c r="J24" s="7"/>
    </row>
    <row r="25" spans="2:10" ht="19" x14ac:dyDescent="0.25">
      <c r="B25" s="9" t="s">
        <v>29</v>
      </c>
      <c r="C25" s="7"/>
      <c r="D25" s="7"/>
      <c r="E25" s="7"/>
      <c r="F25" s="7"/>
      <c r="G25" s="7"/>
      <c r="H25" s="7"/>
      <c r="I25" s="7"/>
      <c r="J25" s="7"/>
    </row>
    <row r="26" spans="2:10" ht="19" x14ac:dyDescent="0.25">
      <c r="B26" s="9" t="s">
        <v>30</v>
      </c>
      <c r="C26" s="7"/>
      <c r="D26" s="7"/>
      <c r="E26" s="7"/>
      <c r="F26" s="7"/>
      <c r="G26" s="7"/>
      <c r="H26" s="7"/>
      <c r="I26" s="7"/>
      <c r="J26" s="7"/>
    </row>
    <row r="35" spans="5:5" x14ac:dyDescent="0.2">
      <c r="E35">
        <f>96*30*24</f>
        <v>69120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7139E-A479-4A45-8051-9EF06E4C677F}">
  <dimension ref="B3:K26"/>
  <sheetViews>
    <sheetView showGridLines="0" workbookViewId="0">
      <selection activeCell="B26" sqref="B20:B26"/>
    </sheetView>
  </sheetViews>
  <sheetFormatPr baseColWidth="10" defaultRowHeight="16" x14ac:dyDescent="0.2"/>
  <cols>
    <col min="2" max="2" width="77.6640625" customWidth="1"/>
    <col min="3" max="3" width="12.5" customWidth="1"/>
    <col min="4" max="4" width="13.1640625" customWidth="1"/>
    <col min="5" max="5" width="12.1640625" customWidth="1"/>
    <col min="6" max="6" width="7.83203125" customWidth="1"/>
    <col min="7" max="7" width="5.83203125" bestFit="1" customWidth="1"/>
    <col min="8" max="8" width="21.1640625" bestFit="1" customWidth="1"/>
    <col min="9" max="9" width="13.1640625" bestFit="1" customWidth="1"/>
    <col min="10" max="10" width="18.33203125" bestFit="1" customWidth="1"/>
  </cols>
  <sheetData>
    <row r="3" spans="2:11" ht="19" x14ac:dyDescent="0.25">
      <c r="B3" s="1" t="s">
        <v>50</v>
      </c>
      <c r="C3" s="1">
        <v>20000</v>
      </c>
      <c r="D3" s="1"/>
      <c r="E3" s="1"/>
      <c r="F3" s="1"/>
      <c r="G3" s="1"/>
      <c r="H3" s="1" t="s">
        <v>89</v>
      </c>
      <c r="I3" s="1"/>
      <c r="J3" s="1"/>
    </row>
    <row r="4" spans="2:11" ht="19" x14ac:dyDescent="0.25">
      <c r="B4" s="1"/>
      <c r="C4" s="1"/>
      <c r="D4" s="1"/>
      <c r="E4" s="1"/>
      <c r="F4" s="1"/>
      <c r="G4" s="1"/>
      <c r="I4" s="1"/>
      <c r="J4" s="1"/>
    </row>
    <row r="5" spans="2:11" ht="41" thickBot="1" x14ac:dyDescent="0.3">
      <c r="B5" s="37" t="s">
        <v>3</v>
      </c>
      <c r="C5" s="79" t="s">
        <v>119</v>
      </c>
      <c r="D5" s="79" t="s">
        <v>45</v>
      </c>
      <c r="E5" s="79" t="s">
        <v>21</v>
      </c>
      <c r="F5" s="79" t="s">
        <v>125</v>
      </c>
      <c r="G5" s="79" t="s">
        <v>35</v>
      </c>
      <c r="H5" s="80" t="s">
        <v>127</v>
      </c>
      <c r="I5" s="109" t="s">
        <v>120</v>
      </c>
      <c r="J5" s="1"/>
    </row>
    <row r="6" spans="2:11" ht="21" thickTop="1" thickBot="1" x14ac:dyDescent="0.3">
      <c r="B6" s="133" t="s">
        <v>68</v>
      </c>
      <c r="C6" s="134">
        <v>1</v>
      </c>
      <c r="D6" s="38">
        <f>C6*C3/12</f>
        <v>1666.6666666666667</v>
      </c>
      <c r="E6" s="164">
        <v>3.06</v>
      </c>
      <c r="F6" s="134">
        <v>1</v>
      </c>
      <c r="G6" s="38">
        <v>61</v>
      </c>
      <c r="H6" s="135">
        <f>E6/F6</f>
        <v>3.06</v>
      </c>
      <c r="I6" s="100">
        <f>H6*F6*D6</f>
        <v>5100</v>
      </c>
      <c r="J6" s="1"/>
    </row>
    <row r="7" spans="2:11" ht="20" thickBot="1" x14ac:dyDescent="0.3">
      <c r="B7" s="73" t="s">
        <v>42</v>
      </c>
      <c r="C7" s="120">
        <v>5000</v>
      </c>
      <c r="D7" s="39"/>
      <c r="E7" s="98">
        <v>0.02</v>
      </c>
      <c r="F7" s="39"/>
      <c r="G7" s="39"/>
      <c r="H7" s="74"/>
      <c r="I7" s="100">
        <f>E7*C7</f>
        <v>100</v>
      </c>
      <c r="J7" s="1"/>
    </row>
    <row r="8" spans="2:11" ht="20" thickBot="1" x14ac:dyDescent="0.3">
      <c r="B8" s="73" t="s">
        <v>43</v>
      </c>
      <c r="C8" s="120">
        <v>5000</v>
      </c>
      <c r="D8" s="39"/>
      <c r="E8" s="98">
        <v>0.01</v>
      </c>
      <c r="F8" s="39"/>
      <c r="G8" s="39"/>
      <c r="H8" s="72"/>
      <c r="I8" s="100">
        <v>0</v>
      </c>
      <c r="K8" s="67" t="s">
        <v>108</v>
      </c>
    </row>
    <row r="9" spans="2:11" ht="20" thickBot="1" x14ac:dyDescent="0.3">
      <c r="B9" s="73" t="s">
        <v>44</v>
      </c>
      <c r="C9" s="120">
        <v>5000</v>
      </c>
      <c r="D9" s="39"/>
      <c r="E9" s="98">
        <v>0.01</v>
      </c>
      <c r="F9" s="39"/>
      <c r="G9" s="39"/>
      <c r="H9" s="74"/>
      <c r="I9" s="100">
        <v>0</v>
      </c>
      <c r="K9" s="67" t="s">
        <v>108</v>
      </c>
    </row>
    <row r="10" spans="2:11" ht="20" thickBot="1" x14ac:dyDescent="0.3">
      <c r="B10" s="82"/>
      <c r="C10" s="1"/>
      <c r="D10" s="1"/>
      <c r="E10" s="1"/>
      <c r="F10" s="1"/>
      <c r="G10" s="1"/>
      <c r="H10" s="1" t="s">
        <v>47</v>
      </c>
      <c r="I10" s="100">
        <f>SUM(I6:I9)</f>
        <v>5200</v>
      </c>
    </row>
    <row r="11" spans="2:11" ht="20" thickBot="1" x14ac:dyDescent="0.3">
      <c r="B11" s="73" t="s">
        <v>52</v>
      </c>
      <c r="C11" s="1"/>
      <c r="D11" s="1"/>
      <c r="E11" s="1"/>
      <c r="F11" s="1"/>
      <c r="G11" s="1"/>
      <c r="H11" s="1" t="s">
        <v>49</v>
      </c>
      <c r="I11" s="100">
        <f>I10*0.1</f>
        <v>520</v>
      </c>
    </row>
    <row r="12" spans="2:11" ht="20" thickBot="1" x14ac:dyDescent="0.3">
      <c r="B12" s="1"/>
      <c r="C12" s="1"/>
      <c r="D12" s="4"/>
      <c r="E12" s="4"/>
      <c r="F12" s="1"/>
      <c r="G12" s="1"/>
      <c r="H12" s="1" t="s">
        <v>46</v>
      </c>
      <c r="I12" s="100">
        <f>I11+I10</f>
        <v>5720</v>
      </c>
    </row>
    <row r="13" spans="2:11" ht="20" thickBot="1" x14ac:dyDescent="0.3">
      <c r="B13" s="1"/>
      <c r="C13" s="1"/>
      <c r="D13" s="1"/>
      <c r="E13" s="11" t="s">
        <v>23</v>
      </c>
      <c r="F13" s="1"/>
      <c r="G13" s="1"/>
      <c r="H13" s="12" t="s">
        <v>48</v>
      </c>
      <c r="I13" s="128">
        <f>I12*12</f>
        <v>68640</v>
      </c>
    </row>
    <row r="14" spans="2:11" ht="20" thickBot="1" x14ac:dyDescent="0.3">
      <c r="B14" s="1"/>
      <c r="C14" s="1"/>
      <c r="D14" s="1"/>
      <c r="E14" s="1"/>
      <c r="F14" s="1"/>
      <c r="G14" s="1"/>
      <c r="H14" s="12" t="s">
        <v>122</v>
      </c>
      <c r="I14" s="156">
        <f>I13/C3</f>
        <v>3.4319999999999999</v>
      </c>
      <c r="J14" s="1"/>
    </row>
    <row r="15" spans="2:11" ht="21" thickTop="1" thickBot="1" x14ac:dyDescent="0.3">
      <c r="B15" s="1"/>
      <c r="C15" s="1"/>
      <c r="D15" s="1"/>
      <c r="E15" s="1"/>
      <c r="F15" s="1"/>
      <c r="G15" s="1"/>
      <c r="H15" s="93" t="s">
        <v>126</v>
      </c>
      <c r="I15" s="105">
        <f>I14/F6</f>
        <v>3.4319999999999999</v>
      </c>
      <c r="J15" s="1"/>
    </row>
    <row r="16" spans="2:11" ht="20" thickTop="1" x14ac:dyDescent="0.25">
      <c r="B16" s="1"/>
      <c r="C16" s="1"/>
      <c r="D16" s="1"/>
      <c r="E16" s="1"/>
      <c r="F16" s="1"/>
      <c r="G16" s="1"/>
      <c r="H16" s="93"/>
      <c r="I16" s="129"/>
      <c r="J16" s="1"/>
    </row>
    <row r="17" spans="2:10" ht="19" x14ac:dyDescent="0.25">
      <c r="B17" s="21" t="s">
        <v>130</v>
      </c>
      <c r="C17" s="138">
        <f>I14</f>
        <v>3.4319999999999999</v>
      </c>
      <c r="H17" s="1"/>
      <c r="I17" s="1"/>
      <c r="J17" s="1"/>
    </row>
    <row r="18" spans="2:10" ht="19" x14ac:dyDescent="0.25">
      <c r="B18" s="1"/>
      <c r="C18" s="1"/>
      <c r="D18" s="1"/>
      <c r="E18" s="1"/>
      <c r="F18" s="1"/>
      <c r="G18" s="1"/>
      <c r="H18" s="1"/>
      <c r="I18" s="1"/>
      <c r="J18" s="1"/>
    </row>
    <row r="19" spans="2:10" ht="19" x14ac:dyDescent="0.25">
      <c r="B19" s="1"/>
      <c r="C19" s="1"/>
      <c r="D19" s="1"/>
      <c r="E19" s="1"/>
      <c r="F19" s="1"/>
      <c r="G19" s="1"/>
      <c r="H19" s="1"/>
      <c r="I19" s="1"/>
      <c r="J19" s="1"/>
    </row>
    <row r="20" spans="2:10" ht="19" x14ac:dyDescent="0.25">
      <c r="B20" s="9" t="s">
        <v>26</v>
      </c>
      <c r="C20" s="7"/>
      <c r="D20" s="7"/>
      <c r="E20" s="7"/>
      <c r="F20" s="7"/>
      <c r="G20" s="7"/>
      <c r="H20" s="7"/>
      <c r="I20" s="7"/>
      <c r="J20" s="7"/>
    </row>
    <row r="21" spans="2:10" ht="19" x14ac:dyDescent="0.25">
      <c r="B21" s="9" t="s">
        <v>31</v>
      </c>
      <c r="C21" s="7"/>
      <c r="D21" s="7"/>
      <c r="E21" s="7"/>
      <c r="F21" s="7"/>
      <c r="G21" s="7"/>
      <c r="H21" s="7"/>
      <c r="I21" s="7"/>
      <c r="J21" s="7"/>
    </row>
    <row r="22" spans="2:10" ht="19" x14ac:dyDescent="0.25">
      <c r="B22" s="7" t="s">
        <v>73</v>
      </c>
      <c r="C22" s="7"/>
      <c r="D22" s="7"/>
      <c r="E22" s="7"/>
      <c r="F22" s="7"/>
      <c r="G22" s="7"/>
      <c r="H22" s="7"/>
      <c r="I22" s="7"/>
      <c r="J22" s="7"/>
    </row>
    <row r="23" spans="2:10" ht="19" x14ac:dyDescent="0.25">
      <c r="B23" s="9" t="s">
        <v>27</v>
      </c>
      <c r="C23" s="7"/>
      <c r="D23" s="7"/>
      <c r="E23" s="7"/>
      <c r="F23" s="7"/>
      <c r="G23" s="7"/>
      <c r="H23" s="7"/>
      <c r="I23" s="7"/>
      <c r="J23" s="7"/>
    </row>
    <row r="24" spans="2:10" ht="19" x14ac:dyDescent="0.25">
      <c r="B24" s="9" t="s">
        <v>28</v>
      </c>
      <c r="C24" s="7"/>
      <c r="D24" s="7"/>
      <c r="E24" s="7"/>
      <c r="F24" s="7"/>
      <c r="G24" s="7"/>
      <c r="H24" s="7"/>
      <c r="I24" s="7"/>
      <c r="J24" s="7"/>
    </row>
    <row r="25" spans="2:10" ht="19" x14ac:dyDescent="0.25">
      <c r="B25" s="9" t="s">
        <v>29</v>
      </c>
      <c r="C25" s="7"/>
      <c r="D25" s="7"/>
      <c r="E25" s="7"/>
      <c r="F25" s="7"/>
      <c r="G25" s="7"/>
      <c r="H25" s="7"/>
      <c r="I25" s="7"/>
      <c r="J25" s="7"/>
    </row>
    <row r="26" spans="2:10" ht="19" x14ac:dyDescent="0.25">
      <c r="B26" s="9" t="s">
        <v>30</v>
      </c>
      <c r="C26" s="7"/>
      <c r="D26" s="7"/>
      <c r="E26" s="7"/>
      <c r="F26" s="7"/>
      <c r="G26" s="7"/>
      <c r="H26" s="7"/>
      <c r="I26" s="7"/>
      <c r="J26"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88280-D265-3244-8D3C-7D721287C2D0}">
  <dimension ref="B1:K17"/>
  <sheetViews>
    <sheetView tabSelected="1" workbookViewId="0">
      <selection activeCell="H24" sqref="H24"/>
    </sheetView>
  </sheetViews>
  <sheetFormatPr baseColWidth="10" defaultRowHeight="16" x14ac:dyDescent="0.2"/>
  <cols>
    <col min="2" max="2" width="78.83203125" bestFit="1" customWidth="1"/>
    <col min="8" max="8" width="21.1640625" bestFit="1" customWidth="1"/>
    <col min="9" max="9" width="11.33203125" bestFit="1" customWidth="1"/>
  </cols>
  <sheetData>
    <row r="1" spans="2:11" ht="19" x14ac:dyDescent="0.25">
      <c r="B1" s="1" t="s">
        <v>142</v>
      </c>
      <c r="C1" s="1"/>
      <c r="D1" s="1"/>
      <c r="E1" s="1"/>
      <c r="F1" s="1"/>
      <c r="G1" s="1"/>
      <c r="H1" s="1"/>
      <c r="I1" s="1"/>
    </row>
    <row r="2" spans="2:11" ht="19" x14ac:dyDescent="0.25">
      <c r="B2" s="1"/>
      <c r="C2" s="1"/>
      <c r="D2" s="1"/>
      <c r="E2" s="1"/>
      <c r="F2" s="1"/>
      <c r="G2" s="1"/>
      <c r="H2" s="1"/>
      <c r="I2" s="1"/>
    </row>
    <row r="3" spans="2:11" ht="19" x14ac:dyDescent="0.25">
      <c r="B3" s="1" t="s">
        <v>144</v>
      </c>
      <c r="C3" s="1">
        <f>12*4*5</f>
        <v>240</v>
      </c>
      <c r="D3" s="1" t="s">
        <v>143</v>
      </c>
      <c r="E3" s="1"/>
      <c r="F3" s="1"/>
      <c r="G3" s="1"/>
      <c r="H3" s="1"/>
      <c r="I3" s="1"/>
    </row>
    <row r="4" spans="2:11" ht="19" x14ac:dyDescent="0.25">
      <c r="B4" s="1"/>
      <c r="C4" s="1"/>
      <c r="D4" s="1"/>
      <c r="E4" s="1"/>
      <c r="F4" s="1"/>
      <c r="G4" s="1"/>
      <c r="H4" s="1"/>
      <c r="I4" s="1"/>
    </row>
    <row r="5" spans="2:11" ht="61" thickBot="1" x14ac:dyDescent="0.3">
      <c r="B5" s="78" t="s">
        <v>3</v>
      </c>
      <c r="C5" s="79" t="s">
        <v>119</v>
      </c>
      <c r="D5" s="79" t="s">
        <v>45</v>
      </c>
      <c r="E5" s="79" t="s">
        <v>21</v>
      </c>
      <c r="F5" s="79" t="s">
        <v>22</v>
      </c>
      <c r="G5" s="79" t="s">
        <v>35</v>
      </c>
      <c r="H5" s="79" t="s">
        <v>40</v>
      </c>
      <c r="I5" s="94" t="s">
        <v>120</v>
      </c>
    </row>
    <row r="6" spans="2:11" ht="21" thickTop="1" thickBot="1" x14ac:dyDescent="0.3">
      <c r="B6" s="73" t="s">
        <v>38</v>
      </c>
      <c r="C6" s="117">
        <v>0.2</v>
      </c>
      <c r="D6" s="39">
        <f>C3</f>
        <v>240</v>
      </c>
      <c r="E6" s="81">
        <v>1.8800000000000001E-2</v>
      </c>
      <c r="F6" s="84">
        <v>2</v>
      </c>
      <c r="G6" s="39" t="s">
        <v>34</v>
      </c>
      <c r="H6" s="39">
        <f t="shared" ref="H6" si="0">E6/F6</f>
        <v>9.4000000000000004E-3</v>
      </c>
      <c r="I6" s="104">
        <f t="shared" ref="I6" si="1">E6*D6</f>
        <v>4.5120000000000005</v>
      </c>
    </row>
    <row r="7" spans="2:11" ht="20" thickBot="1" x14ac:dyDescent="0.3">
      <c r="B7" s="73" t="s">
        <v>77</v>
      </c>
      <c r="C7" s="118">
        <v>25</v>
      </c>
      <c r="D7" s="39"/>
      <c r="E7" s="81">
        <v>0.02</v>
      </c>
      <c r="F7" s="39"/>
      <c r="G7" s="39"/>
      <c r="H7" s="71"/>
      <c r="I7" s="100">
        <f>E7*C7</f>
        <v>0.5</v>
      </c>
    </row>
    <row r="8" spans="2:11" ht="20" thickBot="1" x14ac:dyDescent="0.3">
      <c r="B8" s="73" t="s">
        <v>78</v>
      </c>
      <c r="C8" s="117">
        <v>50</v>
      </c>
      <c r="D8" s="39"/>
      <c r="E8" s="81">
        <v>0.01</v>
      </c>
      <c r="F8" s="39"/>
      <c r="G8" s="39"/>
      <c r="H8" s="39"/>
      <c r="I8" s="100">
        <v>0</v>
      </c>
      <c r="K8" t="s">
        <v>145</v>
      </c>
    </row>
    <row r="9" spans="2:11" ht="20" thickBot="1" x14ac:dyDescent="0.3">
      <c r="B9" s="73" t="s">
        <v>79</v>
      </c>
      <c r="C9" s="117">
        <v>50</v>
      </c>
      <c r="D9" s="39"/>
      <c r="E9" s="81">
        <v>0.01</v>
      </c>
      <c r="F9" s="39"/>
      <c r="G9" s="39"/>
      <c r="H9" s="71"/>
      <c r="I9" s="100">
        <v>0</v>
      </c>
      <c r="K9" t="s">
        <v>145</v>
      </c>
    </row>
    <row r="10" spans="2:11" ht="20" thickBot="1" x14ac:dyDescent="0.3">
      <c r="B10" s="73"/>
      <c r="C10" s="85"/>
      <c r="D10" s="86"/>
      <c r="E10" s="86"/>
      <c r="F10" s="86"/>
      <c r="G10" s="86"/>
      <c r="H10" s="75" t="s">
        <v>146</v>
      </c>
      <c r="I10" s="100">
        <f>SUM(I6:I9)</f>
        <v>5.0120000000000005</v>
      </c>
    </row>
    <row r="11" spans="2:11" ht="20" thickBot="1" x14ac:dyDescent="0.3">
      <c r="B11" s="73" t="s">
        <v>121</v>
      </c>
      <c r="C11" s="87"/>
      <c r="D11" s="88"/>
      <c r="E11" s="88"/>
      <c r="F11" s="88"/>
      <c r="G11" s="88"/>
      <c r="H11" s="89" t="s">
        <v>49</v>
      </c>
      <c r="I11" s="100">
        <f>I10*0.1</f>
        <v>0.50120000000000009</v>
      </c>
    </row>
    <row r="12" spans="2:11" ht="20" thickBot="1" x14ac:dyDescent="0.3">
      <c r="B12" s="86"/>
      <c r="C12" s="88"/>
      <c r="D12" s="90"/>
      <c r="E12" s="90"/>
      <c r="F12" s="88"/>
      <c r="G12" s="88"/>
      <c r="H12" s="88" t="s">
        <v>147</v>
      </c>
      <c r="I12" s="100">
        <f>I11+I10</f>
        <v>5.5132000000000003</v>
      </c>
    </row>
    <row r="13" spans="2:11" ht="20" thickBot="1" x14ac:dyDescent="0.3">
      <c r="B13" s="88"/>
      <c r="C13" s="88"/>
      <c r="D13" s="88"/>
      <c r="E13" s="91" t="s">
        <v>23</v>
      </c>
      <c r="F13" s="88"/>
      <c r="G13" s="88"/>
      <c r="H13" s="12" t="s">
        <v>122</v>
      </c>
      <c r="I13" s="156">
        <f>I12/C3</f>
        <v>2.2971666666666668E-2</v>
      </c>
    </row>
    <row r="14" spans="2:11" ht="21" thickTop="1" thickBot="1" x14ac:dyDescent="0.3">
      <c r="B14" s="88"/>
      <c r="C14" s="88"/>
      <c r="D14" s="88"/>
      <c r="E14" s="91"/>
      <c r="F14" s="88"/>
      <c r="G14" s="88"/>
      <c r="H14" s="93" t="s">
        <v>124</v>
      </c>
      <c r="I14" s="106">
        <f>I13/F6</f>
        <v>1.1485833333333334E-2</v>
      </c>
    </row>
    <row r="15" spans="2:11" ht="20" thickTop="1" x14ac:dyDescent="0.25">
      <c r="B15" s="88"/>
      <c r="C15" s="88"/>
      <c r="D15" s="88"/>
      <c r="E15" s="88"/>
      <c r="F15" s="88"/>
      <c r="G15" s="88"/>
      <c r="H15" s="1"/>
      <c r="I15" s="1"/>
    </row>
    <row r="16" spans="2:11" ht="19" x14ac:dyDescent="0.25">
      <c r="B16" s="1"/>
      <c r="C16" s="1"/>
      <c r="D16" s="1"/>
      <c r="E16" s="1"/>
      <c r="F16" s="1"/>
      <c r="G16" s="1"/>
      <c r="H16" s="1"/>
      <c r="I16" s="1"/>
    </row>
    <row r="17" spans="2:9" ht="19" x14ac:dyDescent="0.25">
      <c r="B17" s="21" t="s">
        <v>80</v>
      </c>
      <c r="C17" s="96">
        <f>I14</f>
        <v>1.1485833333333334E-2</v>
      </c>
      <c r="D17" s="1"/>
      <c r="E17" s="1"/>
      <c r="F17" s="1"/>
      <c r="G17" s="1"/>
      <c r="I17" s="189">
        <f>I14*0.36</f>
        <v>4.1349000000000004E-3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Cost comparison</vt:lpstr>
      <vt:lpstr>ON-PREM</vt:lpstr>
      <vt:lpstr>Actual used CPU</vt:lpstr>
      <vt:lpstr>AWS web</vt:lpstr>
      <vt:lpstr>AWS compute</vt:lpstr>
      <vt:lpstr>AWS HM</vt:lpstr>
      <vt:lpstr>AWS GPU</vt:lpstr>
      <vt:lpstr>class_compute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2019-05-21T13:03:59Z</dcterms:created>
  <dcterms:modified xsi:type="dcterms:W3CDTF">2020-02-14T02:51:02Z</dcterms:modified>
</cp:coreProperties>
</file>