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openxmlformats-package.core-properties+xml" PartName="/docProps/core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F Lmt." sheetId="1" r:id="rId4"/>
    <sheet state="visible" name="Vishnu Chemicals" sheetId="2" r:id="rId5"/>
  </sheets>
  <definedNames>
    <definedName name="_xlchart.v1.1">'SRF Lmt.'!$N$36:$N$38</definedName>
    <definedName name="_xlchart.v1.0">'SRF Lmt.'!$L$36:$L$38</definedName>
  </definedNames>
  <calcPr/>
  <extLst>
    <ext uri="GoogleSheetsCustomDataVersion1">
      <go:sheetsCustomData xmlns:go="http://customooxmlschemas.google.com/" r:id="rId6" roundtripDataSignature="AMtx7miSXdcLXczucWm6y0ILxN3PQ0Zm6g=="/>
    </ext>
  </extLst>
</workbook>
</file>

<file path=xl/sharedStrings.xml><?xml version="1.0" encoding="utf-8"?>
<sst xmlns="http://schemas.openxmlformats.org/spreadsheetml/2006/main" count="104" uniqueCount="48">
  <si>
    <t>SRF Limited</t>
  </si>
  <si>
    <t>DCF Model</t>
  </si>
  <si>
    <t>Assumptions</t>
  </si>
  <si>
    <t>Tax Rate</t>
  </si>
  <si>
    <t>Discount Rate</t>
  </si>
  <si>
    <t>Perpetural Growth Rate</t>
  </si>
  <si>
    <t>EV/EBITDA Mulltiple</t>
  </si>
  <si>
    <t>Transaction Date</t>
  </si>
  <si>
    <t>Fiscal Year End</t>
  </si>
  <si>
    <t>Current Price</t>
  </si>
  <si>
    <t>Shares Outstanding</t>
  </si>
  <si>
    <t>Debt</t>
  </si>
  <si>
    <t>Cash</t>
  </si>
  <si>
    <t>Capex</t>
  </si>
  <si>
    <t>Discounted Cash Flow</t>
  </si>
  <si>
    <t>Entry</t>
  </si>
  <si>
    <t>Exit</t>
  </si>
  <si>
    <t>Terminal Value</t>
  </si>
  <si>
    <t>Date</t>
  </si>
  <si>
    <t>Perpetural Growth</t>
  </si>
  <si>
    <t>Time Periods</t>
  </si>
  <si>
    <t>EV/EBITDA</t>
  </si>
  <si>
    <t>Year Fraction</t>
  </si>
  <si>
    <t>Average</t>
  </si>
  <si>
    <t>EBIT</t>
  </si>
  <si>
    <t>Less: Cash Taxes</t>
  </si>
  <si>
    <t>Plus: D&amp;A</t>
  </si>
  <si>
    <t>Less: Capex</t>
  </si>
  <si>
    <t>Less: Changes in NWC</t>
  </si>
  <si>
    <t>Unlevered FCF</t>
  </si>
  <si>
    <t>(Entry)/Exit</t>
  </si>
  <si>
    <t>Transaction CF</t>
  </si>
  <si>
    <t>Intrinsic Value</t>
  </si>
  <si>
    <t>Market Value</t>
  </si>
  <si>
    <t>Rate of Return</t>
  </si>
  <si>
    <t>Enterprise Value</t>
  </si>
  <si>
    <t>Market Cap</t>
  </si>
  <si>
    <t>Target Price Upside</t>
  </si>
  <si>
    <t>Plus: Cash</t>
  </si>
  <si>
    <t>Plus: Debt</t>
  </si>
  <si>
    <t>Internal Rate of Return (IRR)</t>
  </si>
  <si>
    <t>Less: Debt</t>
  </si>
  <si>
    <t>Less: Cash</t>
  </si>
  <si>
    <t>Equity Value</t>
  </si>
  <si>
    <t>Market Value vs Intrinsic Value</t>
  </si>
  <si>
    <t>Equity Value/Share</t>
  </si>
  <si>
    <t>Upside</t>
  </si>
  <si>
    <t>Vishnu Chemicals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</si>
</sst>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(#,##0\)_-;_-* &quot;-&quot;_-;_-@"/>
    <numFmt numFmtId="165" formatCode="0.0\x"/>
    <numFmt numFmtId="166" formatCode="_-* #,##0.00_-;\-* #,##0.00_-;_-* &quot;-&quot;??_-;_-@"/>
    <numFmt numFmtId="167" formatCode="_-* #,##0_-;\-* #,##0_-;_-* &quot;-&quot;??_-;_-@"/>
    <numFmt numFmtId="168" formatCode="_(* #,##0_);_(* \(#,##0\);_(* &quot;-&quot;??_);_(@_)"/>
    <numFmt numFmtId="169" formatCode="_-* #,##0.00_-;\(#,##0.00\)_-;_-* &quot;-&quot;_-;_-@"/>
  </numFmts>
  <fonts count="16">
    <font>
      <sz val="11.0"/>
      <color theme="1"/>
      <name val="Calibri"/>
      <scheme val="minor"/>
    </font>
    <font>
      <sz val="8.0"/>
      <color rgb="FFFFFFFF"/>
      <name val="Open Sans"/>
    </font>
    <font>
      <sz val="12.0"/>
      <color theme="1"/>
      <name val="Open Sans"/>
    </font>
    <font>
      <sz val="8.0"/>
      <color theme="0"/>
      <name val="Open Sans"/>
    </font>
    <font>
      <sz val="12.0"/>
      <color theme="1"/>
      <name val="Arial Narrow"/>
    </font>
    <font>
      <b/>
      <sz val="10.0"/>
      <color rgb="FFFFFFFF"/>
      <name val="Open Sans"/>
    </font>
    <font>
      <b/>
      <sz val="11.0"/>
      <color theme="0"/>
      <name val="Open Sans"/>
    </font>
    <font>
      <b/>
      <sz val="10.0"/>
      <color theme="0"/>
      <name val="Open Sans"/>
    </font>
    <font>
      <sz val="10.0"/>
      <color theme="1"/>
      <name val="Open Sans"/>
    </font>
    <font>
      <b/>
      <sz val="10.0"/>
      <color theme="1"/>
      <name val="Open Sans"/>
    </font>
    <font>
      <sz val="10.0"/>
      <color rgb="FF0000FF"/>
      <name val="Open Sans"/>
    </font>
    <font>
      <sz val="11.0"/>
      <color rgb="FF0000FF"/>
      <name val="Open Sans"/>
    </font>
    <font>
      <i/>
      <sz val="10.0"/>
      <color theme="1"/>
      <name val="Open Sans"/>
    </font>
    <font>
      <i/>
      <sz val="10.0"/>
      <color rgb="FF0000FF"/>
      <name val="Open Sans"/>
    </font>
    <font>
      <color rgb="FF000000"/>
      <name val="Open Sans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32E57"/>
        <bgColor rgb="FF132E5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2" numFmtId="164" xfId="0" applyBorder="1" applyFont="1" applyNumberFormat="1"/>
    <xf borderId="1" fillId="2" fontId="2" numFmtId="164" xfId="0" applyAlignment="1" applyBorder="1" applyFont="1" applyNumberFormat="1">
      <alignment horizontal="center"/>
    </xf>
    <xf borderId="1" fillId="2" fontId="3" numFmtId="164" xfId="0" applyBorder="1" applyFont="1" applyNumberFormat="1"/>
    <xf borderId="0" fillId="0" fontId="4" numFmtId="164" xfId="0" applyFont="1" applyNumberFormat="1"/>
    <xf borderId="1" fillId="2" fontId="5" numFmtId="0" xfId="0" applyAlignment="1" applyBorder="1" applyFont="1">
      <alignment vertical="center"/>
    </xf>
    <xf borderId="1" fillId="2" fontId="6" numFmtId="0" xfId="0" applyBorder="1" applyFont="1"/>
    <xf borderId="1" fillId="2" fontId="7" numFmtId="0" xfId="0" applyAlignment="1" applyBorder="1" applyFont="1">
      <alignment vertical="center"/>
    </xf>
    <xf borderId="0" fillId="0" fontId="8" numFmtId="164" xfId="0" applyFont="1" applyNumberFormat="1"/>
    <xf borderId="0" fillId="0" fontId="9" numFmtId="164" xfId="0" applyFont="1" applyNumberFormat="1"/>
    <xf borderId="0" fillId="0" fontId="8" numFmtId="164" xfId="0" applyAlignment="1" applyFont="1" applyNumberFormat="1">
      <alignment horizontal="center"/>
    </xf>
    <xf borderId="0" fillId="0" fontId="10" numFmtId="164" xfId="0" applyFont="1" applyNumberFormat="1"/>
    <xf borderId="1" fillId="3" fontId="9" numFmtId="164" xfId="0" applyBorder="1" applyFill="1" applyFont="1" applyNumberFormat="1"/>
    <xf borderId="1" fillId="3" fontId="10" numFmtId="164" xfId="0" applyBorder="1" applyFont="1" applyNumberFormat="1"/>
    <xf borderId="0" fillId="0" fontId="10" numFmtId="9" xfId="0" applyAlignment="1" applyFont="1" applyNumberFormat="1">
      <alignment horizontal="right" readingOrder="0"/>
    </xf>
    <xf borderId="0" fillId="0" fontId="10" numFmtId="9" xfId="0" applyAlignment="1" applyFont="1" applyNumberFormat="1">
      <alignment horizontal="right"/>
    </xf>
    <xf borderId="0" fillId="0" fontId="10" numFmtId="165" xfId="0" applyAlignment="1" applyFont="1" applyNumberFormat="1">
      <alignment horizontal="right"/>
    </xf>
    <xf borderId="0" fillId="0" fontId="10" numFmtId="14" xfId="0" applyFont="1" applyNumberFormat="1"/>
    <xf borderId="0" fillId="4" fontId="11" numFmtId="166" xfId="0" applyAlignment="1" applyFill="1" applyFont="1" applyNumberFormat="1">
      <alignment horizontal="left" shrinkToFit="0" wrapText="0"/>
    </xf>
    <xf borderId="0" fillId="0" fontId="10" numFmtId="167" xfId="0" applyAlignment="1" applyFont="1" applyNumberFormat="1">
      <alignment horizontal="right"/>
    </xf>
    <xf borderId="1" fillId="3" fontId="8" numFmtId="164" xfId="0" applyBorder="1" applyFont="1" applyNumberFormat="1"/>
    <xf borderId="1" fillId="3" fontId="9" numFmtId="164" xfId="0" applyAlignment="1" applyBorder="1" applyFont="1" applyNumberFormat="1">
      <alignment horizontal="right"/>
    </xf>
    <xf borderId="1" fillId="3" fontId="9" numFmtId="0" xfId="0" applyBorder="1" applyFont="1"/>
    <xf borderId="0" fillId="0" fontId="12" numFmtId="14" xfId="0" applyFont="1" applyNumberFormat="1"/>
    <xf borderId="0" fillId="0" fontId="12" numFmtId="164" xfId="0" applyFont="1" applyNumberFormat="1"/>
    <xf borderId="0" fillId="0" fontId="13" numFmtId="1" xfId="0" applyFont="1" applyNumberFormat="1"/>
    <xf borderId="0" fillId="0" fontId="12" numFmtId="1" xfId="0" applyFont="1" applyNumberFormat="1"/>
    <xf borderId="0" fillId="0" fontId="8" numFmtId="168" xfId="0" applyFont="1" applyNumberFormat="1"/>
    <xf borderId="0" fillId="0" fontId="12" numFmtId="166" xfId="0" applyFont="1" applyNumberFormat="1"/>
    <xf borderId="2" fillId="0" fontId="8" numFmtId="164" xfId="0" applyBorder="1" applyFont="1" applyNumberFormat="1"/>
    <xf borderId="0" fillId="0" fontId="10" numFmtId="168" xfId="0" applyFont="1" applyNumberFormat="1"/>
    <xf borderId="0" fillId="4" fontId="14" numFmtId="164" xfId="0" applyAlignment="1" applyFont="1" applyNumberFormat="1">
      <alignment horizontal="right"/>
    </xf>
    <xf borderId="0" fillId="0" fontId="8" numFmtId="9" xfId="0" applyFont="1" applyNumberFormat="1"/>
    <xf borderId="0" fillId="0" fontId="8" numFmtId="169" xfId="0" applyFont="1" applyNumberFormat="1"/>
    <xf borderId="0" fillId="0" fontId="15" numFmtId="0" xfId="0" applyFont="1"/>
    <xf borderId="0" fillId="0" fontId="4" numFmtId="164" xfId="0" applyAlignment="1" applyFont="1" applyNumberFormat="1">
      <alignment horizontal="center"/>
    </xf>
    <xf borderId="1" fillId="2" fontId="1" numFmtId="164" xfId="0" applyAlignment="1" applyBorder="1" applyFont="1" applyNumberFormat="1">
      <alignment readingOrder="0"/>
    </xf>
    <xf borderId="0" fillId="0" fontId="10" numFmtId="165" xfId="0" applyAlignment="1" applyFont="1" applyNumberFormat="1">
      <alignment horizontal="right" readingOrder="0"/>
    </xf>
    <xf borderId="0" fillId="4" fontId="11" numFmtId="166" xfId="0" applyAlignment="1" applyFont="1" applyNumberFormat="1">
      <alignment horizontal="left" readingOrder="0" shrinkToFit="0" wrapText="0"/>
    </xf>
    <xf borderId="0" fillId="0" fontId="10" numFmtId="167" xfId="0" applyAlignment="1" applyFont="1" applyNumberFormat="1">
      <alignment horizontal="right" readingOrder="0"/>
    </xf>
    <xf borderId="0" fillId="0" fontId="10" numFmtId="164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4" fontId="14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757575"/>
                </a:solidFill>
                <a:latin typeface="Open Sans"/>
              </a:defRPr>
            </a:pPr>
            <a:r>
              <a:rPr b="0" i="0" sz="1200">
                <a:solidFill>
                  <a:srgbClr val="757575"/>
                </a:solidFill>
                <a:latin typeface="Open Sans"/>
              </a:rPr>
              <a:t>Cash Flow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&quot;$&quot;#,##0" sourceLinked="0"/>
            <c:txPr>
              <a:bodyPr/>
              <a:lstStyle/>
              <a:p>
                <a:pPr lvl="0">
                  <a:defRPr b="0" i="0" sz="800">
                    <a:latin typeface="Open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'SRF Lmt.'!$E$18:$I$18</c:f>
            </c:strRef>
          </c:cat>
          <c:val>
            <c:numRef>
              <c:f>'SRF Lmt.'!$E$28:$I$28</c:f>
              <c:numCache/>
            </c:numRef>
          </c:val>
        </c:ser>
        <c:axId val="1371508047"/>
        <c:axId val="1792744493"/>
      </c:barChart>
      <c:catAx>
        <c:axId val="137150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yyyy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Open Sans"/>
              </a:defRPr>
            </a:pPr>
          </a:p>
        </c:txPr>
        <c:crossAx val="1792744493"/>
      </c:catAx>
      <c:valAx>
        <c:axId val="17927444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Open Sans"/>
              </a:defRPr>
            </a:pPr>
          </a:p>
        </c:txPr>
        <c:crossAx val="1371508047"/>
      </c:valAx>
    </c:plotArea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'SRF Lmt.'!$N$36:$N$38</cx:f>
      </cx:numDim>
    </cx:data>
  </cx:chartData>
  <cx:chart>
    <cx:plotArea>
      <cx:plotAreaRegion>
        <cx:series layoutId="waterfall" uniqueId="{BEE6C054-28B7-4820-BCD9-21C43E7DE819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  <cx:spPr>
    <a:solidFill>
      <a:srgbClr val="FFFFFF"/>
    </a:solidFill>
  </cx:spPr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3</xdr:row>
      <xdr:rowOff>28575</xdr:rowOff>
    </xdr:from>
    <xdr:ext cx="3905250" cy="2114550"/>
    <xdr:graphicFrame>
      <xdr:nvGraphicFramePr>
        <xdr:cNvPr id="14098639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247650</xdr:colOff>
      <xdr:row>3</xdr:row>
      <xdr:rowOff>47625</xdr:rowOff>
    </xdr:from>
    <xdr:ext cx="3038475" cy="2162175"/>
    <mc:AlternateContent>
      <mc:Choice Requires="cx1">
        <xdr:graphicFrame>
          <xdr:nvGraphicFramePr>
            <xdr:cNvPr id="339805422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14</xdr:col>
      <xdr:colOff>95250</xdr:colOff>
      <xdr:row>48</xdr:row>
      <xdr:rowOff>114300</xdr:rowOff>
    </xdr:from>
    <xdr:ext cx="200025" cy="20002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E6E7E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12.57"/>
    <col customWidth="1" min="3" max="3" width="12.43"/>
    <col customWidth="1" min="4" max="4" width="11.43"/>
    <col customWidth="1" min="5" max="9" width="11.57"/>
    <col customWidth="1" min="10" max="14" width="12.57"/>
    <col customWidth="1" min="15" max="26" width="9.14"/>
  </cols>
  <sheetData>
    <row r="1">
      <c r="A1" s="1" t="s">
        <v>0</v>
      </c>
      <c r="B1" s="2"/>
      <c r="C1" s="2"/>
      <c r="D1" s="3"/>
      <c r="E1" s="3"/>
      <c r="F1" s="3"/>
      <c r="G1" s="3"/>
      <c r="H1" s="4"/>
      <c r="I1" s="2"/>
      <c r="J1" s="2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/>
      <c r="B2" s="6" t="s">
        <v>1</v>
      </c>
      <c r="C2" s="7"/>
      <c r="D2" s="7"/>
      <c r="E2" s="7"/>
      <c r="F2" s="3"/>
      <c r="G2" s="3"/>
      <c r="H2" s="2"/>
      <c r="I2" s="8"/>
      <c r="J2" s="7"/>
      <c r="K2" s="7"/>
      <c r="L2" s="7"/>
      <c r="M2" s="3"/>
      <c r="N2" s="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/>
      <c r="C3" s="9"/>
      <c r="D3" s="11"/>
      <c r="E3" s="12"/>
      <c r="F3" s="12"/>
      <c r="G3" s="12"/>
      <c r="H3" s="12"/>
      <c r="I3" s="12"/>
      <c r="J3" s="9"/>
      <c r="K3" s="9"/>
      <c r="L3" s="9"/>
      <c r="M3" s="9"/>
      <c r="N3" s="9"/>
      <c r="O3" s="9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/>
      <c r="B4" s="13" t="s">
        <v>2</v>
      </c>
      <c r="C4" s="14"/>
      <c r="D4" s="14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/>
      <c r="B5" s="9" t="s">
        <v>3</v>
      </c>
      <c r="C5" s="12"/>
      <c r="D5" s="15">
        <v>0.15</v>
      </c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9" t="s">
        <v>4</v>
      </c>
      <c r="C6" s="9"/>
      <c r="D6" s="16">
        <v>0.06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 t="s">
        <v>5</v>
      </c>
      <c r="C7" s="9"/>
      <c r="D7" s="15">
        <v>0.05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9" t="s">
        <v>6</v>
      </c>
      <c r="C8" s="9"/>
      <c r="D8" s="17">
        <v>34.31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 t="s">
        <v>7</v>
      </c>
      <c r="C9" s="9"/>
      <c r="D9" s="18">
        <v>43100.0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 t="s">
        <v>8</v>
      </c>
      <c r="C10" s="9"/>
      <c r="D10" s="18">
        <v>43921.0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/>
      <c r="B11" s="9" t="s">
        <v>9</v>
      </c>
      <c r="C11" s="9"/>
      <c r="D11" s="19">
        <v>2621.65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/>
      <c r="B12" s="9" t="s">
        <v>10</v>
      </c>
      <c r="C12" s="9"/>
      <c r="D12" s="20">
        <v>2.964E8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9" t="s">
        <v>11</v>
      </c>
      <c r="C13" s="9"/>
      <c r="D13" s="20">
        <v>2.57508E10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/>
      <c r="B14" s="9" t="s">
        <v>12</v>
      </c>
      <c r="C14" s="9"/>
      <c r="D14" s="20">
        <v>2.3043E9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9" t="s">
        <v>13</v>
      </c>
      <c r="C15" s="9"/>
      <c r="D15" s="12">
        <v>2.0E10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/>
      <c r="B16" s="9"/>
      <c r="C16" s="9"/>
      <c r="D16" s="18"/>
      <c r="E16" s="5"/>
      <c r="F16" s="5"/>
      <c r="G16" s="5"/>
      <c r="H16" s="5"/>
      <c r="I16" s="5"/>
      <c r="J16" s="9"/>
      <c r="K16" s="9"/>
      <c r="L16" s="9"/>
      <c r="M16" s="9"/>
      <c r="N16" s="9"/>
      <c r="O16" s="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/>
      <c r="B17" s="13" t="s">
        <v>14</v>
      </c>
      <c r="C17" s="21"/>
      <c r="D17" s="22" t="s">
        <v>15</v>
      </c>
      <c r="E17" s="23">
        <f t="shared" ref="E17:I17" si="1">YEAR(E18)</f>
        <v>2020</v>
      </c>
      <c r="F17" s="23">
        <f t="shared" si="1"/>
        <v>2021</v>
      </c>
      <c r="G17" s="23">
        <f t="shared" si="1"/>
        <v>2022</v>
      </c>
      <c r="H17" s="23">
        <f t="shared" si="1"/>
        <v>2023</v>
      </c>
      <c r="I17" s="23">
        <f t="shared" si="1"/>
        <v>2024</v>
      </c>
      <c r="J17" s="22" t="s">
        <v>16</v>
      </c>
      <c r="K17" s="9"/>
      <c r="L17" s="13" t="s">
        <v>17</v>
      </c>
      <c r="M17" s="21"/>
      <c r="N17" s="21"/>
      <c r="O17" s="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/>
      <c r="B18" s="9" t="s">
        <v>18</v>
      </c>
      <c r="C18" s="9"/>
      <c r="D18" s="24">
        <f>D9</f>
        <v>43100</v>
      </c>
      <c r="E18" s="24">
        <f t="shared" ref="E18:I18" si="2">DATE(YEAR($D$10)+E19,6,30)</f>
        <v>44012</v>
      </c>
      <c r="F18" s="24">
        <f t="shared" si="2"/>
        <v>44377</v>
      </c>
      <c r="G18" s="24">
        <f t="shared" si="2"/>
        <v>44742</v>
      </c>
      <c r="H18" s="24">
        <f t="shared" si="2"/>
        <v>45107</v>
      </c>
      <c r="I18" s="24">
        <f t="shared" si="2"/>
        <v>45473</v>
      </c>
      <c r="J18" s="24">
        <f>I18</f>
        <v>45473</v>
      </c>
      <c r="K18" s="9"/>
      <c r="L18" s="9" t="s">
        <v>19</v>
      </c>
      <c r="M18" s="9"/>
      <c r="N18" s="9">
        <f>(I26*(1+D7))/(D6-D7)</f>
        <v>1159830000000</v>
      </c>
      <c r="O18" s="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/>
      <c r="B19" s="25" t="s">
        <v>20</v>
      </c>
      <c r="C19" s="25"/>
      <c r="D19" s="24"/>
      <c r="E19" s="26">
        <v>0.0</v>
      </c>
      <c r="F19" s="27">
        <f t="shared" ref="F19:I19" si="3">E19+1</f>
        <v>1</v>
      </c>
      <c r="G19" s="27">
        <f t="shared" si="3"/>
        <v>2</v>
      </c>
      <c r="H19" s="27">
        <f t="shared" si="3"/>
        <v>3</v>
      </c>
      <c r="I19" s="27">
        <f t="shared" si="3"/>
        <v>4</v>
      </c>
      <c r="J19" s="24"/>
      <c r="K19" s="9"/>
      <c r="L19" s="9" t="s">
        <v>21</v>
      </c>
      <c r="M19" s="9"/>
      <c r="N19" s="28">
        <f>D8*(I21+I23)</f>
        <v>1281135400000</v>
      </c>
      <c r="O19" s="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25" t="s">
        <v>22</v>
      </c>
      <c r="C20" s="9"/>
      <c r="D20" s="9"/>
      <c r="E20" s="29">
        <f t="shared" ref="E20:I20" si="4">YEARFRAC(D18,E18)</f>
        <v>2.5</v>
      </c>
      <c r="F20" s="29">
        <f t="shared" si="4"/>
        <v>1</v>
      </c>
      <c r="G20" s="29">
        <f t="shared" si="4"/>
        <v>1</v>
      </c>
      <c r="H20" s="29">
        <f t="shared" si="4"/>
        <v>1</v>
      </c>
      <c r="I20" s="29">
        <f t="shared" si="4"/>
        <v>1</v>
      </c>
      <c r="J20" s="9"/>
      <c r="K20" s="9"/>
      <c r="L20" s="9" t="s">
        <v>23</v>
      </c>
      <c r="M20" s="9"/>
      <c r="N20" s="30">
        <f>AVERAGE(N18:N19)</f>
        <v>1220482700000</v>
      </c>
      <c r="O20" s="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/>
      <c r="B21" s="9" t="s">
        <v>24</v>
      </c>
      <c r="C21" s="9"/>
      <c r="D21" s="9"/>
      <c r="E21" s="12">
        <v>1.066E10</v>
      </c>
      <c r="F21" s="12">
        <v>1.692E10</v>
      </c>
      <c r="G21" s="12">
        <v>2.232E10</v>
      </c>
      <c r="H21" s="12">
        <v>2.647E10</v>
      </c>
      <c r="I21" s="12">
        <v>3.056E10</v>
      </c>
      <c r="J21" s="9"/>
      <c r="K21" s="9"/>
      <c r="L21" s="9"/>
      <c r="M21" s="9"/>
      <c r="N21" s="9"/>
      <c r="O21" s="9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/>
      <c r="B22" s="9" t="s">
        <v>25</v>
      </c>
      <c r="C22" s="9"/>
      <c r="D22" s="9"/>
      <c r="E22" s="28">
        <f t="shared" ref="E22:I22" si="5">E21*$D$5</f>
        <v>1599000000</v>
      </c>
      <c r="F22" s="28">
        <f t="shared" si="5"/>
        <v>2538000000</v>
      </c>
      <c r="G22" s="28">
        <f t="shared" si="5"/>
        <v>3348000000</v>
      </c>
      <c r="H22" s="28">
        <f t="shared" si="5"/>
        <v>3970500000</v>
      </c>
      <c r="I22" s="28">
        <f t="shared" si="5"/>
        <v>4584000000</v>
      </c>
      <c r="J22" s="9"/>
      <c r="K22" s="9"/>
      <c r="L22" s="9"/>
      <c r="M22" s="9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/>
      <c r="B23" s="9" t="s">
        <v>26</v>
      </c>
      <c r="C23" s="9"/>
      <c r="D23" s="9"/>
      <c r="E23" s="31">
        <v>3.89E9</v>
      </c>
      <c r="F23" s="31">
        <v>4.53E9</v>
      </c>
      <c r="G23" s="31">
        <v>5.11E9</v>
      </c>
      <c r="H23" s="31">
        <v>5.98E9</v>
      </c>
      <c r="I23" s="31">
        <v>6.78E9</v>
      </c>
      <c r="J23" s="9"/>
      <c r="K23" s="9"/>
      <c r="L23" s="9"/>
      <c r="M23" s="9"/>
      <c r="N23" s="9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/>
      <c r="B24" s="9" t="s">
        <v>27</v>
      </c>
      <c r="C24" s="9"/>
      <c r="D24" s="9"/>
      <c r="E24" s="9">
        <v>1.373E10</v>
      </c>
      <c r="F24" s="9">
        <v>1.205E10</v>
      </c>
      <c r="G24" s="9">
        <f>$D$15</f>
        <v>20000000000</v>
      </c>
      <c r="H24" s="9">
        <v>1.7E10</v>
      </c>
      <c r="I24" s="32">
        <v>1.7E10</v>
      </c>
      <c r="J24" s="9"/>
      <c r="K24" s="9"/>
      <c r="L24" s="9"/>
      <c r="M24" s="9"/>
      <c r="N24" s="9"/>
      <c r="O24" s="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  <c r="B25" s="9" t="s">
        <v>28</v>
      </c>
      <c r="C25" s="9"/>
      <c r="D25" s="9"/>
      <c r="E25" s="12">
        <v>4.71E9</v>
      </c>
      <c r="F25" s="12">
        <v>4.71E9</v>
      </c>
      <c r="G25" s="12">
        <v>4.71E9</v>
      </c>
      <c r="H25" s="12">
        <v>4.71E9</v>
      </c>
      <c r="I25" s="12">
        <v>4.71E9</v>
      </c>
      <c r="J25" s="9"/>
      <c r="K25" s="9"/>
      <c r="L25" s="9"/>
      <c r="M25" s="9"/>
      <c r="N25" s="9"/>
      <c r="O25" s="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/>
      <c r="B26" s="9" t="s">
        <v>29</v>
      </c>
      <c r="C26" s="9"/>
      <c r="D26" s="9"/>
      <c r="E26" s="30">
        <f t="shared" ref="E26:I26" si="6">E21-E22+E23-E24-E25</f>
        <v>-5489000000</v>
      </c>
      <c r="F26" s="30">
        <f t="shared" si="6"/>
        <v>2152000000</v>
      </c>
      <c r="G26" s="30">
        <f t="shared" si="6"/>
        <v>-628000000</v>
      </c>
      <c r="H26" s="30">
        <f t="shared" si="6"/>
        <v>6769500000</v>
      </c>
      <c r="I26" s="30">
        <f t="shared" si="6"/>
        <v>11046000000</v>
      </c>
      <c r="J26" s="9"/>
      <c r="K26" s="9"/>
      <c r="L26" s="9"/>
      <c r="M26" s="9"/>
      <c r="N26" s="9"/>
      <c r="O26" s="9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9" t="s">
        <v>30</v>
      </c>
      <c r="C27" s="9"/>
      <c r="D27" s="9">
        <f>-I35</f>
        <v>-800503560000</v>
      </c>
      <c r="E27" s="9"/>
      <c r="F27" s="9"/>
      <c r="G27" s="9"/>
      <c r="H27" s="9"/>
      <c r="I27" s="9"/>
      <c r="J27" s="9">
        <f>N20</f>
        <v>1220482700000</v>
      </c>
      <c r="K27" s="9"/>
      <c r="L27" s="9"/>
      <c r="M27" s="9"/>
      <c r="N27" s="9"/>
      <c r="O27" s="9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/>
      <c r="B28" s="9" t="s">
        <v>31</v>
      </c>
      <c r="C28" s="9"/>
      <c r="D28" s="30">
        <v>0.0</v>
      </c>
      <c r="E28" s="30">
        <f t="shared" ref="E28:I28" si="7">(E27+E26)*E20</f>
        <v>-13722500000</v>
      </c>
      <c r="F28" s="30">
        <f t="shared" si="7"/>
        <v>2152000000</v>
      </c>
      <c r="G28" s="30">
        <f t="shared" si="7"/>
        <v>-628000000</v>
      </c>
      <c r="H28" s="30">
        <f t="shared" si="7"/>
        <v>6769500000</v>
      </c>
      <c r="I28" s="30">
        <f t="shared" si="7"/>
        <v>11046000000</v>
      </c>
      <c r="J28" s="30">
        <f>J27+J26</f>
        <v>1220482700000</v>
      </c>
      <c r="K28" s="9"/>
      <c r="L28" s="9"/>
      <c r="M28" s="9"/>
      <c r="N28" s="9"/>
      <c r="O28" s="9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9" t="s">
        <v>31</v>
      </c>
      <c r="C29" s="9"/>
      <c r="D29" s="9">
        <f>D27+D26</f>
        <v>-800503560000</v>
      </c>
      <c r="E29" s="9">
        <f t="shared" ref="E29:I29" si="8">(E27+E26)*E20</f>
        <v>-13722500000</v>
      </c>
      <c r="F29" s="9">
        <f t="shared" si="8"/>
        <v>2152000000</v>
      </c>
      <c r="G29" s="9">
        <f t="shared" si="8"/>
        <v>-628000000</v>
      </c>
      <c r="H29" s="9">
        <f t="shared" si="8"/>
        <v>6769500000</v>
      </c>
      <c r="I29" s="9">
        <f t="shared" si="8"/>
        <v>11046000000</v>
      </c>
      <c r="J29" s="9">
        <f>J27</f>
        <v>1220482700000</v>
      </c>
      <c r="K29" s="9"/>
      <c r="L29" s="9"/>
      <c r="M29" s="9"/>
      <c r="N29" s="9"/>
      <c r="O29" s="9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/>
      <c r="B30" s="9"/>
      <c r="C30" s="9"/>
      <c r="D30" s="11"/>
      <c r="E30" s="9"/>
      <c r="F30" s="5"/>
      <c r="G30" s="9"/>
      <c r="H30" s="9"/>
      <c r="I30" s="9"/>
      <c r="J30" s="9"/>
      <c r="K30" s="5"/>
      <c r="L30" s="9"/>
      <c r="M30" s="9"/>
      <c r="N30" s="9"/>
      <c r="O30" s="9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/>
      <c r="B31" s="13" t="s">
        <v>32</v>
      </c>
      <c r="C31" s="21"/>
      <c r="D31" s="21"/>
      <c r="E31" s="9"/>
      <c r="F31" s="5"/>
      <c r="G31" s="13" t="s">
        <v>33</v>
      </c>
      <c r="H31" s="21"/>
      <c r="I31" s="21"/>
      <c r="J31" s="9"/>
      <c r="K31" s="5"/>
      <c r="L31" s="13" t="s">
        <v>34</v>
      </c>
      <c r="M31" s="21"/>
      <c r="N31" s="21"/>
      <c r="O31" s="9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/>
      <c r="B32" s="9" t="s">
        <v>35</v>
      </c>
      <c r="C32" s="9"/>
      <c r="D32" s="9">
        <f>XNPV(D6,D28:J28,D18:J18)</f>
        <v>837505211253</v>
      </c>
      <c r="E32" s="9"/>
      <c r="F32" s="5"/>
      <c r="G32" s="9" t="s">
        <v>36</v>
      </c>
      <c r="H32" s="9"/>
      <c r="I32" s="9">
        <f>D12*D11</f>
        <v>777057060000</v>
      </c>
      <c r="J32" s="9"/>
      <c r="K32" s="5"/>
      <c r="L32" s="9" t="s">
        <v>37</v>
      </c>
      <c r="M32" s="9"/>
      <c r="N32" s="33">
        <f>D37/I37-1</f>
        <v>0.04761767592</v>
      </c>
      <c r="O32" s="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9"/>
      <c r="B33" s="9" t="s">
        <v>38</v>
      </c>
      <c r="C33" s="9"/>
      <c r="D33" s="9">
        <f>+D14</f>
        <v>2304300000</v>
      </c>
      <c r="E33" s="9"/>
      <c r="F33" s="5"/>
      <c r="G33" s="9" t="s">
        <v>39</v>
      </c>
      <c r="H33" s="9"/>
      <c r="I33" s="9">
        <f>D13</f>
        <v>25750800000</v>
      </c>
      <c r="J33" s="9"/>
      <c r="K33" s="5"/>
      <c r="L33" s="9" t="s">
        <v>40</v>
      </c>
      <c r="M33" s="9"/>
      <c r="N33" s="33">
        <f>XIRR(D29:J29,D18:J18)</f>
        <v>0.06734041745</v>
      </c>
      <c r="O33" s="9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9" t="s">
        <v>41</v>
      </c>
      <c r="C34" s="9"/>
      <c r="D34" s="9">
        <f>+D13</f>
        <v>25750800000</v>
      </c>
      <c r="E34" s="9"/>
      <c r="F34" s="5"/>
      <c r="G34" s="9" t="s">
        <v>42</v>
      </c>
      <c r="H34" s="9"/>
      <c r="I34" s="9">
        <f>+D14</f>
        <v>2304300000</v>
      </c>
      <c r="J34" s="9"/>
      <c r="K34" s="5"/>
      <c r="L34" s="9"/>
      <c r="M34" s="9"/>
      <c r="N34" s="9"/>
      <c r="O34" s="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9"/>
      <c r="B35" s="9" t="s">
        <v>43</v>
      </c>
      <c r="C35" s="9"/>
      <c r="D35" s="30">
        <f>D32+D33-D34</f>
        <v>814058711253</v>
      </c>
      <c r="E35" s="9"/>
      <c r="F35" s="5"/>
      <c r="G35" s="9" t="s">
        <v>35</v>
      </c>
      <c r="H35" s="9"/>
      <c r="I35" s="30">
        <f>I32+I33-I34</f>
        <v>800503560000</v>
      </c>
      <c r="J35" s="9"/>
      <c r="K35" s="5"/>
      <c r="L35" s="13" t="s">
        <v>44</v>
      </c>
      <c r="M35" s="21"/>
      <c r="N35" s="21"/>
      <c r="O35" s="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/>
      <c r="B36" s="9"/>
      <c r="C36" s="9"/>
      <c r="D36" s="9"/>
      <c r="E36" s="9"/>
      <c r="F36" s="5"/>
      <c r="G36" s="9"/>
      <c r="H36" s="9"/>
      <c r="I36" s="34"/>
      <c r="J36" s="9"/>
      <c r="K36" s="5"/>
      <c r="L36" s="9" t="s">
        <v>33</v>
      </c>
      <c r="M36" s="9"/>
      <c r="N36" s="34">
        <f>I37</f>
        <v>2621.65</v>
      </c>
      <c r="O36" s="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9"/>
      <c r="B37" s="9" t="s">
        <v>45</v>
      </c>
      <c r="C37" s="9"/>
      <c r="D37" s="34">
        <f>D35/D12</f>
        <v>2746.48688</v>
      </c>
      <c r="E37" s="9"/>
      <c r="F37" s="5"/>
      <c r="G37" s="9" t="s">
        <v>45</v>
      </c>
      <c r="H37" s="9"/>
      <c r="I37" s="34">
        <f>D11</f>
        <v>2621.65</v>
      </c>
      <c r="J37" s="9"/>
      <c r="K37" s="5"/>
      <c r="L37" s="9" t="s">
        <v>46</v>
      </c>
      <c r="M37" s="9"/>
      <c r="N37" s="34">
        <f>D37-I37</f>
        <v>124.8368801</v>
      </c>
      <c r="O37" s="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/>
      <c r="B38" s="9"/>
      <c r="C38" s="9"/>
      <c r="D38" s="9"/>
      <c r="E38" s="9"/>
      <c r="F38" s="5"/>
      <c r="G38" s="9"/>
      <c r="H38" s="9"/>
      <c r="I38" s="9"/>
      <c r="J38" s="9"/>
      <c r="K38" s="5"/>
      <c r="L38" s="9" t="s">
        <v>32</v>
      </c>
      <c r="M38" s="9"/>
      <c r="N38" s="34">
        <f>SUM(N36:N37)</f>
        <v>2746.48688</v>
      </c>
      <c r="O38" s="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9"/>
      <c r="B39" s="5"/>
      <c r="C39" s="9"/>
      <c r="D39" s="11"/>
      <c r="E39" s="9"/>
      <c r="F39" s="5"/>
      <c r="G39" s="9"/>
      <c r="H39" s="9"/>
      <c r="I39" s="10"/>
      <c r="J39" s="9"/>
      <c r="K39" s="5"/>
      <c r="L39" s="9"/>
      <c r="M39" s="9"/>
      <c r="N39" s="9"/>
      <c r="O39" s="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9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9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9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9"/>
      <c r="B46" s="9"/>
      <c r="C46" s="9"/>
      <c r="D46" s="11"/>
      <c r="E46" s="9"/>
      <c r="F46" s="9"/>
      <c r="G46" s="9"/>
      <c r="H46" s="9"/>
      <c r="I46" s="5"/>
      <c r="J46" s="5"/>
      <c r="K46" s="5"/>
      <c r="L46" s="5"/>
      <c r="M46" s="5"/>
      <c r="N46" s="35"/>
      <c r="O46" s="9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9"/>
      <c r="B47" s="9"/>
      <c r="C47" s="9"/>
      <c r="D47" s="11"/>
      <c r="E47" s="9"/>
      <c r="F47" s="9"/>
      <c r="G47" s="9"/>
      <c r="H47" s="9"/>
      <c r="I47" s="5"/>
      <c r="J47" s="5"/>
      <c r="K47" s="5"/>
      <c r="L47" s="5"/>
      <c r="M47" s="5"/>
      <c r="N47" s="5"/>
      <c r="O47" s="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9"/>
      <c r="C48" s="9"/>
      <c r="D48" s="11"/>
      <c r="E48" s="9"/>
      <c r="F48" s="9"/>
      <c r="G48" s="9"/>
      <c r="H48" s="9"/>
      <c r="I48" s="5"/>
      <c r="J48" s="5"/>
      <c r="K48" s="5"/>
      <c r="L48" s="5"/>
      <c r="M48" s="9"/>
      <c r="N48" s="5"/>
      <c r="O48" s="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9"/>
      <c r="B49" s="9"/>
      <c r="C49" s="9"/>
      <c r="D49" s="1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9"/>
      <c r="B50" s="9"/>
      <c r="C50" s="9"/>
      <c r="D50" s="1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9"/>
      <c r="B51" s="9"/>
      <c r="C51" s="9"/>
      <c r="D51" s="1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9"/>
      <c r="B52" s="9"/>
      <c r="C52" s="9"/>
      <c r="D52" s="1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9"/>
      <c r="B53" s="9"/>
      <c r="C53" s="9"/>
      <c r="D53" s="1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9"/>
      <c r="B54" s="9"/>
      <c r="C54" s="9"/>
      <c r="D54" s="1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9"/>
      <c r="B55" s="9"/>
      <c r="C55" s="9"/>
      <c r="D55" s="1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9"/>
      <c r="B56" s="9"/>
      <c r="C56" s="9"/>
      <c r="D56" s="1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9"/>
      <c r="B57" s="9"/>
      <c r="C57" s="9"/>
      <c r="D57" s="1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9"/>
      <c r="C58" s="9"/>
      <c r="D58" s="11"/>
      <c r="E58" s="9"/>
      <c r="F58" s="9"/>
      <c r="G58" s="9"/>
      <c r="H58" s="9"/>
      <c r="I58" s="9"/>
      <c r="J58" s="9"/>
      <c r="K58" s="9"/>
      <c r="L58" s="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3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3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3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3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3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3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3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3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3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3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3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3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3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3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3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3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3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3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3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3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3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3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3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3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3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3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3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3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3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3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3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3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3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3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3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3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3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3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3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3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3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3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3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3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3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3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3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3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3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3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3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3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3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3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3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3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3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3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3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3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3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3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3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3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3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3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3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3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3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3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3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3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3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3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3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3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3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3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3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3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3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3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3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3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3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3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3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3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3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3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3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3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3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3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3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3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3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3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3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3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3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3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3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3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3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3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3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3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3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3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3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3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3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3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3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3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3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3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3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3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3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3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3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3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3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3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3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3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3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3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3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3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3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3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3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3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3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3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3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3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3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3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3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3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3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3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3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3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3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3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3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3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3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3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3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3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3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3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3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3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3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3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3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3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3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3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3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3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3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3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3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3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3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3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3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3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3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3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3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3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3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3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3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3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3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3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3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3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3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3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3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3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3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3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3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3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3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3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3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3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3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3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3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3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3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3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3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3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3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3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3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3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3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3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3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3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3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3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3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3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3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3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3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3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3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3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3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3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3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3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3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3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3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3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3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3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3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3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3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3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3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3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3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3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3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3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3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3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3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3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3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3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3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3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3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3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3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3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3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3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3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3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3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3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3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3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3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3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3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3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3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3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3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3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3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3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3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3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3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3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3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3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3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3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3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3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3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3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3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3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3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3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3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3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3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3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3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3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3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3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3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3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3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3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3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3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3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3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3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3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3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3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3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3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3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3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3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3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3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3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3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3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3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3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3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3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3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3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3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3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3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3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3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3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3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3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3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3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3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3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3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3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3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3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3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3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3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3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3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3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3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3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3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3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3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3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3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3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3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3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3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3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3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3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3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3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3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3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3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3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3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3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3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3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3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3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3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3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3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3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3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3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3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3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3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3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3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3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3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3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3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3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3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3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3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3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3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3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3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3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3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3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3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3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3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3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3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3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3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3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3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3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3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3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3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3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3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3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3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3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3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3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3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3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3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3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3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3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3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3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3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3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3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3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3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3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3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3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3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3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3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3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3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3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3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3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3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3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3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3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3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3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3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3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3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3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3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3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3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3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3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3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3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3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3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3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3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3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3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3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3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3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3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3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3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3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3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3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3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3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3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3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3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3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3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3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3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3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3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3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3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3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3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3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3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3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3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3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3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3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3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3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3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3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3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3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3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3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3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3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3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3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3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3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3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3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3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3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3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3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3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3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3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3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3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3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3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3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3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3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3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3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3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3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3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3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3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3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3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3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3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3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3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3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3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3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3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3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3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3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3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3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3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3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3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3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3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3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3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3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3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3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3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3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3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3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3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3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3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3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3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3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3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3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3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3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3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3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3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3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3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3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3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3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3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3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3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3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3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3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3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3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3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3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3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3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3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3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3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3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3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3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3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3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3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3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3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3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3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3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3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3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3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3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3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3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3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3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3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3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3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3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3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3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3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3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3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3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3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3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3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3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3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3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3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3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3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3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3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3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3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3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3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3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3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3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3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3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3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3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3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3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3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3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3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3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3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3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3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3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3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3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3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3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3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3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3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3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3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3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3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3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3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3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3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3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3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3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3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3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3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3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3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3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3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3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3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3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3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3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3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3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3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3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3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3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3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3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3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3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3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3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3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3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3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3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3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3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3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3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3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3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3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3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3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3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3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3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3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3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3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3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3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3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3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3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3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3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3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3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3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3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3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3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3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3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3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3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3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3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3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3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3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3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3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3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3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3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3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3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3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3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3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3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3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3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3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3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3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3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3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3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3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3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3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3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3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3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3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3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3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3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3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3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3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3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3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3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3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3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3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3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3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3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3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3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3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3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3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3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3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3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3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3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3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3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3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3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3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3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3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3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3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3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3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3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3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3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3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3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3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3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3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3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3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3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3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3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3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3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3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3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3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3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3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3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3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3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3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3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3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3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3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3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3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3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3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3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3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3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3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3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3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3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3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3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3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3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3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3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3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3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3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3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3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3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3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3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3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3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3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3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3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3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3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3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3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3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3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3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3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3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3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3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3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3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3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3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3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3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3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3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3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3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3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3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3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3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3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3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3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3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3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3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3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3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3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3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3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3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3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3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3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3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3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3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3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3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3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3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3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3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3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3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3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3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3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3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3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3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3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3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3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3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3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3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3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3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3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3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3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3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3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3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3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3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3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rintOptions/>
  <pageMargins bottom="0.7480314960629921" footer="0.0" header="0.0" left="0.7086614173228347" right="0.7086614173228347" top="0.7480314960629921"/>
  <pageSetup scale="7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2.57"/>
    <col customWidth="1" min="3" max="3" width="12.43"/>
    <col customWidth="1" min="4" max="4" width="11.43"/>
    <col customWidth="1" min="5" max="9" width="11.57"/>
    <col customWidth="1" min="10" max="14" width="12.57"/>
    <col customWidth="1" min="15" max="26" width="9.14"/>
  </cols>
  <sheetData>
    <row r="1">
      <c r="A1" s="37" t="s">
        <v>47</v>
      </c>
      <c r="B1" s="1"/>
      <c r="C1" s="2"/>
      <c r="D1" s="3"/>
      <c r="E1" s="3"/>
      <c r="F1" s="3"/>
      <c r="G1" s="3"/>
      <c r="H1" s="4"/>
      <c r="I1" s="2"/>
      <c r="J1" s="2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/>
      <c r="B2" s="6" t="s">
        <v>1</v>
      </c>
      <c r="C2" s="7"/>
      <c r="D2" s="7"/>
      <c r="E2" s="7"/>
      <c r="F2" s="3"/>
      <c r="G2" s="3"/>
      <c r="H2" s="2"/>
      <c r="I2" s="8"/>
      <c r="J2" s="7"/>
      <c r="K2" s="7"/>
      <c r="L2" s="7"/>
      <c r="M2" s="3"/>
      <c r="N2" s="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/>
      <c r="C3" s="9"/>
      <c r="D3" s="11"/>
      <c r="E3" s="12"/>
      <c r="F3" s="12"/>
      <c r="G3" s="12"/>
      <c r="H3" s="12"/>
      <c r="I3" s="12"/>
      <c r="J3" s="9"/>
      <c r="K3" s="9"/>
      <c r="L3" s="9"/>
      <c r="M3" s="9"/>
      <c r="N3" s="9"/>
      <c r="O3" s="9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/>
      <c r="B4" s="13" t="s">
        <v>2</v>
      </c>
      <c r="C4" s="14"/>
      <c r="D4" s="14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/>
      <c r="B5" s="9" t="s">
        <v>3</v>
      </c>
      <c r="C5" s="12"/>
      <c r="D5" s="15">
        <v>0.2</v>
      </c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9" t="s">
        <v>4</v>
      </c>
      <c r="C6" s="9"/>
      <c r="D6" s="15">
        <v>0.06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 t="s">
        <v>5</v>
      </c>
      <c r="C7" s="9"/>
      <c r="D7" s="15">
        <v>0.03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9" t="s">
        <v>6</v>
      </c>
      <c r="C8" s="9"/>
      <c r="D8" s="38">
        <v>13.72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 t="s">
        <v>7</v>
      </c>
      <c r="C9" s="9"/>
      <c r="D9" s="18">
        <v>43100.0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 t="s">
        <v>8</v>
      </c>
      <c r="C10" s="9"/>
      <c r="D10" s="18">
        <v>43921.0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/>
      <c r="B11" s="9" t="s">
        <v>9</v>
      </c>
      <c r="C11" s="9"/>
      <c r="D11" s="39">
        <v>1635.6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/>
      <c r="B12" s="9" t="s">
        <v>10</v>
      </c>
      <c r="C12" s="9"/>
      <c r="D12" s="40">
        <v>1.19E7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9" t="s">
        <v>11</v>
      </c>
      <c r="C13" s="9"/>
      <c r="D13" s="40">
        <v>3.2947E9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/>
      <c r="B14" s="9" t="s">
        <v>12</v>
      </c>
      <c r="C14" s="9"/>
      <c r="D14" s="40">
        <v>9.48E7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9" t="s">
        <v>13</v>
      </c>
      <c r="C15" s="9"/>
      <c r="D15" s="12">
        <v>2.0E10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/>
      <c r="B16" s="9"/>
      <c r="C16" s="9"/>
      <c r="D16" s="18"/>
      <c r="E16" s="5"/>
      <c r="F16" s="5"/>
      <c r="G16" s="5"/>
      <c r="H16" s="5"/>
      <c r="I16" s="5"/>
      <c r="J16" s="9"/>
      <c r="K16" s="9"/>
      <c r="L16" s="9"/>
      <c r="M16" s="9"/>
      <c r="N16" s="9"/>
      <c r="O16" s="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/>
      <c r="B17" s="13" t="s">
        <v>14</v>
      </c>
      <c r="C17" s="21"/>
      <c r="D17" s="22" t="s">
        <v>15</v>
      </c>
      <c r="E17" s="23">
        <f t="shared" ref="E17:I17" si="1">YEAR(E18)</f>
        <v>2020</v>
      </c>
      <c r="F17" s="23">
        <f t="shared" si="1"/>
        <v>2021</v>
      </c>
      <c r="G17" s="23">
        <f t="shared" si="1"/>
        <v>2022</v>
      </c>
      <c r="H17" s="23">
        <f t="shared" si="1"/>
        <v>2023</v>
      </c>
      <c r="I17" s="23">
        <f t="shared" si="1"/>
        <v>2024</v>
      </c>
      <c r="J17" s="22" t="s">
        <v>16</v>
      </c>
      <c r="K17" s="9"/>
      <c r="L17" s="13" t="s">
        <v>17</v>
      </c>
      <c r="M17" s="21"/>
      <c r="N17" s="21"/>
      <c r="O17" s="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/>
      <c r="B18" s="9" t="s">
        <v>18</v>
      </c>
      <c r="C18" s="9"/>
      <c r="D18" s="24">
        <f>D9</f>
        <v>43100</v>
      </c>
      <c r="E18" s="24">
        <f t="shared" ref="E18:I18" si="2">DATE(YEAR($D$10)+E19,6,30)</f>
        <v>44012</v>
      </c>
      <c r="F18" s="24">
        <f t="shared" si="2"/>
        <v>44377</v>
      </c>
      <c r="G18" s="24">
        <f t="shared" si="2"/>
        <v>44742</v>
      </c>
      <c r="H18" s="24">
        <f t="shared" si="2"/>
        <v>45107</v>
      </c>
      <c r="I18" s="24">
        <f t="shared" si="2"/>
        <v>45473</v>
      </c>
      <c r="J18" s="24">
        <f>I18</f>
        <v>45473</v>
      </c>
      <c r="K18" s="9"/>
      <c r="L18" s="9" t="s">
        <v>19</v>
      </c>
      <c r="M18" s="9"/>
      <c r="N18" s="9">
        <f>(I26*(1+D7))/(D6-D7)</f>
        <v>39140000000</v>
      </c>
      <c r="O18" s="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/>
      <c r="B19" s="25" t="s">
        <v>20</v>
      </c>
      <c r="C19" s="25"/>
      <c r="D19" s="24"/>
      <c r="E19" s="26">
        <v>0.0</v>
      </c>
      <c r="F19" s="27">
        <f t="shared" ref="F19:I19" si="3">E19+1</f>
        <v>1</v>
      </c>
      <c r="G19" s="27">
        <f t="shared" si="3"/>
        <v>2</v>
      </c>
      <c r="H19" s="27">
        <f t="shared" si="3"/>
        <v>3</v>
      </c>
      <c r="I19" s="27">
        <f t="shared" si="3"/>
        <v>4</v>
      </c>
      <c r="J19" s="24"/>
      <c r="K19" s="9"/>
      <c r="L19" s="9" t="s">
        <v>21</v>
      </c>
      <c r="M19" s="9"/>
      <c r="N19" s="28">
        <f>D8*(I21+I23)</f>
        <v>19894000000</v>
      </c>
      <c r="O19" s="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25" t="s">
        <v>22</v>
      </c>
      <c r="C20" s="9"/>
      <c r="D20" s="9"/>
      <c r="E20" s="29">
        <f t="shared" ref="E20:I20" si="4">YEARFRAC(D18,E18)</f>
        <v>2.5</v>
      </c>
      <c r="F20" s="29">
        <f t="shared" si="4"/>
        <v>1</v>
      </c>
      <c r="G20" s="29">
        <f t="shared" si="4"/>
        <v>1</v>
      </c>
      <c r="H20" s="29">
        <f t="shared" si="4"/>
        <v>1</v>
      </c>
      <c r="I20" s="29">
        <f t="shared" si="4"/>
        <v>1</v>
      </c>
      <c r="J20" s="9"/>
      <c r="K20" s="9"/>
      <c r="L20" s="9" t="s">
        <v>23</v>
      </c>
      <c r="M20" s="9"/>
      <c r="N20" s="30">
        <f>AVERAGE(N18:N19)</f>
        <v>29517000000</v>
      </c>
      <c r="O20" s="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/>
      <c r="B21" s="9" t="s">
        <v>24</v>
      </c>
      <c r="C21" s="9"/>
      <c r="D21" s="9"/>
      <c r="E21" s="41">
        <v>8.1E8</v>
      </c>
      <c r="F21" s="41">
        <v>6.2E8</v>
      </c>
      <c r="G21" s="41">
        <v>5.8E8</v>
      </c>
      <c r="H21" s="41">
        <v>8.9E8</v>
      </c>
      <c r="I21" s="41">
        <v>1.18E9</v>
      </c>
      <c r="J21" s="9"/>
      <c r="K21" s="9"/>
      <c r="L21" s="9"/>
      <c r="M21" s="9"/>
      <c r="N21" s="9"/>
      <c r="O21" s="9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/>
      <c r="B22" s="9" t="s">
        <v>25</v>
      </c>
      <c r="C22" s="9"/>
      <c r="D22" s="9"/>
      <c r="E22" s="28">
        <f t="shared" ref="E22:I22" si="5">E21*$D$5</f>
        <v>162000000</v>
      </c>
      <c r="F22" s="28">
        <f t="shared" si="5"/>
        <v>124000000</v>
      </c>
      <c r="G22" s="28">
        <f t="shared" si="5"/>
        <v>116000000</v>
      </c>
      <c r="H22" s="28">
        <f t="shared" si="5"/>
        <v>178000000</v>
      </c>
      <c r="I22" s="28">
        <f t="shared" si="5"/>
        <v>236000000</v>
      </c>
      <c r="J22" s="9"/>
      <c r="K22" s="9"/>
      <c r="L22" s="9"/>
      <c r="M22" s="9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/>
      <c r="B23" s="9" t="s">
        <v>26</v>
      </c>
      <c r="C23" s="9"/>
      <c r="D23" s="9"/>
      <c r="E23" s="42">
        <v>2.1E8</v>
      </c>
      <c r="F23" s="42">
        <v>2.0E8</v>
      </c>
      <c r="G23" s="42">
        <v>2.0E8</v>
      </c>
      <c r="H23" s="42">
        <v>2.3E8</v>
      </c>
      <c r="I23" s="42">
        <v>2.7E8</v>
      </c>
      <c r="J23" s="9"/>
      <c r="K23" s="9"/>
      <c r="L23" s="9"/>
      <c r="M23" s="9"/>
      <c r="N23" s="9"/>
      <c r="O23" s="9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/>
      <c r="B24" s="9" t="s">
        <v>27</v>
      </c>
      <c r="C24" s="9"/>
      <c r="D24" s="9"/>
      <c r="E24" s="43">
        <v>-2.5E8</v>
      </c>
      <c r="F24" s="43">
        <v>-2.6E8</v>
      </c>
      <c r="G24" s="43">
        <v>-5.4E8</v>
      </c>
      <c r="H24" s="43">
        <v>-3.8E8</v>
      </c>
      <c r="I24" s="44">
        <v>-2.5E8</v>
      </c>
      <c r="J24" s="9"/>
      <c r="K24" s="9"/>
      <c r="L24" s="9"/>
      <c r="M24" s="9"/>
      <c r="N24" s="9"/>
      <c r="O24" s="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  <c r="B25" s="9" t="s">
        <v>28</v>
      </c>
      <c r="C25" s="9"/>
      <c r="D25" s="9"/>
      <c r="E25" s="41">
        <v>3.24E8</v>
      </c>
      <c r="F25" s="41">
        <v>3.24E8</v>
      </c>
      <c r="G25" s="41">
        <v>3.24E8</v>
      </c>
      <c r="H25" s="41">
        <v>3.24E8</v>
      </c>
      <c r="I25" s="41">
        <v>3.24E8</v>
      </c>
      <c r="J25" s="9"/>
      <c r="K25" s="9"/>
      <c r="L25" s="9"/>
      <c r="M25" s="9"/>
      <c r="N25" s="9"/>
      <c r="O25" s="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/>
      <c r="B26" s="9" t="s">
        <v>29</v>
      </c>
      <c r="C26" s="9"/>
      <c r="D26" s="9"/>
      <c r="E26" s="30">
        <f t="shared" ref="E26:I26" si="6">E21-E22+E23-E24-E25</f>
        <v>784000000</v>
      </c>
      <c r="F26" s="30">
        <f t="shared" si="6"/>
        <v>632000000</v>
      </c>
      <c r="G26" s="30">
        <f t="shared" si="6"/>
        <v>880000000</v>
      </c>
      <c r="H26" s="30">
        <f t="shared" si="6"/>
        <v>998000000</v>
      </c>
      <c r="I26" s="30">
        <f t="shared" si="6"/>
        <v>1140000000</v>
      </c>
      <c r="J26" s="9"/>
      <c r="K26" s="9"/>
      <c r="L26" s="9"/>
      <c r="M26" s="9"/>
      <c r="N26" s="9"/>
      <c r="O26" s="9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9" t="s">
        <v>30</v>
      </c>
      <c r="C27" s="9"/>
      <c r="D27" s="9">
        <f>-I35</f>
        <v>-22663540000</v>
      </c>
      <c r="E27" s="9"/>
      <c r="F27" s="9"/>
      <c r="G27" s="9"/>
      <c r="H27" s="9"/>
      <c r="I27" s="9"/>
      <c r="J27" s="9">
        <f>N20</f>
        <v>29517000000</v>
      </c>
      <c r="K27" s="9"/>
      <c r="L27" s="9"/>
      <c r="M27" s="9"/>
      <c r="N27" s="9"/>
      <c r="O27" s="9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/>
      <c r="B28" s="9" t="s">
        <v>31</v>
      </c>
      <c r="C28" s="9"/>
      <c r="D28" s="30">
        <v>0.0</v>
      </c>
      <c r="E28" s="30">
        <f t="shared" ref="E28:I28" si="7">(E27+E26)*E20</f>
        <v>1960000000</v>
      </c>
      <c r="F28" s="30">
        <f t="shared" si="7"/>
        <v>632000000</v>
      </c>
      <c r="G28" s="30">
        <f t="shared" si="7"/>
        <v>880000000</v>
      </c>
      <c r="H28" s="30">
        <f t="shared" si="7"/>
        <v>998000000</v>
      </c>
      <c r="I28" s="30">
        <f t="shared" si="7"/>
        <v>1140000000</v>
      </c>
      <c r="J28" s="30">
        <f>J27+J26</f>
        <v>29517000000</v>
      </c>
      <c r="K28" s="9"/>
      <c r="L28" s="9"/>
      <c r="M28" s="9"/>
      <c r="N28" s="9"/>
      <c r="O28" s="9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9" t="s">
        <v>31</v>
      </c>
      <c r="C29" s="9"/>
      <c r="D29" s="9">
        <f>D27+D26</f>
        <v>-22663540000</v>
      </c>
      <c r="E29" s="9">
        <f t="shared" ref="E29:I29" si="8">(E27+E26)*E20</f>
        <v>1960000000</v>
      </c>
      <c r="F29" s="9">
        <f t="shared" si="8"/>
        <v>632000000</v>
      </c>
      <c r="G29" s="9">
        <f t="shared" si="8"/>
        <v>880000000</v>
      </c>
      <c r="H29" s="9">
        <f t="shared" si="8"/>
        <v>998000000</v>
      </c>
      <c r="I29" s="9">
        <f t="shared" si="8"/>
        <v>1140000000</v>
      </c>
      <c r="J29" s="9">
        <f>J27</f>
        <v>29517000000</v>
      </c>
      <c r="K29" s="9"/>
      <c r="L29" s="9"/>
      <c r="M29" s="9"/>
      <c r="N29" s="9"/>
      <c r="O29" s="9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/>
      <c r="B30" s="9"/>
      <c r="C30" s="9"/>
      <c r="D30" s="11"/>
      <c r="E30" s="9"/>
      <c r="F30" s="5"/>
      <c r="G30" s="9"/>
      <c r="H30" s="9"/>
      <c r="I30" s="9"/>
      <c r="J30" s="9"/>
      <c r="K30" s="5"/>
      <c r="L30" s="9"/>
      <c r="M30" s="9"/>
      <c r="N30" s="9"/>
      <c r="O30" s="9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/>
      <c r="B31" s="13" t="s">
        <v>32</v>
      </c>
      <c r="C31" s="21"/>
      <c r="D31" s="21"/>
      <c r="E31" s="9"/>
      <c r="F31" s="5"/>
      <c r="G31" s="13" t="s">
        <v>33</v>
      </c>
      <c r="H31" s="21"/>
      <c r="I31" s="21"/>
      <c r="J31" s="9"/>
      <c r="K31" s="5"/>
      <c r="L31" s="13" t="s">
        <v>34</v>
      </c>
      <c r="M31" s="21"/>
      <c r="N31" s="21"/>
      <c r="O31" s="9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/>
      <c r="B32" s="9" t="s">
        <v>35</v>
      </c>
      <c r="C32" s="9"/>
      <c r="D32" s="9">
        <f>XNPV(D6,D28:J28,D18:J18)</f>
        <v>24601102792</v>
      </c>
      <c r="E32" s="9"/>
      <c r="F32" s="5"/>
      <c r="G32" s="9" t="s">
        <v>36</v>
      </c>
      <c r="H32" s="9"/>
      <c r="I32" s="9">
        <f>D12*D11</f>
        <v>19463640000</v>
      </c>
      <c r="J32" s="9"/>
      <c r="K32" s="5"/>
      <c r="L32" s="9" t="s">
        <v>37</v>
      </c>
      <c r="M32" s="9"/>
      <c r="N32" s="33">
        <f>(D37/I37)-1</f>
        <v>0.09954781285</v>
      </c>
      <c r="O32" s="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9"/>
      <c r="B33" s="9" t="s">
        <v>38</v>
      </c>
      <c r="C33" s="9"/>
      <c r="D33" s="9">
        <f>+D14</f>
        <v>94800000</v>
      </c>
      <c r="E33" s="9"/>
      <c r="F33" s="5"/>
      <c r="G33" s="9" t="s">
        <v>39</v>
      </c>
      <c r="H33" s="9"/>
      <c r="I33" s="9">
        <f>D13</f>
        <v>3294700000</v>
      </c>
      <c r="J33" s="9"/>
      <c r="K33" s="5"/>
      <c r="L33" s="9" t="s">
        <v>40</v>
      </c>
      <c r="M33" s="9"/>
      <c r="N33" s="33">
        <f>XIRR(D29:J29,D18:J18)</f>
        <v>0.07442385931</v>
      </c>
      <c r="O33" s="9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9" t="s">
        <v>41</v>
      </c>
      <c r="C34" s="9"/>
      <c r="D34" s="9">
        <f>+D13</f>
        <v>3294700000</v>
      </c>
      <c r="E34" s="9"/>
      <c r="F34" s="5"/>
      <c r="G34" s="9" t="s">
        <v>42</v>
      </c>
      <c r="H34" s="9"/>
      <c r="I34" s="9">
        <f>+D14</f>
        <v>94800000</v>
      </c>
      <c r="J34" s="9"/>
      <c r="K34" s="5"/>
      <c r="L34" s="9"/>
      <c r="M34" s="9"/>
      <c r="N34" s="9"/>
      <c r="O34" s="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9"/>
      <c r="B35" s="9" t="s">
        <v>43</v>
      </c>
      <c r="C35" s="9"/>
      <c r="D35" s="30">
        <f>D32+D33-D34</f>
        <v>21401202792</v>
      </c>
      <c r="E35" s="9"/>
      <c r="F35" s="5"/>
      <c r="G35" s="9" t="s">
        <v>35</v>
      </c>
      <c r="H35" s="9"/>
      <c r="I35" s="30">
        <f>I32+I33-I34</f>
        <v>22663540000</v>
      </c>
      <c r="J35" s="9"/>
      <c r="K35" s="5"/>
      <c r="L35" s="13" t="s">
        <v>44</v>
      </c>
      <c r="M35" s="21"/>
      <c r="N35" s="21"/>
      <c r="O35" s="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9"/>
      <c r="B36" s="9"/>
      <c r="C36" s="9"/>
      <c r="D36" s="9"/>
      <c r="E36" s="9"/>
      <c r="F36" s="5"/>
      <c r="G36" s="9"/>
      <c r="H36" s="9"/>
      <c r="I36" s="34"/>
      <c r="J36" s="9"/>
      <c r="K36" s="5"/>
      <c r="L36" s="9" t="s">
        <v>33</v>
      </c>
      <c r="M36" s="9"/>
      <c r="N36" s="34">
        <f>I37</f>
        <v>1635.6</v>
      </c>
      <c r="O36" s="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9"/>
      <c r="B37" s="9" t="s">
        <v>45</v>
      </c>
      <c r="C37" s="9"/>
      <c r="D37" s="34">
        <f>D35/D12</f>
        <v>1798.420403</v>
      </c>
      <c r="E37" s="9"/>
      <c r="F37" s="5"/>
      <c r="G37" s="9" t="s">
        <v>45</v>
      </c>
      <c r="H37" s="9"/>
      <c r="I37" s="34">
        <f>D11</f>
        <v>1635.6</v>
      </c>
      <c r="J37" s="9"/>
      <c r="K37" s="5"/>
      <c r="L37" s="9" t="s">
        <v>46</v>
      </c>
      <c r="M37" s="9"/>
      <c r="N37" s="34">
        <f>D37-I37</f>
        <v>162.8204027</v>
      </c>
      <c r="O37" s="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/>
      <c r="B38" s="9"/>
      <c r="C38" s="9"/>
      <c r="D38" s="9"/>
      <c r="E38" s="9"/>
      <c r="F38" s="5"/>
      <c r="G38" s="9"/>
      <c r="H38" s="9"/>
      <c r="I38" s="9"/>
      <c r="J38" s="9"/>
      <c r="K38" s="5"/>
      <c r="L38" s="9" t="s">
        <v>32</v>
      </c>
      <c r="M38" s="9"/>
      <c r="N38" s="34">
        <f>SUM(N36:N37)</f>
        <v>1798.420403</v>
      </c>
      <c r="O38" s="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9"/>
      <c r="B39" s="5"/>
      <c r="C39" s="9"/>
      <c r="D39" s="11"/>
      <c r="E39" s="9"/>
      <c r="F39" s="5"/>
      <c r="G39" s="9"/>
      <c r="H39" s="9"/>
      <c r="I39" s="10"/>
      <c r="J39" s="9"/>
      <c r="K39" s="5"/>
      <c r="L39" s="9"/>
      <c r="M39" s="9"/>
      <c r="N39" s="9"/>
      <c r="O39" s="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9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9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9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9"/>
      <c r="B46" s="9"/>
      <c r="C46" s="9"/>
      <c r="D46" s="11"/>
      <c r="E46" s="9"/>
      <c r="F46" s="9"/>
      <c r="G46" s="9"/>
      <c r="H46" s="9"/>
      <c r="I46" s="5"/>
      <c r="J46" s="5"/>
      <c r="K46" s="5"/>
      <c r="L46" s="5"/>
      <c r="M46" s="5"/>
      <c r="N46" s="35"/>
      <c r="O46" s="9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9"/>
      <c r="B47" s="9"/>
      <c r="C47" s="9"/>
      <c r="D47" s="11"/>
      <c r="E47" s="9"/>
      <c r="F47" s="9"/>
      <c r="G47" s="9"/>
      <c r="H47" s="9"/>
      <c r="I47" s="5"/>
      <c r="J47" s="5"/>
      <c r="K47" s="5"/>
      <c r="L47" s="5"/>
      <c r="M47" s="5"/>
      <c r="N47" s="5"/>
      <c r="O47" s="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9"/>
      <c r="C48" s="9"/>
      <c r="D48" s="11"/>
      <c r="E48" s="9"/>
      <c r="F48" s="9"/>
      <c r="G48" s="9"/>
      <c r="H48" s="9"/>
      <c r="I48" s="5"/>
      <c r="J48" s="5"/>
      <c r="K48" s="5"/>
      <c r="L48" s="5"/>
      <c r="M48" s="9"/>
      <c r="N48" s="5"/>
      <c r="O48" s="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9"/>
      <c r="B49" s="9"/>
      <c r="C49" s="9"/>
      <c r="D49" s="1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9"/>
      <c r="B50" s="9"/>
      <c r="C50" s="9"/>
      <c r="D50" s="1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9"/>
      <c r="B51" s="9"/>
      <c r="C51" s="9"/>
      <c r="D51" s="1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9"/>
      <c r="B52" s="9"/>
      <c r="C52" s="9"/>
      <c r="D52" s="1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9"/>
      <c r="B53" s="9"/>
      <c r="C53" s="9"/>
      <c r="D53" s="1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9"/>
      <c r="B54" s="9"/>
      <c r="C54" s="9"/>
      <c r="D54" s="1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9"/>
      <c r="B55" s="9"/>
      <c r="C55" s="9"/>
      <c r="D55" s="1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9"/>
      <c r="B56" s="9"/>
      <c r="C56" s="9"/>
      <c r="D56" s="1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9"/>
      <c r="B57" s="9"/>
      <c r="C57" s="9"/>
      <c r="D57" s="1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9"/>
      <c r="C58" s="9"/>
      <c r="D58" s="11"/>
      <c r="E58" s="9"/>
      <c r="F58" s="9"/>
      <c r="G58" s="9"/>
      <c r="H58" s="9"/>
      <c r="I58" s="9"/>
      <c r="J58" s="9"/>
      <c r="K58" s="9"/>
      <c r="L58" s="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3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3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3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3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3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3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3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3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3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3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3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3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3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3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3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3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3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3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3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3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3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3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3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3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3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3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3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3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3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3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3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3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3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3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3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3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3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3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3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3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3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3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3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3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3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3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3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3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3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3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3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3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3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3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3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3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3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3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3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3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3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3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3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3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3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3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3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3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3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3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3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3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3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3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3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3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3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3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3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3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3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3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3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3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3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3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3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3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3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3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3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3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3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3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3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3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3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3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3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3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3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3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3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3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3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3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3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3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3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3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3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3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3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3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3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3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3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3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3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3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3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3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3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3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3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3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3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3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3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3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3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3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3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3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3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3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3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3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3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3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3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3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3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3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3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3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3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3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3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3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3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3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3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3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3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3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3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3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3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3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3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3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3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3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3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3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3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3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3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3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3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3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3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3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3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3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3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3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3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3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3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3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3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3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3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3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3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3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3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3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3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3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3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3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3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3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3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3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3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3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3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3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3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3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3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3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3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3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3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3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3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3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3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3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3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3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3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3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3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3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3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3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3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3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3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3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3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3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3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3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3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3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3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3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3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3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3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3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3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3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3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3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3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3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3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3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3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3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3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3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3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3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3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3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3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3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3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3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3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3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3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3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3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3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3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3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3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3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3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3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3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3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3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3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3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3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3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3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3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3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3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3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3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3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3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3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3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3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3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3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3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3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3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3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3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3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3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3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3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3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3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3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3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3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3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3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3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3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3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3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3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3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3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3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3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3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3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3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3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3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3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3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3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3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3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3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3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3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3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3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3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3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3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3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3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3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3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3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3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3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3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3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3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3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3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3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3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3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3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3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3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3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3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3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3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3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3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3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3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3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3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3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3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3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3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3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3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3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3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3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3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3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3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3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3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3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3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3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3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3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3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3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3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3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3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3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3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3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3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3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3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3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3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3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3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3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3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3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3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3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3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3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3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3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3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3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3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3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3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3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3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3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3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3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3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3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3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3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3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3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3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3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3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3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3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3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3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3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3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3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3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3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3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3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3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3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3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3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3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3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3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3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3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3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3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3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3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3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3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3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3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3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3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3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3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3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3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3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3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3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3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3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3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3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3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3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3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3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3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3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3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3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3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3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3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3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3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3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3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3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3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3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3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3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3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3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3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3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3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3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3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3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3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3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3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3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3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3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3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3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3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3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3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3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3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3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3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3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3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3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3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3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3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3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3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3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3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3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3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3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3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3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3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3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3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3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3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3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3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3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3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3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3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3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3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3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3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3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3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3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3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3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3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3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3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3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3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3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3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3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3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3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3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3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3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3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3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3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3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3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3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3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3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3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3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3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3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3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3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3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3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3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3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3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3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3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3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3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3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3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3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3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3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3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3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3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3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3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3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3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3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3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3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3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3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3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3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3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3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3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3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3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3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3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3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3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3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3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3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3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3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3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3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3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3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3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3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3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3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3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3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3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3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3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3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3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3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3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3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3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3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3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3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3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3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3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3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3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3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3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3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3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3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3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3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3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3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3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3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3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3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3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3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3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3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3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3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3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3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3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3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3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3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3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3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3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3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3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3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3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3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3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3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3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3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3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3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3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3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3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3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3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3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3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3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3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3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3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3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3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3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3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3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3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3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3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3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3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3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3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3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3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3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3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3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3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3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3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3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3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3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3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3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3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3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3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3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3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3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3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3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3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3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3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3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3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3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3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3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3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3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3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3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3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3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3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3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3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3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3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3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3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3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3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3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3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3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3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3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3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3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3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3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3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3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3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3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3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3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3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3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3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3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3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3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3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3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3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3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3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3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3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3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3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3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3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3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3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3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3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3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3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3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3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3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3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3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3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3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3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3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3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3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3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3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3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3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3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3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3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3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3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3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3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3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3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3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3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3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3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3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3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3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3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3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3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3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3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3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3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3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3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3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3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3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3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3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3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3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3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3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3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3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3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3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3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3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3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3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3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3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3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3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3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3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3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3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3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3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3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3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3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3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3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3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3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3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3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3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3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3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3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3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3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3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3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3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3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3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3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3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3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3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3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3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3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3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3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3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3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3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3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3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3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3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3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3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3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3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3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3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3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3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3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3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3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3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3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3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3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3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3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3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3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3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3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3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3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3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3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3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3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3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3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3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3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3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3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3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3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3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3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3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3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3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3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3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3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3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3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3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3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3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3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3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3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3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2014-11-08T22:00:02Z</dcterms:created>
  <dc:creator>Tim Vipond</dc:creator>
</cp:coreProperties>
</file>