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comments5.xml" ContentType="application/vnd.openxmlformats-officedocument.spreadsheetml.comments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4a74cc4856a89f1/San Diego FTV/"/>
    </mc:Choice>
  </mc:AlternateContent>
  <xr:revisionPtr revIDLastSave="0" documentId="8_{9585777F-722C-431F-8A3D-C72803828EE5}" xr6:coauthVersionLast="47" xr6:coauthVersionMax="47" xr10:uidLastSave="{00000000-0000-0000-0000-000000000000}"/>
  <bookViews>
    <workbookView xWindow="140" yWindow="920" windowWidth="14880" windowHeight="17480" firstSheet="49" activeTab="49" xr2:uid="{37E10C64-FB1F-8948-AB01-BDD03FD2F868}"/>
    <workbookView xWindow="15180" yWindow="940" windowWidth="14900" windowHeight="17460" firstSheet="48" activeTab="39" xr2:uid="{F0B93858-ED3A-DD48-916E-A4DB7F0E3EF5}"/>
  </bookViews>
  <sheets>
    <sheet name="Summary (fix)" sheetId="49" r:id="rId1"/>
    <sheet name="Male A-1" sheetId="57" state="hidden" r:id="rId2"/>
    <sheet name="Male A-2" sheetId="115" state="hidden" r:id="rId3"/>
    <sheet name="Female A-1" sheetId="92" state="hidden" r:id="rId4"/>
    <sheet name="Female A-2" sheetId="118" state="hidden" r:id="rId5"/>
    <sheet name="Male B-1" sheetId="87" state="hidden" r:id="rId6"/>
    <sheet name="Male B-2" sheetId="116" state="hidden" r:id="rId7"/>
    <sheet name="Female B-1" sheetId="77" state="hidden" r:id="rId8"/>
    <sheet name="Female B-2" sheetId="102" state="hidden" r:id="rId9"/>
    <sheet name="Female B-3" sheetId="130" state="hidden" r:id="rId10"/>
    <sheet name="Male C-1" sheetId="79" state="hidden" r:id="rId11"/>
    <sheet name="Male C-2" sheetId="100" state="hidden" r:id="rId12"/>
    <sheet name="Male C-3" sheetId="128" state="hidden" r:id="rId13"/>
    <sheet name="Female C-1" sheetId="78" state="hidden" r:id="rId14"/>
    <sheet name="Female C-2" sheetId="114" state="hidden" r:id="rId15"/>
    <sheet name="Male D-1" sheetId="93" state="hidden" r:id="rId16"/>
    <sheet name="Male D-2" sheetId="103" state="hidden" r:id="rId17"/>
    <sheet name="Male D-3" sheetId="129" state="hidden" r:id="rId18"/>
    <sheet name="UD-1" sheetId="105" state="hidden" r:id="rId19"/>
    <sheet name="Foottable #1" sheetId="94" state="hidden" r:id="rId20"/>
    <sheet name="Template - 4 atheles + 2 horses" sheetId="71" state="hidden" r:id="rId21"/>
    <sheet name="Template 6 athletes" sheetId="64" state="hidden" r:id="rId22"/>
    <sheet name="Template 6 athletes + H (semi)" sheetId="135" state="hidden" r:id="rId23"/>
    <sheet name="Template 8 athletes (quartas)" sheetId="101" state="hidden" r:id="rId24"/>
    <sheet name="Template 8 athletes (semi)" sheetId="47" state="hidden" r:id="rId25"/>
    <sheet name="Template 8 teams (quartas)" sheetId="104" state="hidden" r:id="rId26"/>
    <sheet name="Template - 8 atheles + H (Semi)" sheetId="72" state="hidden" r:id="rId27"/>
    <sheet name="Template 10 athletes" sheetId="45" state="hidden" r:id="rId28"/>
    <sheet name="Template 10 athletes (quartas)" sheetId="110" state="hidden" r:id="rId29"/>
    <sheet name="Template 12 athletes (semi)" sheetId="54" state="hidden" r:id="rId30"/>
    <sheet name="Template 12 athletes (quartas)" sheetId="97" state="hidden" r:id="rId31"/>
    <sheet name="Template 15 athletes (quartas)" sheetId="85" state="hidden" r:id="rId32"/>
    <sheet name="Template 15 athletes (semi)" sheetId="84" state="hidden" r:id="rId33"/>
    <sheet name="Template 16 athletes (1st&amp;2nd)" sheetId="74" state="hidden" r:id="rId34"/>
    <sheet name="Template 16 athletes (1st only)" sheetId="48" state="hidden" r:id="rId35"/>
    <sheet name="Template 20 athletes (1st&amp;2nd)" sheetId="86" state="hidden" r:id="rId36"/>
    <sheet name="COED-1" sheetId="127" state="hidden" r:id="rId37"/>
    <sheet name="Template - 12 atheles + H (2)" sheetId="131" state="hidden" r:id="rId38"/>
    <sheet name="Male A-3" sheetId="132" r:id="rId39"/>
    <sheet name="Female A-3" sheetId="137" r:id="rId40"/>
    <sheet name="Male B-3" sheetId="134" r:id="rId41"/>
    <sheet name="Female C-3" sheetId="136" r:id="rId42"/>
    <sheet name="MDS-1" sheetId="133" r:id="rId43"/>
    <sheet name="Court 1.1" sheetId="60" r:id="rId44"/>
    <sheet name="Court 2.1.1" sheetId="108" r:id="rId45"/>
    <sheet name="2.2.1" sheetId="109" r:id="rId46"/>
    <sheet name="Court 3.1" sheetId="120" r:id="rId47"/>
    <sheet name="Court 4.1" sheetId="138" r:id="rId48"/>
    <sheet name="draft" sheetId="99" r:id="rId49"/>
    <sheet name="Court 1.1 (2)" sheetId="139" r:id="rId50"/>
    <sheet name="Court 2.1.1 (2)" sheetId="140" r:id="rId51"/>
    <sheet name="2.2.1 (2)" sheetId="141" r:id="rId52"/>
    <sheet name="Court 3.1 (2)" sheetId="142" r:id="rId53"/>
    <sheet name="NFA track OPEN" sheetId="126" state="hidden" r:id="rId54"/>
    <sheet name="Court 1 (2)" sheetId="122" state="hidden" r:id="rId55"/>
    <sheet name="Court 2 (2)" sheetId="123" state="hidden" r:id="rId56"/>
    <sheet name="Court 3 (2)" sheetId="124" state="hidden" r:id="rId57"/>
    <sheet name="Court 4 (2)" sheetId="125" state="hidden" r:id="rId58"/>
  </sheets>
  <externalReferences>
    <externalReference r:id="rId59"/>
  </externalReferences>
  <definedNames>
    <definedName name="_xlcn.WorksheetConnection_Tabelas2024.xlsxAtheletes" hidden="1">Atheletes</definedName>
    <definedName name="_xlcn.WorksheetConnection_Tabelas2024.xlsxResults" hidden="1">Results</definedName>
    <definedName name="_xlnm.Print_Area" localSheetId="45">'2.2.1'!$A$1:$I$25</definedName>
    <definedName name="_xlnm.Print_Area" localSheetId="51">'2.2.1 (2)'!$A$1:$I$25</definedName>
    <definedName name="_xlnm.Print_Area" localSheetId="54">'Court 1 (2)'!$A$1:$I$27</definedName>
    <definedName name="_xlnm.Print_Area" localSheetId="43">'Court 1.1'!$A$1:$I$26</definedName>
    <definedName name="_xlnm.Print_Area" localSheetId="49">'Court 1.1 (2)'!$A$1:$I$26</definedName>
    <definedName name="_xlnm.Print_Area" localSheetId="55">'Court 2 (2)'!$A$1:$I$27</definedName>
    <definedName name="_xlnm.Print_Area" localSheetId="44">'Court 2.1.1'!$A$1:$I$26</definedName>
    <definedName name="_xlnm.Print_Area" localSheetId="50">'Court 2.1.1 (2)'!$A$1:$I$26</definedName>
    <definedName name="_xlnm.Print_Area" localSheetId="56">'Court 3 (2)'!$A$1:$I$27</definedName>
    <definedName name="_xlnm.Print_Area" localSheetId="46">'Court 3.1'!$A$1:$I$25</definedName>
    <definedName name="_xlnm.Print_Area" localSheetId="52">'Court 3.1 (2)'!$A$1:$I$25</definedName>
    <definedName name="_xlnm.Print_Area" localSheetId="57">'Court 4 (2)'!$A$1:$I$27</definedName>
    <definedName name="_xlnm.Print_Area" localSheetId="47">'Court 4.1'!$A$1:$I$25</definedName>
    <definedName name="_xlnm.Print_Area" localSheetId="0">'Summary (fix)'!$A$2:$J$125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ults" name="Results" connection="WorksheetConnection_Tabelas 2024.xlsx!Results"/>
          <x15:modelTable id="Atheletes" name="Atheletes" connection="WorksheetConnection_Tabelas 2024.xlsx!Athelet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40" l="1"/>
  <c r="H17" i="140"/>
  <c r="H16" i="140"/>
  <c r="F16" i="140"/>
  <c r="F13" i="140"/>
  <c r="F11" i="140"/>
  <c r="F12" i="140"/>
  <c r="H11" i="140"/>
  <c r="H12" i="140"/>
  <c r="H13" i="140"/>
  <c r="H10" i="140"/>
  <c r="F10" i="140"/>
  <c r="H9" i="140"/>
  <c r="F9" i="140"/>
  <c r="H7" i="140"/>
  <c r="H8" i="140"/>
  <c r="F7" i="140"/>
  <c r="F8" i="140"/>
  <c r="F6" i="140"/>
  <c r="H6" i="140"/>
  <c r="H18" i="139"/>
  <c r="F18" i="139"/>
  <c r="F15" i="139"/>
  <c r="H15" i="139"/>
  <c r="F13" i="139"/>
  <c r="H9" i="139"/>
  <c r="F9" i="139"/>
  <c r="H8" i="139"/>
  <c r="F8" i="139"/>
  <c r="H13" i="139"/>
  <c r="H11" i="139"/>
  <c r="H12" i="139"/>
  <c r="F11" i="139"/>
  <c r="F12" i="139"/>
  <c r="H10" i="139"/>
  <c r="F10" i="139"/>
  <c r="F5" i="139"/>
  <c r="H5" i="139"/>
  <c r="H7" i="139"/>
  <c r="F7" i="139"/>
  <c r="H6" i="139"/>
  <c r="F6" i="139"/>
  <c r="H4" i="139"/>
  <c r="F4" i="139"/>
  <c r="H3" i="139"/>
  <c r="F3" i="139"/>
  <c r="H15" i="142"/>
  <c r="F15" i="142"/>
  <c r="H13" i="142"/>
  <c r="F13" i="142"/>
  <c r="H12" i="142"/>
  <c r="F12" i="142"/>
  <c r="H11" i="142"/>
  <c r="F11" i="142"/>
  <c r="H10" i="142"/>
  <c r="F10" i="142"/>
  <c r="H9" i="142"/>
  <c r="F9" i="142"/>
  <c r="H8" i="142"/>
  <c r="F8" i="142"/>
  <c r="H7" i="142"/>
  <c r="F7" i="142"/>
  <c r="H6" i="142"/>
  <c r="F6" i="142"/>
  <c r="H5" i="142"/>
  <c r="F5" i="142"/>
  <c r="H4" i="142"/>
  <c r="F4" i="142"/>
  <c r="H3" i="142"/>
  <c r="F3" i="142"/>
  <c r="H13" i="141"/>
  <c r="F13" i="141"/>
  <c r="H12" i="141"/>
  <c r="F12" i="141"/>
  <c r="H11" i="141"/>
  <c r="F11" i="141"/>
  <c r="H10" i="141"/>
  <c r="F10" i="141"/>
  <c r="H9" i="141"/>
  <c r="F9" i="141"/>
  <c r="H8" i="141"/>
  <c r="F8" i="141"/>
  <c r="H7" i="141"/>
  <c r="F7" i="141"/>
  <c r="H6" i="141"/>
  <c r="F6" i="141"/>
  <c r="H5" i="141"/>
  <c r="F5" i="141"/>
  <c r="H4" i="141"/>
  <c r="F4" i="141"/>
  <c r="H3" i="141"/>
  <c r="F3" i="141"/>
  <c r="H5" i="140"/>
  <c r="F5" i="140"/>
  <c r="H4" i="140"/>
  <c r="F4" i="140"/>
  <c r="H3" i="140"/>
  <c r="F3" i="140"/>
  <c r="H10" i="138"/>
  <c r="F10" i="138"/>
  <c r="H8" i="138"/>
  <c r="F8" i="138"/>
  <c r="F7" i="138"/>
  <c r="H7" i="138"/>
  <c r="H6" i="138"/>
  <c r="F6" i="138"/>
  <c r="H5" i="138"/>
  <c r="F5" i="138"/>
  <c r="H4" i="138"/>
  <c r="F4" i="138"/>
  <c r="H3" i="138"/>
  <c r="F3" i="138"/>
  <c r="F4" i="120"/>
  <c r="H15" i="120"/>
  <c r="F15" i="120"/>
  <c r="H14" i="120"/>
  <c r="F14" i="120"/>
  <c r="H13" i="120"/>
  <c r="F13" i="120"/>
  <c r="H11" i="120"/>
  <c r="F11" i="120"/>
  <c r="H10" i="120"/>
  <c r="F10" i="120"/>
  <c r="H9" i="120"/>
  <c r="F9" i="120"/>
  <c r="H8" i="120"/>
  <c r="F8" i="120"/>
  <c r="H7" i="120"/>
  <c r="F7" i="120"/>
  <c r="H6" i="120"/>
  <c r="H5" i="120"/>
  <c r="H4" i="120"/>
  <c r="H3" i="120"/>
  <c r="F6" i="120"/>
  <c r="F5" i="120"/>
  <c r="F3" i="120"/>
  <c r="H14" i="109"/>
  <c r="H13" i="109"/>
  <c r="F14" i="109"/>
  <c r="F13" i="109"/>
  <c r="H9" i="109"/>
  <c r="H10" i="109"/>
  <c r="H11" i="109"/>
  <c r="F9" i="109"/>
  <c r="F10" i="109"/>
  <c r="F11" i="109"/>
  <c r="H8" i="109"/>
  <c r="F8" i="109"/>
  <c r="H4" i="109"/>
  <c r="H5" i="109"/>
  <c r="H6" i="109"/>
  <c r="H7" i="109"/>
  <c r="F4" i="109"/>
  <c r="F5" i="109"/>
  <c r="F6" i="109"/>
  <c r="F7" i="109"/>
  <c r="H3" i="109"/>
  <c r="F3" i="109"/>
  <c r="H14" i="108"/>
  <c r="F14" i="108"/>
  <c r="H13" i="108"/>
  <c r="F13" i="108"/>
  <c r="H11" i="108"/>
  <c r="F11" i="108"/>
  <c r="H9" i="108"/>
  <c r="H10" i="108"/>
  <c r="F9" i="108"/>
  <c r="F10" i="108"/>
  <c r="F8" i="108"/>
  <c r="H8" i="108"/>
  <c r="H7" i="108"/>
  <c r="F7" i="108"/>
  <c r="H6" i="108"/>
  <c r="F6" i="108"/>
  <c r="F5" i="108"/>
  <c r="H5" i="108"/>
  <c r="H4" i="108"/>
  <c r="F4" i="108"/>
  <c r="H3" i="108"/>
  <c r="F3" i="108"/>
  <c r="H15" i="60"/>
  <c r="F15" i="60"/>
  <c r="H14" i="60"/>
  <c r="F14" i="60"/>
  <c r="H13" i="60"/>
  <c r="F13" i="60"/>
  <c r="H9" i="60"/>
  <c r="H10" i="60"/>
  <c r="H11" i="60"/>
  <c r="F9" i="60"/>
  <c r="F10" i="60"/>
  <c r="F11" i="60"/>
  <c r="H7" i="60"/>
  <c r="H8" i="60"/>
  <c r="F8" i="60"/>
  <c r="F7" i="60"/>
  <c r="F6" i="60"/>
  <c r="H6" i="60"/>
  <c r="H5" i="60"/>
  <c r="F5" i="60"/>
  <c r="H4" i="60"/>
  <c r="H3" i="60"/>
  <c r="F4" i="60"/>
  <c r="F3" i="60"/>
  <c r="Q34" i="137"/>
  <c r="P34" i="137"/>
  <c r="O34" i="137"/>
  <c r="M34" i="137"/>
  <c r="Q33" i="137"/>
  <c r="M33" i="137"/>
  <c r="R27" i="137"/>
  <c r="Q27" i="137"/>
  <c r="P27" i="137"/>
  <c r="O27" i="137"/>
  <c r="N27" i="137" s="1"/>
  <c r="R26" i="137"/>
  <c r="R28" i="137" s="1"/>
  <c r="Q26" i="137"/>
  <c r="Q28" i="137" s="1"/>
  <c r="N26" i="137"/>
  <c r="N28" i="137" s="1"/>
  <c r="M26" i="137"/>
  <c r="M28" i="137" s="1"/>
  <c r="J26" i="137"/>
  <c r="G26" i="137"/>
  <c r="J25" i="137"/>
  <c r="G25" i="137"/>
  <c r="K24" i="137"/>
  <c r="J24" i="137"/>
  <c r="L26" i="137" s="1"/>
  <c r="G24" i="137"/>
  <c r="K23" i="137"/>
  <c r="J23" i="137"/>
  <c r="L25" i="137" s="1"/>
  <c r="G23" i="137"/>
  <c r="K22" i="137"/>
  <c r="J22" i="137"/>
  <c r="L24" i="137" s="1"/>
  <c r="G22" i="137"/>
  <c r="R21" i="137"/>
  <c r="P21" i="137"/>
  <c r="Q21" i="137" s="1"/>
  <c r="O21" i="137"/>
  <c r="N21" i="137" s="1"/>
  <c r="K21" i="137"/>
  <c r="J21" i="137"/>
  <c r="L23" i="137" s="1"/>
  <c r="K20" i="137"/>
  <c r="J20" i="137"/>
  <c r="L22" i="137" s="1"/>
  <c r="K19" i="137"/>
  <c r="J19" i="137"/>
  <c r="L19" i="137" s="1"/>
  <c r="G19" i="137"/>
  <c r="K18" i="137"/>
  <c r="J18" i="137"/>
  <c r="L18" i="137" s="1"/>
  <c r="G18" i="137"/>
  <c r="K17" i="137"/>
  <c r="J17" i="137"/>
  <c r="L17" i="137" s="1"/>
  <c r="G17" i="137"/>
  <c r="R16" i="137"/>
  <c r="Q16" i="137"/>
  <c r="P16" i="137"/>
  <c r="O16" i="137"/>
  <c r="N16" i="137"/>
  <c r="M16" i="137"/>
  <c r="K16" i="137"/>
  <c r="J16" i="137"/>
  <c r="L16" i="137" s="1"/>
  <c r="G16" i="137"/>
  <c r="K15" i="137"/>
  <c r="J15" i="137"/>
  <c r="G15" i="137"/>
  <c r="R11" i="137"/>
  <c r="Q11" i="137"/>
  <c r="P11" i="137"/>
  <c r="O11" i="137"/>
  <c r="N11" i="137"/>
  <c r="M11" i="137"/>
  <c r="L11" i="137"/>
  <c r="G11" i="137"/>
  <c r="D11" i="137"/>
  <c r="C11" i="137"/>
  <c r="R10" i="137"/>
  <c r="Q10" i="137"/>
  <c r="P10" i="137"/>
  <c r="O10" i="137"/>
  <c r="N10" i="137"/>
  <c r="M10" i="137"/>
  <c r="L10" i="137"/>
  <c r="G10" i="137"/>
  <c r="D10" i="137"/>
  <c r="C10" i="137"/>
  <c r="R9" i="137"/>
  <c r="Q9" i="137"/>
  <c r="P9" i="137"/>
  <c r="O9" i="137"/>
  <c r="N9" i="137"/>
  <c r="M9" i="137"/>
  <c r="L9" i="137"/>
  <c r="G9" i="137"/>
  <c r="D9" i="137"/>
  <c r="C9" i="137"/>
  <c r="R8" i="137"/>
  <c r="Q8" i="137"/>
  <c r="P8" i="137"/>
  <c r="O8" i="137"/>
  <c r="N8" i="137"/>
  <c r="M8" i="137"/>
  <c r="L8" i="137"/>
  <c r="G8" i="137"/>
  <c r="D8" i="137"/>
  <c r="C8" i="137"/>
  <c r="R7" i="137"/>
  <c r="Q7" i="137"/>
  <c r="P7" i="137"/>
  <c r="O7" i="137"/>
  <c r="N7" i="137"/>
  <c r="M7" i="137"/>
  <c r="L7" i="137"/>
  <c r="G7" i="137"/>
  <c r="D7" i="137"/>
  <c r="C7" i="137"/>
  <c r="R6" i="137"/>
  <c r="Q6" i="137"/>
  <c r="P6" i="137"/>
  <c r="O6" i="137"/>
  <c r="N6" i="137"/>
  <c r="M6" i="137"/>
  <c r="L6" i="137"/>
  <c r="G6" i="137"/>
  <c r="D6" i="137"/>
  <c r="C6" i="137"/>
  <c r="R5" i="137"/>
  <c r="Q5" i="137"/>
  <c r="P5" i="137"/>
  <c r="O5" i="137"/>
  <c r="N5" i="137"/>
  <c r="M5" i="137"/>
  <c r="L5" i="137"/>
  <c r="G5" i="137"/>
  <c r="D5" i="137"/>
  <c r="C5" i="137"/>
  <c r="R4" i="137"/>
  <c r="Q4" i="137"/>
  <c r="P4" i="137"/>
  <c r="O4" i="137"/>
  <c r="N4" i="137"/>
  <c r="M4" i="137"/>
  <c r="L4" i="137"/>
  <c r="G4" i="137"/>
  <c r="D4" i="137"/>
  <c r="C4" i="137"/>
  <c r="R3" i="137"/>
  <c r="Q3" i="137"/>
  <c r="P3" i="137"/>
  <c r="O3" i="137"/>
  <c r="N3" i="137"/>
  <c r="M3" i="137"/>
  <c r="L3" i="137"/>
  <c r="G3" i="137"/>
  <c r="D3" i="137"/>
  <c r="C3" i="137"/>
  <c r="R2" i="137"/>
  <c r="Q2" i="137"/>
  <c r="P2" i="137"/>
  <c r="O2" i="137"/>
  <c r="N2" i="137"/>
  <c r="M2" i="137"/>
  <c r="L2" i="137"/>
  <c r="G2" i="137"/>
  <c r="D2" i="137"/>
  <c r="C2" i="137"/>
  <c r="P5" i="99"/>
  <c r="Q5" i="99"/>
  <c r="Q2" i="99"/>
  <c r="P2" i="99"/>
  <c r="Q6" i="99"/>
  <c r="Q8" i="99"/>
  <c r="P6" i="99"/>
  <c r="P8" i="99"/>
  <c r="Q7" i="99"/>
  <c r="Q3" i="99"/>
  <c r="Q1" i="99"/>
  <c r="P7" i="99"/>
  <c r="P3" i="99"/>
  <c r="P1" i="99"/>
  <c r="O8" i="99"/>
  <c r="O7" i="99"/>
  <c r="O6" i="99"/>
  <c r="N8" i="99"/>
  <c r="N7" i="99"/>
  <c r="N6" i="99"/>
  <c r="O5" i="99"/>
  <c r="N5" i="99"/>
  <c r="O4" i="99"/>
  <c r="N4" i="99"/>
  <c r="O3" i="99"/>
  <c r="N3" i="99"/>
  <c r="O2" i="99"/>
  <c r="N2" i="99"/>
  <c r="O1" i="99"/>
  <c r="N1" i="99"/>
  <c r="Q22" i="136"/>
  <c r="P22" i="136"/>
  <c r="O22" i="136"/>
  <c r="M22" i="136"/>
  <c r="T3" i="136" s="1"/>
  <c r="Q21" i="136"/>
  <c r="M21" i="136"/>
  <c r="K19" i="136"/>
  <c r="J19" i="136"/>
  <c r="G19" i="136"/>
  <c r="K18" i="136"/>
  <c r="J18" i="136"/>
  <c r="G18" i="136"/>
  <c r="D18" i="136"/>
  <c r="K17" i="136"/>
  <c r="J17" i="136"/>
  <c r="G17" i="136"/>
  <c r="E17" i="136"/>
  <c r="K16" i="136"/>
  <c r="J16" i="136"/>
  <c r="G16" i="136"/>
  <c r="F16" i="136"/>
  <c r="P15" i="136"/>
  <c r="Q15" i="136" s="1"/>
  <c r="O15" i="136"/>
  <c r="M15" i="136" s="1"/>
  <c r="N15" i="136"/>
  <c r="K15" i="136"/>
  <c r="J15" i="136"/>
  <c r="G15" i="136"/>
  <c r="E15" i="136"/>
  <c r="K14" i="136"/>
  <c r="J14" i="136"/>
  <c r="G14" i="136"/>
  <c r="F14" i="136"/>
  <c r="R10" i="136"/>
  <c r="Q10" i="136"/>
  <c r="P10" i="136"/>
  <c r="O10" i="136"/>
  <c r="N10" i="136"/>
  <c r="M10" i="136"/>
  <c r="L10" i="136"/>
  <c r="G10" i="136"/>
  <c r="D10" i="136"/>
  <c r="C10" i="136"/>
  <c r="R9" i="136"/>
  <c r="Q9" i="136"/>
  <c r="P9" i="136"/>
  <c r="O9" i="136"/>
  <c r="N9" i="136"/>
  <c r="M9" i="136"/>
  <c r="L9" i="136"/>
  <c r="G9" i="136"/>
  <c r="D9" i="136"/>
  <c r="C9" i="136"/>
  <c r="R8" i="136"/>
  <c r="Q8" i="136"/>
  <c r="P8" i="136"/>
  <c r="O8" i="136"/>
  <c r="N8" i="136"/>
  <c r="M8" i="136"/>
  <c r="L8" i="136"/>
  <c r="G8" i="136"/>
  <c r="D8" i="136"/>
  <c r="C8" i="136"/>
  <c r="R7" i="136"/>
  <c r="Q7" i="136"/>
  <c r="P7" i="136"/>
  <c r="F19" i="136" s="1"/>
  <c r="O7" i="136"/>
  <c r="F15" i="136" s="1"/>
  <c r="N7" i="136"/>
  <c r="E19" i="136" s="1"/>
  <c r="M7" i="136"/>
  <c r="L7" i="136"/>
  <c r="G7" i="136"/>
  <c r="D7" i="136"/>
  <c r="C7" i="136"/>
  <c r="R6" i="136"/>
  <c r="Q6" i="136"/>
  <c r="P6" i="136"/>
  <c r="O6" i="136"/>
  <c r="N6" i="136"/>
  <c r="M6" i="136"/>
  <c r="L6" i="136"/>
  <c r="G6" i="136"/>
  <c r="D6" i="136"/>
  <c r="C6" i="136"/>
  <c r="R5" i="136"/>
  <c r="Q5" i="136"/>
  <c r="P5" i="136"/>
  <c r="O5" i="136"/>
  <c r="N5" i="136"/>
  <c r="M5" i="136"/>
  <c r="L5" i="136"/>
  <c r="G5" i="136"/>
  <c r="D5" i="136"/>
  <c r="C5" i="136"/>
  <c r="T4" i="136"/>
  <c r="R4" i="136"/>
  <c r="Q4" i="136"/>
  <c r="P4" i="136"/>
  <c r="O4" i="136"/>
  <c r="N4" i="136"/>
  <c r="M4" i="136"/>
  <c r="L4" i="136"/>
  <c r="G4" i="136"/>
  <c r="D4" i="136"/>
  <c r="C4" i="136"/>
  <c r="R3" i="136"/>
  <c r="Q3" i="136"/>
  <c r="C17" i="136" s="1"/>
  <c r="P3" i="136"/>
  <c r="F18" i="136" s="1"/>
  <c r="O3" i="136"/>
  <c r="F17" i="136" s="1"/>
  <c r="N3" i="136"/>
  <c r="E18" i="136" s="1"/>
  <c r="M3" i="136"/>
  <c r="E16" i="136" s="1"/>
  <c r="L3" i="136"/>
  <c r="G3" i="136"/>
  <c r="D3" i="136"/>
  <c r="C3" i="136"/>
  <c r="R2" i="136"/>
  <c r="C15" i="136" s="1"/>
  <c r="H15" i="136" s="1"/>
  <c r="I15" i="136" s="1"/>
  <c r="Q2" i="136"/>
  <c r="D14" i="136" s="1"/>
  <c r="P2" i="136"/>
  <c r="O2" i="136"/>
  <c r="N2" i="136"/>
  <c r="M2" i="136"/>
  <c r="E14" i="136" s="1"/>
  <c r="L2" i="136"/>
  <c r="G2" i="136"/>
  <c r="D2" i="136"/>
  <c r="C2" i="136"/>
  <c r="X5" i="136" s="1"/>
  <c r="I6" i="99"/>
  <c r="J19" i="135"/>
  <c r="J18" i="135"/>
  <c r="J17" i="135"/>
  <c r="J16" i="135"/>
  <c r="J15" i="135"/>
  <c r="N14" i="135" s="1" a="1"/>
  <c r="N14" i="135" s="1"/>
  <c r="J14" i="135"/>
  <c r="R14" i="135" s="1" a="1"/>
  <c r="R14" i="135" s="1"/>
  <c r="M14" i="97" a="1"/>
  <c r="M14" i="97" s="1"/>
  <c r="Q14" i="135" a="1"/>
  <c r="Q14" i="135" s="1"/>
  <c r="G19" i="135"/>
  <c r="G18" i="135"/>
  <c r="G17" i="135"/>
  <c r="G16" i="135"/>
  <c r="G15" i="135"/>
  <c r="G14" i="135"/>
  <c r="L9" i="135"/>
  <c r="L8" i="135"/>
  <c r="D9" i="135"/>
  <c r="D8" i="135"/>
  <c r="L10" i="135"/>
  <c r="D10" i="135"/>
  <c r="D7" i="135"/>
  <c r="L6" i="135"/>
  <c r="D6" i="135"/>
  <c r="L5" i="135"/>
  <c r="D5" i="135"/>
  <c r="L4" i="135"/>
  <c r="D4" i="135"/>
  <c r="L3" i="135"/>
  <c r="D3" i="135"/>
  <c r="L2" i="135"/>
  <c r="D2" i="135"/>
  <c r="G9" i="135"/>
  <c r="G8" i="135"/>
  <c r="G10" i="135"/>
  <c r="G7" i="135"/>
  <c r="L7" i="135"/>
  <c r="G6" i="135"/>
  <c r="G5" i="135"/>
  <c r="G4" i="135"/>
  <c r="G3" i="135"/>
  <c r="G2" i="135"/>
  <c r="C10" i="135"/>
  <c r="C9" i="135"/>
  <c r="C8" i="135"/>
  <c r="C7" i="135"/>
  <c r="C6" i="135"/>
  <c r="C5" i="135"/>
  <c r="C4" i="135"/>
  <c r="C3" i="135"/>
  <c r="C2" i="135"/>
  <c r="Q22" i="135"/>
  <c r="P22" i="135"/>
  <c r="O22" i="135"/>
  <c r="M22" i="135"/>
  <c r="T3" i="135" s="1"/>
  <c r="Q21" i="135"/>
  <c r="M21" i="135"/>
  <c r="K19" i="135"/>
  <c r="K18" i="135"/>
  <c r="D18" i="135"/>
  <c r="K17" i="135"/>
  <c r="E17" i="135"/>
  <c r="K16" i="135"/>
  <c r="R15" i="135"/>
  <c r="Q15" i="135"/>
  <c r="P15" i="135"/>
  <c r="O15" i="135"/>
  <c r="N15" i="135"/>
  <c r="M15" i="135"/>
  <c r="K15" i="135"/>
  <c r="K14" i="135"/>
  <c r="F14" i="135"/>
  <c r="R10" i="135"/>
  <c r="Q10" i="135"/>
  <c r="P10" i="135"/>
  <c r="O10" i="135"/>
  <c r="N10" i="135"/>
  <c r="M10" i="135"/>
  <c r="R9" i="135"/>
  <c r="Q9" i="135"/>
  <c r="P9" i="135"/>
  <c r="O9" i="135"/>
  <c r="N9" i="135"/>
  <c r="M9" i="135"/>
  <c r="R8" i="135"/>
  <c r="Q8" i="135"/>
  <c r="P8" i="135"/>
  <c r="O8" i="135"/>
  <c r="N8" i="135"/>
  <c r="M8" i="135"/>
  <c r="R7" i="135"/>
  <c r="Q7" i="135"/>
  <c r="P7" i="135"/>
  <c r="F19" i="135" s="1"/>
  <c r="O7" i="135"/>
  <c r="N7" i="135"/>
  <c r="E19" i="135" s="1"/>
  <c r="M7" i="135"/>
  <c r="R6" i="135"/>
  <c r="Q6" i="135"/>
  <c r="P6" i="135"/>
  <c r="O6" i="135"/>
  <c r="N6" i="135"/>
  <c r="M6" i="135"/>
  <c r="R5" i="135"/>
  <c r="Q5" i="135"/>
  <c r="P5" i="135"/>
  <c r="O5" i="135"/>
  <c r="N5" i="135"/>
  <c r="E16" i="135" s="1"/>
  <c r="M5" i="135"/>
  <c r="T4" i="135"/>
  <c r="R4" i="135"/>
  <c r="C16" i="135" s="1"/>
  <c r="Q4" i="135"/>
  <c r="P4" i="135"/>
  <c r="O4" i="135"/>
  <c r="N4" i="135"/>
  <c r="M4" i="135"/>
  <c r="R3" i="135"/>
  <c r="Q3" i="135"/>
  <c r="C17" i="135" s="1"/>
  <c r="P3" i="135"/>
  <c r="F18" i="135" s="1"/>
  <c r="O3" i="135"/>
  <c r="F16" i="135" s="1"/>
  <c r="N3" i="135"/>
  <c r="E14" i="135" s="1"/>
  <c r="M3" i="135"/>
  <c r="R2" i="135"/>
  <c r="C15" i="135" s="1"/>
  <c r="H15" i="135" s="1"/>
  <c r="I15" i="135" s="1"/>
  <c r="Q2" i="135"/>
  <c r="D14" i="135" s="1"/>
  <c r="P2" i="135"/>
  <c r="F15" i="135" s="1"/>
  <c r="O2" i="135"/>
  <c r="N2" i="135"/>
  <c r="E15" i="135" s="1"/>
  <c r="M2" i="135"/>
  <c r="H38" i="134"/>
  <c r="I32" i="134" s="1"/>
  <c r="G38" i="134"/>
  <c r="H37" i="134"/>
  <c r="I31" i="134" s="1"/>
  <c r="G37" i="134"/>
  <c r="Q36" i="134"/>
  <c r="P36" i="134"/>
  <c r="O36" i="134"/>
  <c r="M36" i="134" s="1"/>
  <c r="H36" i="134"/>
  <c r="I30" i="134" s="1"/>
  <c r="G36" i="134"/>
  <c r="Q35" i="134"/>
  <c r="M35" i="134"/>
  <c r="H35" i="134"/>
  <c r="I29" i="134" s="1"/>
  <c r="G35" i="134"/>
  <c r="K32" i="134"/>
  <c r="J32" i="134"/>
  <c r="L38" i="134" s="1"/>
  <c r="H32" i="134"/>
  <c r="I28" i="134" s="1"/>
  <c r="G32" i="134"/>
  <c r="K31" i="134"/>
  <c r="J31" i="134"/>
  <c r="L37" i="134" s="1"/>
  <c r="H31" i="134"/>
  <c r="I27" i="134" s="1"/>
  <c r="G31" i="134"/>
  <c r="K30" i="134"/>
  <c r="J30" i="134"/>
  <c r="L36" i="134" s="1"/>
  <c r="H30" i="134"/>
  <c r="I26" i="134" s="1"/>
  <c r="G30" i="134"/>
  <c r="P29" i="134"/>
  <c r="R29" i="134" s="1"/>
  <c r="O29" i="134"/>
  <c r="N29" i="134" s="1"/>
  <c r="K29" i="134"/>
  <c r="J29" i="134"/>
  <c r="L35" i="134" s="1"/>
  <c r="H29" i="134"/>
  <c r="I25" i="134" s="1"/>
  <c r="G29" i="134"/>
  <c r="R28" i="134"/>
  <c r="R31" i="134" s="1"/>
  <c r="R30" i="134" s="1"/>
  <c r="R32" i="134" s="1"/>
  <c r="Q28" i="134"/>
  <c r="Q31" i="134" s="1"/>
  <c r="Q30" i="134" s="1"/>
  <c r="Q32" i="134" s="1"/>
  <c r="N28" i="134"/>
  <c r="N31" i="134" s="1"/>
  <c r="N30" i="134" s="1"/>
  <c r="N32" i="134" s="1"/>
  <c r="K28" i="134"/>
  <c r="J28" i="134"/>
  <c r="L32" i="134" s="1"/>
  <c r="V27" i="134" a="1"/>
  <c r="V27" i="134" s="1"/>
  <c r="T27" i="134" a="1"/>
  <c r="T27" i="134" s="1"/>
  <c r="K27" i="134"/>
  <c r="J27" i="134"/>
  <c r="L31" i="134" s="1"/>
  <c r="K26" i="134"/>
  <c r="J26" i="134"/>
  <c r="L30" i="134" s="1"/>
  <c r="H26" i="134"/>
  <c r="I24" i="134" s="1"/>
  <c r="G26" i="134"/>
  <c r="K25" i="134"/>
  <c r="J25" i="134"/>
  <c r="L29" i="134" s="1"/>
  <c r="H25" i="134"/>
  <c r="I23" i="134" s="1"/>
  <c r="G25" i="134"/>
  <c r="V24" i="134" a="1"/>
  <c r="V24" i="134" s="1"/>
  <c r="T24" i="134" a="1"/>
  <c r="T24" i="134" s="1"/>
  <c r="K24" i="134"/>
  <c r="J24" i="134"/>
  <c r="L26" i="134" s="1"/>
  <c r="H24" i="134"/>
  <c r="I22" i="134" s="1"/>
  <c r="G24" i="134"/>
  <c r="R23" i="134"/>
  <c r="P23" i="134"/>
  <c r="O23" i="134"/>
  <c r="M23" i="134"/>
  <c r="K23" i="134"/>
  <c r="J23" i="134"/>
  <c r="L25" i="134" s="1"/>
  <c r="H23" i="134"/>
  <c r="I21" i="134" s="1"/>
  <c r="G23" i="134"/>
  <c r="K22" i="134"/>
  <c r="J22" i="134"/>
  <c r="L24" i="134" s="1"/>
  <c r="K21" i="134"/>
  <c r="J21" i="134"/>
  <c r="L23" i="134" s="1"/>
  <c r="K20" i="134"/>
  <c r="J20" i="134"/>
  <c r="L20" i="134" s="1"/>
  <c r="H20" i="134"/>
  <c r="I20" i="134" s="1"/>
  <c r="G20" i="134"/>
  <c r="K19" i="134"/>
  <c r="J19" i="134"/>
  <c r="L19" i="134" s="1"/>
  <c r="H19" i="134"/>
  <c r="I19" i="134" s="1"/>
  <c r="G19" i="134"/>
  <c r="T18" i="134" a="1"/>
  <c r="T18" i="134" s="1"/>
  <c r="R18" i="134"/>
  <c r="Q18" i="134"/>
  <c r="P18" i="134"/>
  <c r="O18" i="134"/>
  <c r="N23" i="134" s="1"/>
  <c r="N18" i="134"/>
  <c r="M18" i="134"/>
  <c r="K18" i="134"/>
  <c r="J18" i="134"/>
  <c r="H18" i="134"/>
  <c r="I18" i="134" s="1"/>
  <c r="G18" i="134"/>
  <c r="T17" i="134" a="1"/>
  <c r="T17" i="134" s="1"/>
  <c r="K17" i="134"/>
  <c r="J17" i="134"/>
  <c r="H17" i="134"/>
  <c r="I17" i="134" s="1"/>
  <c r="G17" i="134"/>
  <c r="T16" i="134" a="1"/>
  <c r="T16" i="134" s="1"/>
  <c r="T15" i="134" a="1"/>
  <c r="T15" i="134" s="1"/>
  <c r="T14" i="134" a="1"/>
  <c r="T14" i="134" s="1"/>
  <c r="T13" i="134" a="1"/>
  <c r="T13" i="134" s="1"/>
  <c r="R13" i="134"/>
  <c r="Q13" i="134"/>
  <c r="P13" i="134"/>
  <c r="O13" i="134"/>
  <c r="N13" i="134"/>
  <c r="M13" i="134"/>
  <c r="L13" i="134"/>
  <c r="G13" i="134"/>
  <c r="D13" i="134"/>
  <c r="C13" i="134"/>
  <c r="T12" i="134" a="1"/>
  <c r="T12" i="134" s="1"/>
  <c r="R12" i="134"/>
  <c r="Q12" i="134"/>
  <c r="P12" i="134"/>
  <c r="O12" i="134"/>
  <c r="N12" i="134"/>
  <c r="M12" i="134"/>
  <c r="L12" i="134"/>
  <c r="G12" i="134"/>
  <c r="D12" i="134"/>
  <c r="C12" i="134"/>
  <c r="T11" i="134" a="1"/>
  <c r="T11" i="134" s="1"/>
  <c r="R11" i="134"/>
  <c r="Q11" i="134"/>
  <c r="P11" i="134"/>
  <c r="O11" i="134"/>
  <c r="N11" i="134"/>
  <c r="M11" i="134"/>
  <c r="L11" i="134"/>
  <c r="G11" i="134"/>
  <c r="D11" i="134"/>
  <c r="C11" i="134"/>
  <c r="R10" i="134"/>
  <c r="Q10" i="134"/>
  <c r="P10" i="134"/>
  <c r="O10" i="134"/>
  <c r="N10" i="134"/>
  <c r="M10" i="134"/>
  <c r="L10" i="134"/>
  <c r="G10" i="134"/>
  <c r="D10" i="134"/>
  <c r="C10" i="134"/>
  <c r="R9" i="134"/>
  <c r="Q9" i="134"/>
  <c r="P9" i="134"/>
  <c r="O9" i="134"/>
  <c r="N9" i="134"/>
  <c r="M9" i="134"/>
  <c r="L9" i="134"/>
  <c r="G9" i="134"/>
  <c r="D9" i="134"/>
  <c r="C9" i="134"/>
  <c r="R8" i="134"/>
  <c r="Q8" i="134"/>
  <c r="P8" i="134"/>
  <c r="O8" i="134"/>
  <c r="N8" i="134"/>
  <c r="M8" i="134"/>
  <c r="L8" i="134"/>
  <c r="G8" i="134"/>
  <c r="D8" i="134"/>
  <c r="C8" i="134"/>
  <c r="R7" i="134"/>
  <c r="Q7" i="134"/>
  <c r="P7" i="134"/>
  <c r="O7" i="134"/>
  <c r="N7" i="134"/>
  <c r="M7" i="134"/>
  <c r="L7" i="134"/>
  <c r="G7" i="134"/>
  <c r="D7" i="134"/>
  <c r="C7" i="134"/>
  <c r="R6" i="134"/>
  <c r="Q6" i="134"/>
  <c r="P6" i="134"/>
  <c r="O6" i="134"/>
  <c r="N6" i="134"/>
  <c r="M6" i="134"/>
  <c r="L6" i="134"/>
  <c r="G6" i="134"/>
  <c r="D6" i="134"/>
  <c r="C6" i="134"/>
  <c r="R5" i="134"/>
  <c r="Q5" i="134"/>
  <c r="P5" i="134"/>
  <c r="O5" i="134"/>
  <c r="N5" i="134"/>
  <c r="M5" i="134"/>
  <c r="L5" i="134"/>
  <c r="G5" i="134"/>
  <c r="D5" i="134"/>
  <c r="C5" i="134"/>
  <c r="R4" i="134"/>
  <c r="Q4" i="134"/>
  <c r="P4" i="134"/>
  <c r="O4" i="134"/>
  <c r="N4" i="134"/>
  <c r="M4" i="134"/>
  <c r="L4" i="134"/>
  <c r="G4" i="134"/>
  <c r="D4" i="134"/>
  <c r="C4" i="134"/>
  <c r="R3" i="134"/>
  <c r="Q3" i="134"/>
  <c r="P3" i="134"/>
  <c r="O3" i="134"/>
  <c r="N3" i="134"/>
  <c r="M3" i="134"/>
  <c r="L3" i="134"/>
  <c r="G3" i="134"/>
  <c r="D3" i="134"/>
  <c r="C3" i="134"/>
  <c r="R2" i="134"/>
  <c r="Q2" i="134"/>
  <c r="P2" i="134"/>
  <c r="O2" i="134"/>
  <c r="N2" i="134"/>
  <c r="M2" i="134"/>
  <c r="L2" i="134"/>
  <c r="G2" i="134"/>
  <c r="D2" i="134"/>
  <c r="C2" i="134"/>
  <c r="R18" i="74"/>
  <c r="Q49" i="133"/>
  <c r="P49" i="133"/>
  <c r="O49" i="133"/>
  <c r="M49" i="133"/>
  <c r="Q44" i="133"/>
  <c r="P44" i="133"/>
  <c r="O44" i="133"/>
  <c r="M44" i="133"/>
  <c r="P39" i="133"/>
  <c r="O39" i="133"/>
  <c r="Q48" i="133" s="1"/>
  <c r="P35" i="133"/>
  <c r="O35" i="133"/>
  <c r="Q43" i="133" s="1"/>
  <c r="U30" i="133"/>
  <c r="P30" i="133"/>
  <c r="O30" i="133"/>
  <c r="P26" i="133"/>
  <c r="Q30" i="133" s="1"/>
  <c r="O26" i="133"/>
  <c r="G26" i="133"/>
  <c r="G25" i="133"/>
  <c r="K24" i="133"/>
  <c r="J24" i="133"/>
  <c r="L26" i="133" s="1"/>
  <c r="G24" i="133"/>
  <c r="K23" i="133"/>
  <c r="J23" i="133"/>
  <c r="L25" i="133" s="1"/>
  <c r="G23" i="133"/>
  <c r="P22" i="133"/>
  <c r="O22" i="133"/>
  <c r="K22" i="133"/>
  <c r="J22" i="133"/>
  <c r="L24" i="133" s="1"/>
  <c r="K21" i="133"/>
  <c r="J21" i="133"/>
  <c r="L23" i="133" s="1"/>
  <c r="K20" i="133"/>
  <c r="J20" i="133"/>
  <c r="L20" i="133" s="1"/>
  <c r="G20" i="133"/>
  <c r="K19" i="133"/>
  <c r="J19" i="133"/>
  <c r="L19" i="133" s="1"/>
  <c r="G19" i="133"/>
  <c r="P18" i="133"/>
  <c r="O18" i="133"/>
  <c r="M30" i="133" s="1"/>
  <c r="K18" i="133"/>
  <c r="J18" i="133"/>
  <c r="L18" i="133" s="1"/>
  <c r="G18" i="133"/>
  <c r="K17" i="133"/>
  <c r="J17" i="133"/>
  <c r="G17" i="133"/>
  <c r="R13" i="133"/>
  <c r="Q13" i="133"/>
  <c r="P13" i="133"/>
  <c r="O13" i="133"/>
  <c r="N13" i="133"/>
  <c r="M13" i="133"/>
  <c r="L13" i="133"/>
  <c r="C13" i="133"/>
  <c r="R12" i="133"/>
  <c r="Q12" i="133"/>
  <c r="P12" i="133"/>
  <c r="O12" i="133"/>
  <c r="N12" i="133"/>
  <c r="M12" i="133"/>
  <c r="L12" i="133"/>
  <c r="C12" i="133"/>
  <c r="R11" i="133"/>
  <c r="Q11" i="133"/>
  <c r="P11" i="133"/>
  <c r="O11" i="133"/>
  <c r="N11" i="133"/>
  <c r="M11" i="133"/>
  <c r="L11" i="133"/>
  <c r="C11" i="133"/>
  <c r="R10" i="133"/>
  <c r="Q10" i="133"/>
  <c r="P10" i="133"/>
  <c r="O10" i="133"/>
  <c r="N10" i="133"/>
  <c r="M10" i="133"/>
  <c r="L10" i="133"/>
  <c r="C10" i="133"/>
  <c r="R9" i="133"/>
  <c r="Q9" i="133"/>
  <c r="P9" i="133"/>
  <c r="O9" i="133"/>
  <c r="N9" i="133"/>
  <c r="M9" i="133"/>
  <c r="L9" i="133"/>
  <c r="C9" i="133"/>
  <c r="R8" i="133"/>
  <c r="Q8" i="133"/>
  <c r="P8" i="133"/>
  <c r="O8" i="133"/>
  <c r="N8" i="133"/>
  <c r="M8" i="133"/>
  <c r="L8" i="133"/>
  <c r="C8" i="133"/>
  <c r="R7" i="133"/>
  <c r="Q7" i="133"/>
  <c r="P7" i="133"/>
  <c r="O7" i="133"/>
  <c r="N7" i="133"/>
  <c r="M7" i="133"/>
  <c r="L7" i="133"/>
  <c r="C7" i="133"/>
  <c r="T6" i="133"/>
  <c r="R6" i="133"/>
  <c r="Q6" i="133"/>
  <c r="P6" i="133"/>
  <c r="O6" i="133"/>
  <c r="N6" i="133"/>
  <c r="M6" i="133"/>
  <c r="L6" i="133"/>
  <c r="C6" i="133"/>
  <c r="T5" i="133"/>
  <c r="R5" i="133"/>
  <c r="Q5" i="133"/>
  <c r="P5" i="133"/>
  <c r="O5" i="133"/>
  <c r="N5" i="133"/>
  <c r="M5" i="133"/>
  <c r="L5" i="133"/>
  <c r="C5" i="133"/>
  <c r="T4" i="133"/>
  <c r="R4" i="133"/>
  <c r="Q4" i="133"/>
  <c r="P4" i="133"/>
  <c r="O4" i="133"/>
  <c r="N4" i="133"/>
  <c r="M4" i="133"/>
  <c r="L4" i="133"/>
  <c r="C4" i="133"/>
  <c r="T3" i="133"/>
  <c r="R3" i="133"/>
  <c r="Q3" i="133"/>
  <c r="P3" i="133"/>
  <c r="O3" i="133"/>
  <c r="N3" i="133"/>
  <c r="M3" i="133"/>
  <c r="L3" i="133"/>
  <c r="C3" i="133"/>
  <c r="R2" i="133"/>
  <c r="Q2" i="133"/>
  <c r="P2" i="133"/>
  <c r="O2" i="133"/>
  <c r="N2" i="133"/>
  <c r="M2" i="133"/>
  <c r="L2" i="133"/>
  <c r="C2" i="133"/>
  <c r="Q34" i="132"/>
  <c r="P34" i="132"/>
  <c r="O34" i="132"/>
  <c r="M34" i="132"/>
  <c r="Q33" i="132"/>
  <c r="M33" i="132"/>
  <c r="R27" i="132"/>
  <c r="Q27" i="132"/>
  <c r="P27" i="132"/>
  <c r="O27" i="132"/>
  <c r="N27" i="132" s="1"/>
  <c r="R26" i="132"/>
  <c r="R28" i="132" s="1"/>
  <c r="Q26" i="132"/>
  <c r="Q28" i="132" s="1"/>
  <c r="N26" i="132"/>
  <c r="N28" i="132" s="1"/>
  <c r="M26" i="132"/>
  <c r="M28" i="132" s="1"/>
  <c r="J26" i="132"/>
  <c r="G26" i="132"/>
  <c r="J25" i="132"/>
  <c r="G25" i="132"/>
  <c r="K24" i="132"/>
  <c r="J24" i="132"/>
  <c r="L26" i="132" s="1"/>
  <c r="G24" i="132"/>
  <c r="K23" i="132"/>
  <c r="J23" i="132"/>
  <c r="L25" i="132" s="1"/>
  <c r="G23" i="132"/>
  <c r="K22" i="132"/>
  <c r="J22" i="132"/>
  <c r="L24" i="132" s="1"/>
  <c r="G22" i="132"/>
  <c r="R21" i="132"/>
  <c r="P21" i="132"/>
  <c r="O21" i="132"/>
  <c r="N21" i="132" s="1"/>
  <c r="K21" i="132"/>
  <c r="J21" i="132"/>
  <c r="L23" i="132" s="1"/>
  <c r="K20" i="132"/>
  <c r="J20" i="132"/>
  <c r="L22" i="132" s="1"/>
  <c r="K19" i="132"/>
  <c r="J19" i="132"/>
  <c r="L19" i="132" s="1"/>
  <c r="G19" i="132"/>
  <c r="K18" i="132"/>
  <c r="J18" i="132"/>
  <c r="L18" i="132" s="1"/>
  <c r="G18" i="132"/>
  <c r="K17" i="132"/>
  <c r="J17" i="132"/>
  <c r="L17" i="132" s="1"/>
  <c r="G17" i="132"/>
  <c r="R16" i="132"/>
  <c r="Q16" i="132"/>
  <c r="P16" i="132"/>
  <c r="O16" i="132"/>
  <c r="Q21" i="132" s="1"/>
  <c r="N16" i="132"/>
  <c r="M16" i="132"/>
  <c r="K16" i="132"/>
  <c r="J16" i="132"/>
  <c r="L16" i="132" s="1"/>
  <c r="G16" i="132"/>
  <c r="K15" i="132"/>
  <c r="J15" i="132"/>
  <c r="L15" i="132" s="1"/>
  <c r="G15" i="132"/>
  <c r="R11" i="132"/>
  <c r="Q11" i="132"/>
  <c r="P11" i="132"/>
  <c r="O11" i="132"/>
  <c r="N11" i="132"/>
  <c r="M11" i="132"/>
  <c r="L11" i="132"/>
  <c r="G11" i="132"/>
  <c r="D11" i="132"/>
  <c r="C11" i="132"/>
  <c r="R10" i="132"/>
  <c r="Q10" i="132"/>
  <c r="P10" i="132"/>
  <c r="O10" i="132"/>
  <c r="N10" i="132"/>
  <c r="M10" i="132"/>
  <c r="L10" i="132"/>
  <c r="G10" i="132"/>
  <c r="D10" i="132"/>
  <c r="C10" i="132"/>
  <c r="R9" i="132"/>
  <c r="Q9" i="132"/>
  <c r="P9" i="132"/>
  <c r="O9" i="132"/>
  <c r="N9" i="132"/>
  <c r="M9" i="132"/>
  <c r="L9" i="132"/>
  <c r="G9" i="132"/>
  <c r="D9" i="132"/>
  <c r="C9" i="132"/>
  <c r="R8" i="132"/>
  <c r="Q8" i="132"/>
  <c r="P8" i="132"/>
  <c r="O8" i="132"/>
  <c r="N8" i="132"/>
  <c r="M8" i="132"/>
  <c r="L8" i="132"/>
  <c r="G8" i="132"/>
  <c r="D8" i="132"/>
  <c r="C8" i="132"/>
  <c r="R7" i="132"/>
  <c r="Q7" i="132"/>
  <c r="P7" i="132"/>
  <c r="O7" i="132"/>
  <c r="N7" i="132"/>
  <c r="M7" i="132"/>
  <c r="L7" i="132"/>
  <c r="G7" i="132"/>
  <c r="D7" i="132"/>
  <c r="C7" i="132"/>
  <c r="R6" i="132"/>
  <c r="Q6" i="132"/>
  <c r="P6" i="132"/>
  <c r="O6" i="132"/>
  <c r="N6" i="132"/>
  <c r="M6" i="132"/>
  <c r="L6" i="132"/>
  <c r="G6" i="132"/>
  <c r="D6" i="132"/>
  <c r="C6" i="132"/>
  <c r="R5" i="132"/>
  <c r="Q5" i="132"/>
  <c r="P5" i="132"/>
  <c r="O5" i="132"/>
  <c r="N5" i="132"/>
  <c r="M5" i="132"/>
  <c r="L5" i="132"/>
  <c r="G5" i="132"/>
  <c r="D5" i="132"/>
  <c r="C5" i="132"/>
  <c r="R4" i="132"/>
  <c r="Q4" i="132"/>
  <c r="P4" i="132"/>
  <c r="O4" i="132"/>
  <c r="N4" i="132"/>
  <c r="M4" i="132"/>
  <c r="L4" i="132"/>
  <c r="G4" i="132"/>
  <c r="D4" i="132"/>
  <c r="C4" i="132"/>
  <c r="R3" i="132"/>
  <c r="Q3" i="132"/>
  <c r="P3" i="132"/>
  <c r="O3" i="132"/>
  <c r="N3" i="132"/>
  <c r="M3" i="132"/>
  <c r="L3" i="132"/>
  <c r="G3" i="132"/>
  <c r="D3" i="132"/>
  <c r="C3" i="132"/>
  <c r="R2" i="132"/>
  <c r="Q2" i="132"/>
  <c r="P2" i="132"/>
  <c r="O2" i="132"/>
  <c r="N2" i="132"/>
  <c r="M2" i="132"/>
  <c r="L2" i="132"/>
  <c r="G2" i="132"/>
  <c r="D2" i="132"/>
  <c r="C2" i="132"/>
  <c r="I15" i="110"/>
  <c r="C119" i="49"/>
  <c r="D119" i="49" s="1"/>
  <c r="E119" i="49"/>
  <c r="F119" i="49" s="1"/>
  <c r="G119" i="49"/>
  <c r="H119" i="49" s="1"/>
  <c r="C123" i="49"/>
  <c r="D123" i="49" s="1"/>
  <c r="E123" i="49"/>
  <c r="F123" i="49" s="1"/>
  <c r="G123" i="49"/>
  <c r="H123" i="49" s="1"/>
  <c r="C118" i="49"/>
  <c r="D118" i="49" s="1"/>
  <c r="E118" i="49"/>
  <c r="F118" i="49" s="1"/>
  <c r="G118" i="49"/>
  <c r="H118" i="49" s="1"/>
  <c r="C122" i="49"/>
  <c r="D122" i="49" s="1"/>
  <c r="E122" i="49"/>
  <c r="F122" i="49" s="1"/>
  <c r="G122" i="49"/>
  <c r="H122" i="49" s="1"/>
  <c r="C125" i="49"/>
  <c r="D125" i="49" s="1"/>
  <c r="E125" i="49"/>
  <c r="F125" i="49" s="1"/>
  <c r="G125" i="49"/>
  <c r="H125" i="49" s="1"/>
  <c r="C124" i="49"/>
  <c r="D124" i="49" s="1"/>
  <c r="E124" i="49"/>
  <c r="F124" i="49" s="1"/>
  <c r="G124" i="49"/>
  <c r="H124" i="49" s="1"/>
  <c r="T11" i="129"/>
  <c r="T10" i="129"/>
  <c r="C90" i="49"/>
  <c r="D90" i="49" s="1"/>
  <c r="E90" i="49"/>
  <c r="F90" i="49" s="1"/>
  <c r="G90" i="49"/>
  <c r="H90" i="49" s="1"/>
  <c r="C93" i="49"/>
  <c r="D93" i="49" s="1"/>
  <c r="E93" i="49"/>
  <c r="F93" i="49" s="1"/>
  <c r="G93" i="49"/>
  <c r="H93" i="49" s="1"/>
  <c r="C73" i="49"/>
  <c r="D73" i="49" s="1"/>
  <c r="E73" i="49"/>
  <c r="F73" i="49" s="1"/>
  <c r="G73" i="49"/>
  <c r="H73" i="49" s="1"/>
  <c r="C69" i="49"/>
  <c r="D69" i="49" s="1"/>
  <c r="E69" i="49"/>
  <c r="F69" i="49" s="1"/>
  <c r="G69" i="49"/>
  <c r="H69" i="49" s="1"/>
  <c r="N27" i="128"/>
  <c r="M27" i="128"/>
  <c r="N27" i="130"/>
  <c r="M27" i="130"/>
  <c r="Q34" i="130"/>
  <c r="M34" i="130"/>
  <c r="R27" i="130"/>
  <c r="Q27" i="130"/>
  <c r="M21" i="130"/>
  <c r="R16" i="130"/>
  <c r="Q16" i="130"/>
  <c r="N16" i="130"/>
  <c r="M16" i="130"/>
  <c r="Q34" i="128"/>
  <c r="M34" i="128"/>
  <c r="R27" i="128"/>
  <c r="Q27" i="128"/>
  <c r="R16" i="128"/>
  <c r="Q16" i="128"/>
  <c r="N16" i="128"/>
  <c r="M16" i="128"/>
  <c r="G42" i="131"/>
  <c r="G41" i="131"/>
  <c r="L40" i="131"/>
  <c r="G40" i="131"/>
  <c r="G39" i="131"/>
  <c r="J38" i="131"/>
  <c r="L34" i="131"/>
  <c r="K34" i="131"/>
  <c r="J34" i="131"/>
  <c r="L42" i="131" s="1"/>
  <c r="G34" i="131"/>
  <c r="K33" i="131"/>
  <c r="J33" i="131"/>
  <c r="L41" i="131" s="1"/>
  <c r="G33" i="131"/>
  <c r="K32" i="131"/>
  <c r="J32" i="131"/>
  <c r="G32" i="131"/>
  <c r="K31" i="131"/>
  <c r="J31" i="131"/>
  <c r="L39" i="131" s="1"/>
  <c r="G31" i="131"/>
  <c r="Q30" i="131"/>
  <c r="P30" i="131"/>
  <c r="O30" i="131"/>
  <c r="M30" i="131"/>
  <c r="K30" i="131"/>
  <c r="J30" i="131"/>
  <c r="Q29" i="131"/>
  <c r="M29" i="131"/>
  <c r="K29" i="131"/>
  <c r="J29" i="131"/>
  <c r="L33" i="131" s="1"/>
  <c r="K28" i="131"/>
  <c r="J28" i="131"/>
  <c r="L32" i="131" s="1"/>
  <c r="K27" i="131"/>
  <c r="J27" i="131"/>
  <c r="L31" i="131" s="1"/>
  <c r="L26" i="131"/>
  <c r="K26" i="131"/>
  <c r="J26" i="131"/>
  <c r="G26" i="131"/>
  <c r="K25" i="131"/>
  <c r="J25" i="131"/>
  <c r="L25" i="131" s="1"/>
  <c r="G25" i="131"/>
  <c r="R24" i="131"/>
  <c r="Q24" i="131"/>
  <c r="P24" i="131"/>
  <c r="O24" i="131"/>
  <c r="N24" i="131"/>
  <c r="M24" i="131"/>
  <c r="K24" i="131"/>
  <c r="J24" i="131"/>
  <c r="L24" i="131" s="1"/>
  <c r="G24" i="131"/>
  <c r="R23" i="131"/>
  <c r="R23" i="131" a="1"/>
  <c r="Q23" i="131"/>
  <c r="Q23" i="131" a="1"/>
  <c r="N23" i="131" a="1"/>
  <c r="N23" i="131" s="1"/>
  <c r="M23" i="131" a="1"/>
  <c r="M23" i="131" s="1"/>
  <c r="K23" i="131"/>
  <c r="J23" i="131"/>
  <c r="T8" i="131" s="1" a="1"/>
  <c r="T8" i="131" s="1"/>
  <c r="G23" i="131"/>
  <c r="R19" i="131"/>
  <c r="Q19" i="131"/>
  <c r="P19" i="131"/>
  <c r="O19" i="131"/>
  <c r="N19" i="131"/>
  <c r="M19" i="131"/>
  <c r="L19" i="131"/>
  <c r="G19" i="131"/>
  <c r="D19" i="131"/>
  <c r="C19" i="131"/>
  <c r="R18" i="131"/>
  <c r="Q18" i="131"/>
  <c r="P18" i="131"/>
  <c r="O18" i="131"/>
  <c r="N18" i="131"/>
  <c r="M18" i="131"/>
  <c r="L18" i="131"/>
  <c r="G18" i="131"/>
  <c r="D18" i="131"/>
  <c r="C18" i="131"/>
  <c r="R17" i="131"/>
  <c r="Q17" i="131"/>
  <c r="P17" i="131"/>
  <c r="O17" i="131"/>
  <c r="N17" i="131"/>
  <c r="M17" i="131"/>
  <c r="L17" i="131"/>
  <c r="G17" i="131"/>
  <c r="D17" i="131"/>
  <c r="C17" i="131"/>
  <c r="R16" i="131"/>
  <c r="Q16" i="131"/>
  <c r="P16" i="131"/>
  <c r="O16" i="131"/>
  <c r="N16" i="131"/>
  <c r="M16" i="131"/>
  <c r="L16" i="131"/>
  <c r="G16" i="131"/>
  <c r="D16" i="131"/>
  <c r="C16" i="131"/>
  <c r="R15" i="131"/>
  <c r="Q15" i="131"/>
  <c r="P15" i="131"/>
  <c r="O15" i="131"/>
  <c r="N15" i="131"/>
  <c r="M15" i="131"/>
  <c r="L15" i="131"/>
  <c r="G15" i="131"/>
  <c r="D15" i="131"/>
  <c r="C15" i="131"/>
  <c r="T14" i="131" a="1"/>
  <c r="T14" i="131" s="1"/>
  <c r="R14" i="131"/>
  <c r="Q14" i="131"/>
  <c r="P14" i="131"/>
  <c r="O14" i="131"/>
  <c r="N14" i="131"/>
  <c r="M14" i="131"/>
  <c r="L14" i="131"/>
  <c r="G14" i="131"/>
  <c r="D14" i="131"/>
  <c r="C14" i="131"/>
  <c r="R13" i="131"/>
  <c r="Q13" i="131"/>
  <c r="P13" i="131"/>
  <c r="O13" i="131"/>
  <c r="N13" i="131"/>
  <c r="M13" i="131"/>
  <c r="L13" i="131"/>
  <c r="G13" i="131"/>
  <c r="D13" i="131"/>
  <c r="C13" i="131"/>
  <c r="T12" i="131" a="1"/>
  <c r="T12" i="131" s="1"/>
  <c r="R12" i="131"/>
  <c r="Q12" i="131"/>
  <c r="P12" i="131"/>
  <c r="O12" i="131"/>
  <c r="N12" i="131"/>
  <c r="M12" i="131"/>
  <c r="L12" i="131"/>
  <c r="G12" i="131"/>
  <c r="D12" i="131"/>
  <c r="C12" i="131"/>
  <c r="R11" i="131"/>
  <c r="Q11" i="131"/>
  <c r="P11" i="131"/>
  <c r="O11" i="131"/>
  <c r="N11" i="131"/>
  <c r="M11" i="131"/>
  <c r="L11" i="131"/>
  <c r="G11" i="131"/>
  <c r="D11" i="131"/>
  <c r="C11" i="131"/>
  <c r="T10" i="131" a="1"/>
  <c r="T10" i="131" s="1"/>
  <c r="R10" i="131"/>
  <c r="Q10" i="131"/>
  <c r="P10" i="131"/>
  <c r="O10" i="131"/>
  <c r="N10" i="131"/>
  <c r="M10" i="131"/>
  <c r="L10" i="131"/>
  <c r="G10" i="131"/>
  <c r="D10" i="131"/>
  <c r="C10" i="131"/>
  <c r="R9" i="131"/>
  <c r="Q9" i="131"/>
  <c r="P9" i="131"/>
  <c r="O9" i="131"/>
  <c r="N9" i="131"/>
  <c r="M9" i="131"/>
  <c r="L9" i="131"/>
  <c r="G9" i="131"/>
  <c r="D9" i="131"/>
  <c r="C9" i="131"/>
  <c r="R8" i="131"/>
  <c r="Q8" i="131"/>
  <c r="P8" i="131"/>
  <c r="O8" i="131"/>
  <c r="N8" i="131"/>
  <c r="M8" i="131"/>
  <c r="L8" i="131"/>
  <c r="G8" i="131"/>
  <c r="D8" i="131"/>
  <c r="C8" i="131"/>
  <c r="T7" i="131" a="1"/>
  <c r="T7" i="131" s="1"/>
  <c r="R7" i="131"/>
  <c r="Q7" i="131"/>
  <c r="P7" i="131"/>
  <c r="O7" i="131"/>
  <c r="N7" i="131"/>
  <c r="M7" i="131"/>
  <c r="L7" i="131"/>
  <c r="G7" i="131"/>
  <c r="D7" i="131"/>
  <c r="C7" i="131"/>
  <c r="T6" i="131"/>
  <c r="R6" i="131"/>
  <c r="Q6" i="131"/>
  <c r="P6" i="131"/>
  <c r="O6" i="131"/>
  <c r="N6" i="131"/>
  <c r="M6" i="131"/>
  <c r="L6" i="131"/>
  <c r="G6" i="131"/>
  <c r="D6" i="131"/>
  <c r="C6" i="131"/>
  <c r="T5" i="131"/>
  <c r="R5" i="131"/>
  <c r="Q5" i="131"/>
  <c r="P5" i="131"/>
  <c r="O5" i="131"/>
  <c r="N5" i="131"/>
  <c r="M5" i="131"/>
  <c r="L5" i="131"/>
  <c r="G5" i="131"/>
  <c r="D5" i="131"/>
  <c r="C5" i="131"/>
  <c r="T4" i="131"/>
  <c r="R4" i="131"/>
  <c r="Q4" i="131"/>
  <c r="P4" i="131"/>
  <c r="O4" i="131"/>
  <c r="N4" i="131"/>
  <c r="M4" i="131"/>
  <c r="L4" i="131"/>
  <c r="G4" i="131"/>
  <c r="D4" i="131"/>
  <c r="C4" i="131"/>
  <c r="T3" i="131"/>
  <c r="R3" i="131"/>
  <c r="Q3" i="131"/>
  <c r="P3" i="131"/>
  <c r="O3" i="131"/>
  <c r="N3" i="131"/>
  <c r="M3" i="131"/>
  <c r="L3" i="131"/>
  <c r="G3" i="131"/>
  <c r="D3" i="131"/>
  <c r="C3" i="131"/>
  <c r="R2" i="131"/>
  <c r="Q2" i="131"/>
  <c r="P2" i="131"/>
  <c r="O2" i="131"/>
  <c r="N2" i="131"/>
  <c r="M2" i="131"/>
  <c r="L2" i="131"/>
  <c r="G2" i="131"/>
  <c r="D2" i="131"/>
  <c r="F39" i="131" s="1"/>
  <c r="C2" i="131"/>
  <c r="X1" i="131" s="1"/>
  <c r="F26" i="132" l="1"/>
  <c r="D17" i="132"/>
  <c r="C23" i="132"/>
  <c r="E23" i="132"/>
  <c r="E26" i="132"/>
  <c r="N20" i="132" a="1"/>
  <c r="N20" i="132" s="1"/>
  <c r="F26" i="137"/>
  <c r="D17" i="137"/>
  <c r="N20" i="137" a="1"/>
  <c r="N20" i="137" s="1"/>
  <c r="Q22" i="134" a="1"/>
  <c r="Q22" i="134" s="1"/>
  <c r="Q24" i="134" s="1"/>
  <c r="E23" i="134"/>
  <c r="C36" i="134"/>
  <c r="C38" i="134"/>
  <c r="P24" i="134"/>
  <c r="P25" i="134" s="1"/>
  <c r="T26" i="134" a="1"/>
  <c r="T26" i="134" s="1"/>
  <c r="L17" i="134"/>
  <c r="D32" i="134"/>
  <c r="N17" i="134" a="1"/>
  <c r="N17" i="134" s="1"/>
  <c r="N19" i="134" s="1"/>
  <c r="P19" i="134"/>
  <c r="D38" i="134"/>
  <c r="R14" i="136" a="1"/>
  <c r="R14" i="136" s="1"/>
  <c r="M14" i="136" a="1"/>
  <c r="M14" i="136" s="1"/>
  <c r="N14" i="136" a="1"/>
  <c r="N14" i="136" s="1"/>
  <c r="Q14" i="136" a="1"/>
  <c r="Q14" i="136" s="1"/>
  <c r="E25" i="133"/>
  <c r="Q17" i="133" a="1"/>
  <c r="Q17" i="133" s="1"/>
  <c r="Q15" i="137" a="1"/>
  <c r="Q15" i="137" s="1"/>
  <c r="E18" i="137"/>
  <c r="C19" i="137"/>
  <c r="M21" i="137"/>
  <c r="E22" i="137"/>
  <c r="C23" i="137"/>
  <c r="M27" i="137"/>
  <c r="Q20" i="137" a="1"/>
  <c r="Q20" i="137" s="1"/>
  <c r="F22" i="137"/>
  <c r="D23" i="137"/>
  <c r="F18" i="137"/>
  <c r="D19" i="137"/>
  <c r="C15" i="137"/>
  <c r="R15" i="137" a="1"/>
  <c r="R15" i="137" s="1"/>
  <c r="E19" i="137"/>
  <c r="E23" i="137"/>
  <c r="C24" i="137"/>
  <c r="F19" i="137"/>
  <c r="R20" i="137" a="1"/>
  <c r="R20" i="137" s="1"/>
  <c r="F23" i="137"/>
  <c r="D24" i="137"/>
  <c r="D15" i="137"/>
  <c r="L15" i="137"/>
  <c r="E15" i="137"/>
  <c r="M15" i="137" a="1"/>
  <c r="M15" i="137" s="1"/>
  <c r="C16" i="137"/>
  <c r="C17" i="137"/>
  <c r="E24" i="137"/>
  <c r="C25" i="137"/>
  <c r="C26" i="137"/>
  <c r="D16" i="137"/>
  <c r="M20" i="137" a="1"/>
  <c r="M20" i="137" s="1"/>
  <c r="F24" i="137"/>
  <c r="D25" i="137"/>
  <c r="D26" i="137"/>
  <c r="F15" i="137"/>
  <c r="N15" i="137" a="1"/>
  <c r="N15" i="137" s="1"/>
  <c r="E16" i="137"/>
  <c r="E17" i="137"/>
  <c r="C18" i="137"/>
  <c r="C22" i="137"/>
  <c r="E25" i="137"/>
  <c r="E26" i="137"/>
  <c r="F16" i="137"/>
  <c r="F17" i="137"/>
  <c r="D18" i="137"/>
  <c r="D22" i="137"/>
  <c r="F25" i="137"/>
  <c r="M3" i="99"/>
  <c r="M1" i="99"/>
  <c r="M2" i="99"/>
  <c r="M4" i="99"/>
  <c r="M6" i="99"/>
  <c r="M5" i="99"/>
  <c r="T7" i="136"/>
  <c r="T8" i="136"/>
  <c r="T5" i="136"/>
  <c r="H17" i="136"/>
  <c r="I17" i="136" s="1"/>
  <c r="X1" i="136"/>
  <c r="D15" i="136"/>
  <c r="D17" i="136"/>
  <c r="C18" i="136"/>
  <c r="H18" i="136" s="1"/>
  <c r="I18" i="136" s="1"/>
  <c r="C19" i="136"/>
  <c r="H19" i="136" s="1"/>
  <c r="I19" i="136" s="1"/>
  <c r="D19" i="136"/>
  <c r="R15" i="136"/>
  <c r="T6" i="136" s="1"/>
  <c r="X6" i="136"/>
  <c r="C14" i="136"/>
  <c r="H14" i="136" s="1"/>
  <c r="I14" i="136" s="1"/>
  <c r="C16" i="136"/>
  <c r="H16" i="136" s="1"/>
  <c r="I16" i="136" s="1"/>
  <c r="X2" i="136"/>
  <c r="X4" i="136"/>
  <c r="X3" i="136"/>
  <c r="D16" i="136"/>
  <c r="X5" i="135"/>
  <c r="T5" i="135"/>
  <c r="T6" i="135"/>
  <c r="H16" i="135"/>
  <c r="I16" i="135" s="1"/>
  <c r="C19" i="135"/>
  <c r="H19" i="135" s="1"/>
  <c r="I19" i="135" s="1"/>
  <c r="E18" i="135"/>
  <c r="D16" i="135"/>
  <c r="X1" i="135"/>
  <c r="D17" i="135"/>
  <c r="C18" i="135"/>
  <c r="H18" i="135" s="1"/>
  <c r="I18" i="135" s="1"/>
  <c r="F17" i="135"/>
  <c r="H17" i="135" s="1"/>
  <c r="I17" i="135" s="1"/>
  <c r="X4" i="135"/>
  <c r="D15" i="135"/>
  <c r="X6" i="135"/>
  <c r="C14" i="135"/>
  <c r="H14" i="135" s="1"/>
  <c r="I14" i="135" s="1"/>
  <c r="D19" i="135"/>
  <c r="X2" i="135"/>
  <c r="X3" i="135"/>
  <c r="T4" i="134"/>
  <c r="T3" i="134"/>
  <c r="F20" i="134"/>
  <c r="E36" i="134"/>
  <c r="F36" i="134"/>
  <c r="F17" i="134"/>
  <c r="F26" i="134"/>
  <c r="F32" i="134"/>
  <c r="N22" i="134" a="1"/>
  <c r="N22" i="134" s="1"/>
  <c r="N24" i="134" s="1"/>
  <c r="C29" i="134"/>
  <c r="C17" i="134"/>
  <c r="R17" i="134" a="1"/>
  <c r="R17" i="134" s="1"/>
  <c r="R19" i="134" s="1"/>
  <c r="E19" i="134"/>
  <c r="E20" i="134"/>
  <c r="R22" i="134" a="1"/>
  <c r="R22" i="134" s="1"/>
  <c r="R24" i="134" s="1"/>
  <c r="Q23" i="134"/>
  <c r="V26" i="134" s="1" a="1"/>
  <c r="V26" i="134" s="1"/>
  <c r="E25" i="134"/>
  <c r="C26" i="134"/>
  <c r="M28" i="134"/>
  <c r="M31" i="134" s="1"/>
  <c r="M30" i="134" s="1"/>
  <c r="M32" i="134" s="1"/>
  <c r="C32" i="134"/>
  <c r="E35" i="134"/>
  <c r="D36" i="134"/>
  <c r="F19" i="134"/>
  <c r="F35" i="134"/>
  <c r="E17" i="134"/>
  <c r="M22" i="134" a="1"/>
  <c r="M22" i="134" s="1"/>
  <c r="M24" i="134" s="1"/>
  <c r="Q29" i="134"/>
  <c r="E32" i="134"/>
  <c r="D23" i="134"/>
  <c r="D37" i="134"/>
  <c r="C30" i="134"/>
  <c r="E31" i="134"/>
  <c r="E37" i="134"/>
  <c r="F38" i="134"/>
  <c r="D18" i="134"/>
  <c r="L18" i="134"/>
  <c r="F23" i="134"/>
  <c r="F24" i="134"/>
  <c r="D29" i="134"/>
  <c r="D30" i="134"/>
  <c r="F31" i="134"/>
  <c r="F37" i="134"/>
  <c r="D26" i="134"/>
  <c r="O19" i="134"/>
  <c r="C24" i="134"/>
  <c r="C37" i="134"/>
  <c r="D31" i="134"/>
  <c r="C18" i="134"/>
  <c r="E24" i="134"/>
  <c r="Q17" i="134" a="1"/>
  <c r="Q17" i="134" s="1"/>
  <c r="Q19" i="134" s="1"/>
  <c r="E18" i="134"/>
  <c r="C19" i="134"/>
  <c r="C20" i="134"/>
  <c r="O24" i="134"/>
  <c r="O25" i="134" s="1"/>
  <c r="C25" i="134"/>
  <c r="E29" i="134"/>
  <c r="M29" i="134"/>
  <c r="E30" i="134"/>
  <c r="C35" i="134"/>
  <c r="D17" i="134"/>
  <c r="F25" i="134"/>
  <c r="M17" i="134" a="1"/>
  <c r="M17" i="134" s="1"/>
  <c r="M19" i="134" s="1"/>
  <c r="C23" i="134"/>
  <c r="E26" i="134"/>
  <c r="C31" i="134"/>
  <c r="D24" i="134"/>
  <c r="E38" i="134"/>
  <c r="F18" i="134"/>
  <c r="D19" i="134"/>
  <c r="D20" i="134"/>
  <c r="D25" i="134"/>
  <c r="F29" i="134"/>
  <c r="F30" i="134"/>
  <c r="D35" i="134"/>
  <c r="D19" i="133"/>
  <c r="Q21" i="133" a="1"/>
  <c r="Q21" i="133" s="1"/>
  <c r="Q22" i="133"/>
  <c r="F25" i="133"/>
  <c r="C26" i="133"/>
  <c r="M38" i="133"/>
  <c r="E19" i="133"/>
  <c r="D20" i="133"/>
  <c r="F19" i="133"/>
  <c r="C17" i="133"/>
  <c r="M18" i="133"/>
  <c r="D17" i="133"/>
  <c r="D24" i="133"/>
  <c r="M25" i="133" a="1"/>
  <c r="M25" i="133" s="1"/>
  <c r="M43" i="133"/>
  <c r="C18" i="133"/>
  <c r="C23" i="133"/>
  <c r="D23" i="133"/>
  <c r="E26" i="133"/>
  <c r="Q26" i="133"/>
  <c r="M48" i="133"/>
  <c r="C24" i="133"/>
  <c r="M29" i="133" a="1"/>
  <c r="M29" i="133" s="1"/>
  <c r="F18" i="133"/>
  <c r="E17" i="133"/>
  <c r="M17" i="133" a="1"/>
  <c r="M17" i="133" s="1"/>
  <c r="M22" i="133"/>
  <c r="E24" i="133"/>
  <c r="C25" i="133"/>
  <c r="Q29" i="133" a="1"/>
  <c r="Q29" i="133" s="1"/>
  <c r="Q34" i="133"/>
  <c r="C20" i="133"/>
  <c r="D26" i="133"/>
  <c r="Q38" i="133"/>
  <c r="D18" i="133"/>
  <c r="E18" i="133"/>
  <c r="E20" i="133"/>
  <c r="E23" i="133"/>
  <c r="F26" i="133"/>
  <c r="L17" i="133"/>
  <c r="F20" i="133"/>
  <c r="F23" i="133"/>
  <c r="M34" i="133"/>
  <c r="F17" i="133"/>
  <c r="Q18" i="133"/>
  <c r="M21" i="133" a="1"/>
  <c r="M21" i="133" s="1"/>
  <c r="F24" i="133"/>
  <c r="D25" i="133"/>
  <c r="Q25" i="133" a="1"/>
  <c r="Q25" i="133" s="1"/>
  <c r="C19" i="133"/>
  <c r="M26" i="133"/>
  <c r="M27" i="132"/>
  <c r="D16" i="132"/>
  <c r="M20" i="132" a="1"/>
  <c r="M20" i="132" s="1"/>
  <c r="Q15" i="132" a="1"/>
  <c r="Q15" i="132" s="1"/>
  <c r="E18" i="132"/>
  <c r="C19" i="132"/>
  <c r="M21" i="132"/>
  <c r="E22" i="132"/>
  <c r="F18" i="132"/>
  <c r="D19" i="132"/>
  <c r="Q20" i="132" a="1"/>
  <c r="Q20" i="132" s="1"/>
  <c r="F22" i="132"/>
  <c r="D23" i="132"/>
  <c r="C24" i="132"/>
  <c r="F15" i="132"/>
  <c r="C15" i="132"/>
  <c r="E19" i="132"/>
  <c r="D15" i="132"/>
  <c r="F19" i="132"/>
  <c r="R20" i="132" a="1"/>
  <c r="R20" i="132" s="1"/>
  <c r="F23" i="132"/>
  <c r="D24" i="132"/>
  <c r="R15" i="132" a="1"/>
  <c r="R15" i="132" s="1"/>
  <c r="E15" i="132"/>
  <c r="M15" i="132" a="1"/>
  <c r="M15" i="132" s="1"/>
  <c r="C16" i="132"/>
  <c r="C17" i="132"/>
  <c r="E24" i="132"/>
  <c r="C25" i="132"/>
  <c r="C26" i="132"/>
  <c r="F24" i="132"/>
  <c r="D25" i="132"/>
  <c r="D26" i="132"/>
  <c r="N15" i="132" a="1"/>
  <c r="N15" i="132" s="1"/>
  <c r="E16" i="132"/>
  <c r="E17" i="132"/>
  <c r="C18" i="132"/>
  <c r="H18" i="132" s="1"/>
  <c r="I18" i="132" s="1"/>
  <c r="C22" i="132"/>
  <c r="E25" i="132"/>
  <c r="F16" i="132"/>
  <c r="F17" i="132"/>
  <c r="D18" i="132"/>
  <c r="D22" i="132"/>
  <c r="F25" i="132"/>
  <c r="J119" i="49"/>
  <c r="J123" i="49"/>
  <c r="J118" i="49"/>
  <c r="J122" i="49"/>
  <c r="J125" i="49"/>
  <c r="J124" i="49"/>
  <c r="J90" i="49"/>
  <c r="J93" i="49"/>
  <c r="J69" i="49"/>
  <c r="J73" i="49"/>
  <c r="X2" i="131"/>
  <c r="X8" i="131"/>
  <c r="F24" i="131"/>
  <c r="F25" i="131"/>
  <c r="D26" i="131"/>
  <c r="F32" i="131"/>
  <c r="D33" i="131"/>
  <c r="E26" i="131"/>
  <c r="E33" i="131"/>
  <c r="C34" i="131"/>
  <c r="C42" i="131"/>
  <c r="F26" i="131"/>
  <c r="F33" i="131"/>
  <c r="D34" i="131"/>
  <c r="C41" i="131"/>
  <c r="H41" i="131" s="1"/>
  <c r="I33" i="131" s="1"/>
  <c r="D42" i="131"/>
  <c r="T13" i="131" a="1"/>
  <c r="T13" i="131" s="1"/>
  <c r="C23" i="131"/>
  <c r="C31" i="131"/>
  <c r="E34" i="131"/>
  <c r="C40" i="131"/>
  <c r="H40" i="131" s="1"/>
  <c r="I32" i="131" s="1"/>
  <c r="D41" i="131"/>
  <c r="E42" i="131"/>
  <c r="X5" i="131"/>
  <c r="T11" i="131" a="1"/>
  <c r="T11" i="131" s="1"/>
  <c r="X3" i="131"/>
  <c r="D23" i="131"/>
  <c r="L23" i="131"/>
  <c r="D31" i="131"/>
  <c r="F34" i="131"/>
  <c r="C39" i="131"/>
  <c r="H39" i="131" s="1"/>
  <c r="I31" i="131" s="1"/>
  <c r="D40" i="131"/>
  <c r="E41" i="131"/>
  <c r="F42" i="131"/>
  <c r="X6" i="131"/>
  <c r="T9" i="131" a="1"/>
  <c r="T9" i="131" s="1"/>
  <c r="E23" i="131"/>
  <c r="C24" i="131"/>
  <c r="H24" i="131" s="1"/>
  <c r="I24" i="131" s="1"/>
  <c r="C25" i="131"/>
  <c r="H25" i="131" s="1"/>
  <c r="I25" i="131" s="1"/>
  <c r="E31" i="131"/>
  <c r="C32" i="131"/>
  <c r="D39" i="131"/>
  <c r="E40" i="131"/>
  <c r="F41" i="131"/>
  <c r="F23" i="131"/>
  <c r="D24" i="131"/>
  <c r="D25" i="131"/>
  <c r="F31" i="131"/>
  <c r="D32" i="131"/>
  <c r="E39" i="131"/>
  <c r="F40" i="131"/>
  <c r="E24" i="131"/>
  <c r="E25" i="131"/>
  <c r="C26" i="131"/>
  <c r="H26" i="131" s="1"/>
  <c r="I26" i="131" s="1"/>
  <c r="E32" i="131"/>
  <c r="C33" i="131"/>
  <c r="H26" i="132" l="1"/>
  <c r="I24" i="132" s="1"/>
  <c r="H19" i="132"/>
  <c r="I19" i="132" s="1"/>
  <c r="H23" i="132"/>
  <c r="I21" i="132" s="1"/>
  <c r="H22" i="132"/>
  <c r="I20" i="132" s="1"/>
  <c r="H25" i="132"/>
  <c r="I23" i="132" s="1"/>
  <c r="H24" i="132"/>
  <c r="I22" i="132" s="1"/>
  <c r="H18" i="137"/>
  <c r="I18" i="137" s="1"/>
  <c r="H25" i="137"/>
  <c r="I23" i="137" s="1"/>
  <c r="H15" i="137"/>
  <c r="I15" i="137" s="1"/>
  <c r="H26" i="137"/>
  <c r="I24" i="137" s="1"/>
  <c r="H23" i="137"/>
  <c r="I21" i="137" s="1"/>
  <c r="T10" i="134" a="1"/>
  <c r="T10" i="134" s="1"/>
  <c r="H25" i="133"/>
  <c r="I23" i="133" s="1"/>
  <c r="H17" i="137"/>
  <c r="I17" i="137" s="1"/>
  <c r="H19" i="137"/>
  <c r="I19" i="137" s="1"/>
  <c r="H16" i="137"/>
  <c r="I16" i="137" s="1"/>
  <c r="H22" i="137"/>
  <c r="I20" i="137" s="1"/>
  <c r="H24" i="137"/>
  <c r="I22" i="137" s="1"/>
  <c r="T7" i="134" a="1"/>
  <c r="T7" i="134" s="1"/>
  <c r="T9" i="134" a="1"/>
  <c r="T9" i="134" s="1"/>
  <c r="T8" i="134" a="1"/>
  <c r="T8" i="134" s="1"/>
  <c r="T25" i="134" a="1"/>
  <c r="T6" i="134"/>
  <c r="T5" i="134"/>
  <c r="H20" i="133"/>
  <c r="I20" i="133" s="1"/>
  <c r="H18" i="133"/>
  <c r="I18" i="133" s="1"/>
  <c r="H24" i="133"/>
  <c r="I22" i="133" s="1"/>
  <c r="H26" i="133"/>
  <c r="I24" i="133" s="1"/>
  <c r="H19" i="133"/>
  <c r="I19" i="133" s="1"/>
  <c r="H17" i="133"/>
  <c r="I17" i="133" s="1"/>
  <c r="H23" i="133"/>
  <c r="I21" i="133" s="1"/>
  <c r="H16" i="132"/>
  <c r="I16" i="132" s="1"/>
  <c r="H17" i="132"/>
  <c r="I17" i="132" s="1"/>
  <c r="H15" i="132"/>
  <c r="I15" i="132" s="1"/>
  <c r="H33" i="131"/>
  <c r="I29" i="131" s="1"/>
  <c r="H31" i="131"/>
  <c r="I27" i="131" s="1"/>
  <c r="H42" i="131"/>
  <c r="I34" i="131" s="1"/>
  <c r="H23" i="131"/>
  <c r="I23" i="131" s="1"/>
  <c r="H34" i="131"/>
  <c r="I30" i="131" s="1"/>
  <c r="H32" i="131"/>
  <c r="I28" i="131" s="1"/>
  <c r="M14" i="135" l="1" a="1"/>
  <c r="M14" i="135" s="1"/>
  <c r="T25" i="134"/>
  <c r="N20" i="134"/>
  <c r="Q25" i="134"/>
  <c r="R20" i="134"/>
  <c r="R25" i="134"/>
  <c r="N25" i="134"/>
  <c r="M25" i="134"/>
  <c r="M20" i="134"/>
  <c r="Q20" i="134"/>
  <c r="L19" i="129"/>
  <c r="L16" i="129"/>
  <c r="L13" i="129"/>
  <c r="L10" i="129"/>
  <c r="L7" i="129"/>
  <c r="L4" i="129"/>
  <c r="D19" i="129"/>
  <c r="D16" i="129"/>
  <c r="D13" i="129"/>
  <c r="D10" i="129"/>
  <c r="D7" i="129"/>
  <c r="D4" i="129"/>
  <c r="G19" i="129"/>
  <c r="G18" i="129"/>
  <c r="G16" i="129"/>
  <c r="G13" i="129"/>
  <c r="G10" i="129"/>
  <c r="G7" i="129"/>
  <c r="G4" i="129"/>
  <c r="C19" i="129"/>
  <c r="C16" i="129"/>
  <c r="C13" i="129"/>
  <c r="C10" i="129"/>
  <c r="C7" i="129"/>
  <c r="C4" i="129"/>
  <c r="M19" i="129"/>
  <c r="N19" i="129"/>
  <c r="O19" i="129"/>
  <c r="P19" i="129"/>
  <c r="Q19" i="129"/>
  <c r="R19" i="129"/>
  <c r="M16" i="129"/>
  <c r="Q16" i="129" s="1"/>
  <c r="N16" i="129"/>
  <c r="R16" i="129" s="1"/>
  <c r="O16" i="129"/>
  <c r="P16" i="129"/>
  <c r="M13" i="129"/>
  <c r="Q13" i="129" s="1"/>
  <c r="N13" i="129"/>
  <c r="R13" i="129" s="1"/>
  <c r="O13" i="129"/>
  <c r="P13" i="129"/>
  <c r="M10" i="129"/>
  <c r="Q10" i="129" s="1"/>
  <c r="N10" i="129"/>
  <c r="R10" i="129" s="1"/>
  <c r="O10" i="129"/>
  <c r="P10" i="129"/>
  <c r="M7" i="129"/>
  <c r="Q7" i="129" s="1"/>
  <c r="N7" i="129"/>
  <c r="R7" i="129" s="1"/>
  <c r="O7" i="129"/>
  <c r="P7" i="129"/>
  <c r="M4" i="129"/>
  <c r="Q4" i="129" s="1"/>
  <c r="N4" i="129"/>
  <c r="R4" i="129" s="1"/>
  <c r="O4" i="129"/>
  <c r="P4" i="129"/>
  <c r="K34" i="129"/>
  <c r="K33" i="129"/>
  <c r="K32" i="129"/>
  <c r="K31" i="129"/>
  <c r="P34" i="130"/>
  <c r="O34" i="130"/>
  <c r="P27" i="130"/>
  <c r="O27" i="130"/>
  <c r="J26" i="130"/>
  <c r="J25" i="130"/>
  <c r="K24" i="130"/>
  <c r="K23" i="130"/>
  <c r="K22" i="130"/>
  <c r="P21" i="130"/>
  <c r="O21" i="130"/>
  <c r="K21" i="130"/>
  <c r="K20" i="130"/>
  <c r="K19" i="130"/>
  <c r="K18" i="130"/>
  <c r="K17" i="130"/>
  <c r="P16" i="130"/>
  <c r="O16" i="130"/>
  <c r="K16" i="130"/>
  <c r="K15" i="130"/>
  <c r="P11" i="130"/>
  <c r="O11" i="130"/>
  <c r="N11" i="130"/>
  <c r="R11" i="130" s="1"/>
  <c r="M11" i="130"/>
  <c r="Q11" i="130" s="1"/>
  <c r="L11" i="130"/>
  <c r="G11" i="130"/>
  <c r="D11" i="130"/>
  <c r="C11" i="130"/>
  <c r="P10" i="130"/>
  <c r="O10" i="130"/>
  <c r="N10" i="130"/>
  <c r="R10" i="130" s="1"/>
  <c r="M10" i="130"/>
  <c r="Q10" i="130" s="1"/>
  <c r="L10" i="130"/>
  <c r="G10" i="130"/>
  <c r="D10" i="130"/>
  <c r="C10" i="130"/>
  <c r="P9" i="130"/>
  <c r="O9" i="130"/>
  <c r="N9" i="130"/>
  <c r="R9" i="130" s="1"/>
  <c r="M9" i="130"/>
  <c r="Q9" i="130" s="1"/>
  <c r="L9" i="130"/>
  <c r="G9" i="130"/>
  <c r="D9" i="130"/>
  <c r="C9" i="130"/>
  <c r="P8" i="130"/>
  <c r="O8" i="130"/>
  <c r="N8" i="130"/>
  <c r="R8" i="130" s="1"/>
  <c r="M8" i="130"/>
  <c r="Q8" i="130" s="1"/>
  <c r="L8" i="130"/>
  <c r="G8" i="130"/>
  <c r="D8" i="130"/>
  <c r="C8" i="130"/>
  <c r="P7" i="130"/>
  <c r="O7" i="130"/>
  <c r="N7" i="130"/>
  <c r="R7" i="130" s="1"/>
  <c r="M7" i="130"/>
  <c r="Q7" i="130" s="1"/>
  <c r="L7" i="130"/>
  <c r="G7" i="130"/>
  <c r="D7" i="130"/>
  <c r="C7" i="130"/>
  <c r="P6" i="130"/>
  <c r="O6" i="130"/>
  <c r="N6" i="130"/>
  <c r="R6" i="130" s="1"/>
  <c r="M6" i="130"/>
  <c r="Q6" i="130" s="1"/>
  <c r="L6" i="130"/>
  <c r="G6" i="130"/>
  <c r="D6" i="130"/>
  <c r="C6" i="130"/>
  <c r="P5" i="130"/>
  <c r="O5" i="130"/>
  <c r="N5" i="130"/>
  <c r="R5" i="130" s="1"/>
  <c r="M5" i="130"/>
  <c r="Q5" i="130" s="1"/>
  <c r="L5" i="130"/>
  <c r="G5" i="130"/>
  <c r="D5" i="130"/>
  <c r="C5" i="130"/>
  <c r="P4" i="130"/>
  <c r="O4" i="130"/>
  <c r="N4" i="130"/>
  <c r="R4" i="130" s="1"/>
  <c r="M4" i="130"/>
  <c r="Q4" i="130" s="1"/>
  <c r="L4" i="130"/>
  <c r="G4" i="130"/>
  <c r="D4" i="130"/>
  <c r="C4" i="130"/>
  <c r="P3" i="130"/>
  <c r="O3" i="130"/>
  <c r="N3" i="130"/>
  <c r="R3" i="130" s="1"/>
  <c r="M3" i="130"/>
  <c r="Q3" i="130" s="1"/>
  <c r="L3" i="130"/>
  <c r="G3" i="130"/>
  <c r="D3" i="130"/>
  <c r="C3" i="130"/>
  <c r="P2" i="130"/>
  <c r="O2" i="130"/>
  <c r="N2" i="130"/>
  <c r="R2" i="130" s="1"/>
  <c r="M2" i="130"/>
  <c r="Q2" i="130" s="1"/>
  <c r="L2" i="130"/>
  <c r="G2" i="130"/>
  <c r="D2" i="130"/>
  <c r="C2" i="130"/>
  <c r="Q30" i="129"/>
  <c r="P30" i="129"/>
  <c r="O30" i="129"/>
  <c r="M30" i="129" s="1"/>
  <c r="K30" i="129"/>
  <c r="K29" i="129"/>
  <c r="K28" i="129"/>
  <c r="K27" i="129"/>
  <c r="K26" i="129"/>
  <c r="K25" i="129"/>
  <c r="P24" i="129"/>
  <c r="Q24" i="129" s="1"/>
  <c r="O24" i="129"/>
  <c r="M24" i="129" s="1"/>
  <c r="N24" i="129"/>
  <c r="K24" i="129"/>
  <c r="K23" i="129"/>
  <c r="P18" i="129"/>
  <c r="O18" i="129"/>
  <c r="N18" i="129"/>
  <c r="R18" i="129" s="1"/>
  <c r="M18" i="129"/>
  <c r="Q18" i="129" s="1"/>
  <c r="L18" i="129"/>
  <c r="D18" i="129"/>
  <c r="C18" i="129"/>
  <c r="P17" i="129"/>
  <c r="O17" i="129"/>
  <c r="N17" i="129"/>
  <c r="R17" i="129" s="1"/>
  <c r="M17" i="129"/>
  <c r="Q17" i="129" s="1"/>
  <c r="L17" i="129"/>
  <c r="G17" i="129"/>
  <c r="D17" i="129"/>
  <c r="C17" i="129"/>
  <c r="P15" i="129"/>
  <c r="O15" i="129"/>
  <c r="N15" i="129"/>
  <c r="R15" i="129" s="1"/>
  <c r="M15" i="129"/>
  <c r="Q15" i="129" s="1"/>
  <c r="L15" i="129"/>
  <c r="G15" i="129"/>
  <c r="D15" i="129"/>
  <c r="C15" i="129"/>
  <c r="P14" i="129"/>
  <c r="O14" i="129"/>
  <c r="N14" i="129"/>
  <c r="R14" i="129" s="1"/>
  <c r="M14" i="129"/>
  <c r="Q14" i="129" s="1"/>
  <c r="L14" i="129"/>
  <c r="G14" i="129"/>
  <c r="D14" i="129"/>
  <c r="C14" i="129"/>
  <c r="P12" i="129"/>
  <c r="O12" i="129"/>
  <c r="N12" i="129"/>
  <c r="R12" i="129" s="1"/>
  <c r="M12" i="129"/>
  <c r="Q12" i="129" s="1"/>
  <c r="L12" i="129"/>
  <c r="G12" i="129"/>
  <c r="D12" i="129"/>
  <c r="C12" i="129"/>
  <c r="P11" i="129"/>
  <c r="O11" i="129"/>
  <c r="N11" i="129"/>
  <c r="R11" i="129" s="1"/>
  <c r="M11" i="129"/>
  <c r="Q11" i="129" s="1"/>
  <c r="L11" i="129"/>
  <c r="G11" i="129"/>
  <c r="D11" i="129"/>
  <c r="C11" i="129"/>
  <c r="P9" i="129"/>
  <c r="O9" i="129"/>
  <c r="N9" i="129"/>
  <c r="R9" i="129" s="1"/>
  <c r="M9" i="129"/>
  <c r="Q9" i="129" s="1"/>
  <c r="L9" i="129"/>
  <c r="G9" i="129"/>
  <c r="D9" i="129"/>
  <c r="C9" i="129"/>
  <c r="P8" i="129"/>
  <c r="O8" i="129"/>
  <c r="N8" i="129"/>
  <c r="R8" i="129" s="1"/>
  <c r="M8" i="129"/>
  <c r="Q8" i="129" s="1"/>
  <c r="L8" i="129"/>
  <c r="G8" i="129"/>
  <c r="D8" i="129"/>
  <c r="C8" i="129"/>
  <c r="P6" i="129"/>
  <c r="O6" i="129"/>
  <c r="N6" i="129"/>
  <c r="R6" i="129" s="1"/>
  <c r="M6" i="129"/>
  <c r="Q6" i="129" s="1"/>
  <c r="L6" i="129"/>
  <c r="G6" i="129"/>
  <c r="D6" i="129"/>
  <c r="C6" i="129"/>
  <c r="P5" i="129"/>
  <c r="O5" i="129"/>
  <c r="N5" i="129"/>
  <c r="R5" i="129" s="1"/>
  <c r="M5" i="129"/>
  <c r="Q5" i="129" s="1"/>
  <c r="L5" i="129"/>
  <c r="G5" i="129"/>
  <c r="D5" i="129"/>
  <c r="C5" i="129"/>
  <c r="P3" i="129"/>
  <c r="O3" i="129"/>
  <c r="N3" i="129"/>
  <c r="R3" i="129" s="1"/>
  <c r="M3" i="129"/>
  <c r="Q3" i="129" s="1"/>
  <c r="L3" i="129"/>
  <c r="G3" i="129"/>
  <c r="D3" i="129"/>
  <c r="C3" i="129"/>
  <c r="P2" i="129"/>
  <c r="O2" i="129"/>
  <c r="N2" i="129"/>
  <c r="R2" i="129" s="1"/>
  <c r="M2" i="129"/>
  <c r="Q2" i="129" s="1"/>
  <c r="L2" i="129"/>
  <c r="G2" i="129"/>
  <c r="D2" i="129"/>
  <c r="C2" i="129"/>
  <c r="P34" i="128"/>
  <c r="O34" i="128"/>
  <c r="P27" i="128"/>
  <c r="O27" i="128"/>
  <c r="J26" i="128"/>
  <c r="J25" i="128"/>
  <c r="K24" i="128"/>
  <c r="K23" i="128"/>
  <c r="K22" i="128"/>
  <c r="P21" i="128"/>
  <c r="O21" i="128"/>
  <c r="K21" i="128"/>
  <c r="K20" i="128"/>
  <c r="K19" i="128"/>
  <c r="K18" i="128"/>
  <c r="K17" i="128"/>
  <c r="P16" i="128"/>
  <c r="O16" i="128"/>
  <c r="K16" i="128"/>
  <c r="K15" i="128"/>
  <c r="P11" i="128"/>
  <c r="O11" i="128"/>
  <c r="N11" i="128"/>
  <c r="R11" i="128" s="1"/>
  <c r="M11" i="128"/>
  <c r="Q11" i="128" s="1"/>
  <c r="L11" i="128"/>
  <c r="G11" i="128"/>
  <c r="D11" i="128"/>
  <c r="C11" i="128"/>
  <c r="P10" i="128"/>
  <c r="O10" i="128"/>
  <c r="N10" i="128"/>
  <c r="R10" i="128" s="1"/>
  <c r="M10" i="128"/>
  <c r="Q10" i="128" s="1"/>
  <c r="L10" i="128"/>
  <c r="G10" i="128"/>
  <c r="D10" i="128"/>
  <c r="C10" i="128"/>
  <c r="P9" i="128"/>
  <c r="O9" i="128"/>
  <c r="N9" i="128"/>
  <c r="R9" i="128" s="1"/>
  <c r="M9" i="128"/>
  <c r="Q9" i="128" s="1"/>
  <c r="L9" i="128"/>
  <c r="G9" i="128"/>
  <c r="D9" i="128"/>
  <c r="C9" i="128"/>
  <c r="P8" i="128"/>
  <c r="O8" i="128"/>
  <c r="N8" i="128"/>
  <c r="R8" i="128" s="1"/>
  <c r="M8" i="128"/>
  <c r="Q8" i="128" s="1"/>
  <c r="L8" i="128"/>
  <c r="G8" i="128"/>
  <c r="D8" i="128"/>
  <c r="C8" i="128"/>
  <c r="P7" i="128"/>
  <c r="O7" i="128"/>
  <c r="N7" i="128"/>
  <c r="R7" i="128" s="1"/>
  <c r="M7" i="128"/>
  <c r="Q7" i="128" s="1"/>
  <c r="L7" i="128"/>
  <c r="G7" i="128"/>
  <c r="D7" i="128"/>
  <c r="C7" i="128"/>
  <c r="P6" i="128"/>
  <c r="O6" i="128"/>
  <c r="N6" i="128"/>
  <c r="R6" i="128" s="1"/>
  <c r="M6" i="128"/>
  <c r="Q6" i="128" s="1"/>
  <c r="L6" i="128"/>
  <c r="G6" i="128"/>
  <c r="D6" i="128"/>
  <c r="C6" i="128"/>
  <c r="P5" i="128"/>
  <c r="O5" i="128"/>
  <c r="N5" i="128"/>
  <c r="R5" i="128" s="1"/>
  <c r="M5" i="128"/>
  <c r="Q5" i="128" s="1"/>
  <c r="L5" i="128"/>
  <c r="G5" i="128"/>
  <c r="D5" i="128"/>
  <c r="C5" i="128"/>
  <c r="P4" i="128"/>
  <c r="O4" i="128"/>
  <c r="N4" i="128"/>
  <c r="R4" i="128" s="1"/>
  <c r="M4" i="128"/>
  <c r="Q4" i="128" s="1"/>
  <c r="L4" i="128"/>
  <c r="G4" i="128"/>
  <c r="D4" i="128"/>
  <c r="C4" i="128"/>
  <c r="P3" i="128"/>
  <c r="O3" i="128"/>
  <c r="N3" i="128"/>
  <c r="R3" i="128" s="1"/>
  <c r="M3" i="128"/>
  <c r="Q3" i="128" s="1"/>
  <c r="L3" i="128"/>
  <c r="G3" i="128"/>
  <c r="D3" i="128"/>
  <c r="C3" i="128"/>
  <c r="P2" i="128"/>
  <c r="O2" i="128"/>
  <c r="N2" i="128"/>
  <c r="R2" i="128" s="1"/>
  <c r="M2" i="128"/>
  <c r="Q2" i="128" s="1"/>
  <c r="L2" i="128"/>
  <c r="G2" i="128"/>
  <c r="D2" i="128"/>
  <c r="C2" i="128"/>
  <c r="Q49" i="127"/>
  <c r="P49" i="127"/>
  <c r="O49" i="127"/>
  <c r="M49" i="127"/>
  <c r="Q44" i="127"/>
  <c r="P44" i="127"/>
  <c r="O44" i="127"/>
  <c r="M44" i="127"/>
  <c r="Q43" i="127"/>
  <c r="P39" i="127"/>
  <c r="O39" i="127"/>
  <c r="P35" i="127"/>
  <c r="M43" i="127" s="1"/>
  <c r="O35" i="127"/>
  <c r="Q48" i="127" s="1"/>
  <c r="U30" i="127"/>
  <c r="P30" i="127"/>
  <c r="O30" i="127"/>
  <c r="P26" i="127"/>
  <c r="O26" i="127"/>
  <c r="K24" i="127"/>
  <c r="K23" i="127"/>
  <c r="P22" i="127"/>
  <c r="O22" i="127"/>
  <c r="K22" i="127"/>
  <c r="K21" i="127"/>
  <c r="K20" i="127"/>
  <c r="K19" i="127"/>
  <c r="P18" i="127"/>
  <c r="O18" i="127"/>
  <c r="K18" i="127"/>
  <c r="K17" i="127"/>
  <c r="P13" i="127"/>
  <c r="O13" i="127"/>
  <c r="N13" i="127"/>
  <c r="R13" i="127" s="1"/>
  <c r="M13" i="127"/>
  <c r="Q13" i="127" s="1"/>
  <c r="L13" i="127"/>
  <c r="C13" i="127"/>
  <c r="P12" i="127"/>
  <c r="O12" i="127"/>
  <c r="N12" i="127"/>
  <c r="R12" i="127" s="1"/>
  <c r="M12" i="127"/>
  <c r="Q12" i="127" s="1"/>
  <c r="L12" i="127"/>
  <c r="C12" i="127"/>
  <c r="P11" i="127"/>
  <c r="O11" i="127"/>
  <c r="N11" i="127"/>
  <c r="R11" i="127" s="1"/>
  <c r="M11" i="127"/>
  <c r="Q11" i="127" s="1"/>
  <c r="L11" i="127"/>
  <c r="C11" i="127"/>
  <c r="P10" i="127"/>
  <c r="O10" i="127"/>
  <c r="N10" i="127"/>
  <c r="R10" i="127" s="1"/>
  <c r="M10" i="127"/>
  <c r="Q10" i="127" s="1"/>
  <c r="L10" i="127"/>
  <c r="C10" i="127"/>
  <c r="P9" i="127"/>
  <c r="O9" i="127"/>
  <c r="N9" i="127"/>
  <c r="R9" i="127" s="1"/>
  <c r="M9" i="127"/>
  <c r="Q9" i="127" s="1"/>
  <c r="L9" i="127"/>
  <c r="C9" i="127"/>
  <c r="P8" i="127"/>
  <c r="O8" i="127"/>
  <c r="N8" i="127"/>
  <c r="R8" i="127" s="1"/>
  <c r="M8" i="127"/>
  <c r="Q8" i="127" s="1"/>
  <c r="L8" i="127"/>
  <c r="C8" i="127"/>
  <c r="P7" i="127"/>
  <c r="O7" i="127"/>
  <c r="N7" i="127"/>
  <c r="R7" i="127" s="1"/>
  <c r="M7" i="127"/>
  <c r="Q7" i="127" s="1"/>
  <c r="L7" i="127"/>
  <c r="C7" i="127"/>
  <c r="T6" i="127"/>
  <c r="P6" i="127"/>
  <c r="O6" i="127"/>
  <c r="N6" i="127"/>
  <c r="R6" i="127" s="1"/>
  <c r="M6" i="127"/>
  <c r="Q6" i="127" s="1"/>
  <c r="L6" i="127"/>
  <c r="C6" i="127"/>
  <c r="T5" i="127"/>
  <c r="P5" i="127"/>
  <c r="O5" i="127"/>
  <c r="N5" i="127"/>
  <c r="R5" i="127" s="1"/>
  <c r="M5" i="127"/>
  <c r="Q5" i="127" s="1"/>
  <c r="L5" i="127"/>
  <c r="C5" i="127"/>
  <c r="T4" i="127"/>
  <c r="P4" i="127"/>
  <c r="O4" i="127"/>
  <c r="N4" i="127"/>
  <c r="R4" i="127" s="1"/>
  <c r="M4" i="127"/>
  <c r="Q4" i="127" s="1"/>
  <c r="L4" i="127"/>
  <c r="C4" i="127"/>
  <c r="T3" i="127"/>
  <c r="P3" i="127"/>
  <c r="O3" i="127"/>
  <c r="N3" i="127"/>
  <c r="R3" i="127" s="1"/>
  <c r="M3" i="127"/>
  <c r="Q3" i="127" s="1"/>
  <c r="L3" i="127"/>
  <c r="C3" i="127"/>
  <c r="P2" i="127"/>
  <c r="O2" i="127"/>
  <c r="N2" i="127"/>
  <c r="R2" i="127" s="1"/>
  <c r="M2" i="127"/>
  <c r="Q2" i="127" s="1"/>
  <c r="L2" i="127"/>
  <c r="C2" i="127"/>
  <c r="E98" i="49"/>
  <c r="F98" i="49" s="1"/>
  <c r="E99" i="49"/>
  <c r="F99" i="49" s="1"/>
  <c r="E104" i="49"/>
  <c r="F104" i="49" s="1"/>
  <c r="E106" i="49"/>
  <c r="F106" i="49" s="1"/>
  <c r="E103" i="49"/>
  <c r="F103" i="49" s="1"/>
  <c r="E107" i="49"/>
  <c r="F107" i="49" s="1"/>
  <c r="E105" i="49"/>
  <c r="F105" i="49" s="1"/>
  <c r="E102" i="49"/>
  <c r="F102" i="49" s="1"/>
  <c r="E100" i="49"/>
  <c r="F100" i="49" s="1"/>
  <c r="E101" i="49"/>
  <c r="C100" i="49"/>
  <c r="D100" i="49" s="1"/>
  <c r="H100" i="49"/>
  <c r="C102" i="49"/>
  <c r="D102" i="49" s="1"/>
  <c r="H102" i="49"/>
  <c r="C105" i="49"/>
  <c r="D105" i="49" s="1"/>
  <c r="H105" i="49"/>
  <c r="C107" i="49"/>
  <c r="D107" i="49" s="1"/>
  <c r="H107" i="49"/>
  <c r="C103" i="49"/>
  <c r="D103" i="49" s="1"/>
  <c r="H103" i="49"/>
  <c r="C106" i="49"/>
  <c r="D106" i="49" s="1"/>
  <c r="H106" i="49"/>
  <c r="C98" i="49"/>
  <c r="D98" i="49" s="1"/>
  <c r="C99" i="49"/>
  <c r="D99" i="49" s="1"/>
  <c r="C104" i="49"/>
  <c r="D104" i="49" s="1"/>
  <c r="C101" i="49"/>
  <c r="E80" i="49"/>
  <c r="F80" i="49" s="1"/>
  <c r="E81" i="49"/>
  <c r="F81" i="49" s="1"/>
  <c r="E85" i="49"/>
  <c r="F85" i="49" s="1"/>
  <c r="E82" i="49"/>
  <c r="F82" i="49" s="1"/>
  <c r="E87" i="49"/>
  <c r="F87" i="49" s="1"/>
  <c r="E83" i="49"/>
  <c r="F83" i="49" s="1"/>
  <c r="E86" i="49"/>
  <c r="F86" i="49" s="1"/>
  <c r="E89" i="49"/>
  <c r="F89" i="49" s="1"/>
  <c r="E84" i="49"/>
  <c r="F84" i="49" s="1"/>
  <c r="E88" i="49"/>
  <c r="F88" i="49" s="1"/>
  <c r="E91" i="49"/>
  <c r="F91" i="49" s="1"/>
  <c r="E92" i="49"/>
  <c r="F92" i="49" s="1"/>
  <c r="E94" i="49"/>
  <c r="F94" i="49" s="1"/>
  <c r="E95" i="49"/>
  <c r="F95" i="49" s="1"/>
  <c r="C80" i="49"/>
  <c r="D80" i="49" s="1"/>
  <c r="C81" i="49"/>
  <c r="D81" i="49" s="1"/>
  <c r="C85" i="49"/>
  <c r="D85" i="49" s="1"/>
  <c r="C82" i="49"/>
  <c r="D82" i="49" s="1"/>
  <c r="C87" i="49"/>
  <c r="D87" i="49" s="1"/>
  <c r="C83" i="49"/>
  <c r="D83" i="49" s="1"/>
  <c r="C86" i="49"/>
  <c r="D86" i="49" s="1"/>
  <c r="C89" i="49"/>
  <c r="D89" i="49" s="1"/>
  <c r="C84" i="49"/>
  <c r="D84" i="49" s="1"/>
  <c r="C88" i="49"/>
  <c r="D88" i="49" s="1"/>
  <c r="C91" i="49"/>
  <c r="D91" i="49" s="1"/>
  <c r="C92" i="49"/>
  <c r="D92" i="49" s="1"/>
  <c r="C94" i="49"/>
  <c r="D94" i="49" s="1"/>
  <c r="C95" i="49"/>
  <c r="D95" i="49" s="1"/>
  <c r="E79" i="49"/>
  <c r="C79" i="49"/>
  <c r="C44" i="49"/>
  <c r="D44" i="49" s="1"/>
  <c r="H44" i="49"/>
  <c r="C32" i="49"/>
  <c r="D32" i="49" s="1"/>
  <c r="E32" i="49"/>
  <c r="F32" i="49" s="1"/>
  <c r="H32" i="49"/>
  <c r="E62" i="49"/>
  <c r="F62" i="49" s="1"/>
  <c r="E64" i="49"/>
  <c r="F64" i="49" s="1"/>
  <c r="E70" i="49"/>
  <c r="F70" i="49" s="1"/>
  <c r="E63" i="49"/>
  <c r="F63" i="49" s="1"/>
  <c r="E67" i="49"/>
  <c r="F67" i="49" s="1"/>
  <c r="E71" i="49"/>
  <c r="F71" i="49" s="1"/>
  <c r="E65" i="49"/>
  <c r="F65" i="49" s="1"/>
  <c r="E68" i="49"/>
  <c r="F68" i="49" s="1"/>
  <c r="E72" i="49"/>
  <c r="F72" i="49" s="1"/>
  <c r="E66" i="49"/>
  <c r="F66" i="49" s="1"/>
  <c r="E74" i="49"/>
  <c r="F74" i="49" s="1"/>
  <c r="E75" i="49"/>
  <c r="F75" i="49" s="1"/>
  <c r="E76" i="49"/>
  <c r="F76" i="49" s="1"/>
  <c r="E61" i="49"/>
  <c r="F61" i="49" s="1"/>
  <c r="C62" i="49"/>
  <c r="D62" i="49" s="1"/>
  <c r="C64" i="49"/>
  <c r="D64" i="49" s="1"/>
  <c r="C70" i="49"/>
  <c r="D70" i="49" s="1"/>
  <c r="C63" i="49"/>
  <c r="D63" i="49" s="1"/>
  <c r="C67" i="49"/>
  <c r="D67" i="49" s="1"/>
  <c r="C71" i="49"/>
  <c r="D71" i="49" s="1"/>
  <c r="C65" i="49"/>
  <c r="D65" i="49" s="1"/>
  <c r="C68" i="49"/>
  <c r="D68" i="49" s="1"/>
  <c r="C72" i="49"/>
  <c r="D72" i="49" s="1"/>
  <c r="C66" i="49"/>
  <c r="D66" i="49" s="1"/>
  <c r="C74" i="49"/>
  <c r="D74" i="49" s="1"/>
  <c r="C75" i="49"/>
  <c r="D75" i="49" s="1"/>
  <c r="C76" i="49"/>
  <c r="D76" i="49" s="1"/>
  <c r="C61" i="49"/>
  <c r="D61" i="49" s="1"/>
  <c r="C40" i="49"/>
  <c r="D40" i="49" s="1"/>
  <c r="C41" i="49"/>
  <c r="D41" i="49" s="1"/>
  <c r="C39" i="49"/>
  <c r="D39" i="49" s="1"/>
  <c r="C46" i="49"/>
  <c r="D46" i="49" s="1"/>
  <c r="C47" i="49"/>
  <c r="D47" i="49" s="1"/>
  <c r="C49" i="49"/>
  <c r="D49" i="49" s="1"/>
  <c r="C45" i="49"/>
  <c r="D45" i="49" s="1"/>
  <c r="C42" i="49"/>
  <c r="D42" i="49" s="1"/>
  <c r="C50" i="49"/>
  <c r="D50" i="49" s="1"/>
  <c r="C53" i="49"/>
  <c r="D53" i="49" s="1"/>
  <c r="C43" i="49"/>
  <c r="D43" i="49" s="1"/>
  <c r="C54" i="49"/>
  <c r="D54" i="49" s="1"/>
  <c r="C48" i="49"/>
  <c r="D48" i="49" s="1"/>
  <c r="C55" i="49"/>
  <c r="D55" i="49" s="1"/>
  <c r="C56" i="49"/>
  <c r="D56" i="49" s="1"/>
  <c r="C51" i="49"/>
  <c r="D51" i="49" s="1"/>
  <c r="C57" i="49"/>
  <c r="D57" i="49" s="1"/>
  <c r="C58" i="49"/>
  <c r="D58" i="49" s="1"/>
  <c r="C52" i="49"/>
  <c r="D52" i="49" s="1"/>
  <c r="C38" i="49"/>
  <c r="C29" i="49"/>
  <c r="D29" i="49" s="1"/>
  <c r="C30" i="49"/>
  <c r="D30" i="49" s="1"/>
  <c r="C24" i="49"/>
  <c r="D24" i="49" s="1"/>
  <c r="C27" i="49"/>
  <c r="D27" i="49" s="1"/>
  <c r="C26" i="49"/>
  <c r="D26" i="49" s="1"/>
  <c r="C25" i="49"/>
  <c r="D25" i="49" s="1"/>
  <c r="C28" i="49"/>
  <c r="D28" i="49" s="1"/>
  <c r="C33" i="49"/>
  <c r="D33" i="49" s="1"/>
  <c r="C31" i="49"/>
  <c r="D31" i="49" s="1"/>
  <c r="C34" i="49"/>
  <c r="D34" i="49" s="1"/>
  <c r="C35" i="49"/>
  <c r="D35" i="49" s="1"/>
  <c r="C23" i="49"/>
  <c r="E15" i="49"/>
  <c r="F15" i="49" s="1"/>
  <c r="E9" i="49"/>
  <c r="F9" i="49" s="1"/>
  <c r="E10" i="49"/>
  <c r="F10" i="49" s="1"/>
  <c r="E17" i="49"/>
  <c r="F17" i="49" s="1"/>
  <c r="E16" i="49"/>
  <c r="F16" i="49" s="1"/>
  <c r="E20" i="49"/>
  <c r="F20" i="49" s="1"/>
  <c r="E11" i="49"/>
  <c r="F11" i="49" s="1"/>
  <c r="E19" i="49"/>
  <c r="F19" i="49" s="1"/>
  <c r="E18" i="49"/>
  <c r="F18" i="49" s="1"/>
  <c r="E6" i="49"/>
  <c r="F6" i="49" s="1"/>
  <c r="E14" i="49"/>
  <c r="F14" i="49" s="1"/>
  <c r="E12" i="49"/>
  <c r="F12" i="49" s="1"/>
  <c r="E13" i="49"/>
  <c r="F13" i="49" s="1"/>
  <c r="E5" i="49"/>
  <c r="F5" i="49" s="1"/>
  <c r="E3" i="49"/>
  <c r="F3" i="49" s="1"/>
  <c r="E8" i="49"/>
  <c r="F8" i="49" s="1"/>
  <c r="E7" i="49"/>
  <c r="F7" i="49" s="1"/>
  <c r="E4" i="49"/>
  <c r="F4" i="49" s="1"/>
  <c r="C7" i="49"/>
  <c r="D7" i="49" s="1"/>
  <c r="C8" i="49"/>
  <c r="D8" i="49" s="1"/>
  <c r="C3" i="49"/>
  <c r="D3" i="49" s="1"/>
  <c r="C5" i="49"/>
  <c r="D5" i="49" s="1"/>
  <c r="C13" i="49"/>
  <c r="D13" i="49" s="1"/>
  <c r="C12" i="49"/>
  <c r="D12" i="49" s="1"/>
  <c r="C14" i="49"/>
  <c r="D14" i="49" s="1"/>
  <c r="C6" i="49"/>
  <c r="D6" i="49" s="1"/>
  <c r="C18" i="49"/>
  <c r="D18" i="49" s="1"/>
  <c r="C19" i="49"/>
  <c r="D19" i="49" s="1"/>
  <c r="C11" i="49"/>
  <c r="D11" i="49" s="1"/>
  <c r="C20" i="49"/>
  <c r="D20" i="49" s="1"/>
  <c r="C16" i="49"/>
  <c r="D16" i="49" s="1"/>
  <c r="C17" i="49"/>
  <c r="D17" i="49" s="1"/>
  <c r="C10" i="49"/>
  <c r="D10" i="49" s="1"/>
  <c r="C9" i="49"/>
  <c r="D9" i="49" s="1"/>
  <c r="C15" i="49"/>
  <c r="D15" i="49" s="1"/>
  <c r="C4" i="49"/>
  <c r="H4" i="49"/>
  <c r="H15" i="49"/>
  <c r="H9" i="49"/>
  <c r="H10" i="49"/>
  <c r="R32" i="115"/>
  <c r="N32" i="115"/>
  <c r="N19" i="115"/>
  <c r="Q19" i="115"/>
  <c r="R32" i="116"/>
  <c r="N32" i="116"/>
  <c r="R29" i="118"/>
  <c r="N29" i="118"/>
  <c r="N23" i="114"/>
  <c r="R23" i="114"/>
  <c r="P30" i="118"/>
  <c r="Q30" i="118" s="1"/>
  <c r="O30" i="118"/>
  <c r="M30" i="118"/>
  <c r="P23" i="118"/>
  <c r="R23" i="118" s="1"/>
  <c r="O23" i="118"/>
  <c r="N23" i="118"/>
  <c r="M23" i="118"/>
  <c r="K18" i="118"/>
  <c r="P17" i="118"/>
  <c r="O17" i="118"/>
  <c r="K17" i="118"/>
  <c r="K16" i="118"/>
  <c r="K15" i="118"/>
  <c r="K14" i="118"/>
  <c r="K13" i="118"/>
  <c r="P12" i="118"/>
  <c r="R12" i="118" s="1"/>
  <c r="O12" i="118"/>
  <c r="N12" i="118"/>
  <c r="M12" i="118"/>
  <c r="K12" i="118"/>
  <c r="K11" i="118"/>
  <c r="P7" i="118"/>
  <c r="O7" i="118"/>
  <c r="N7" i="118"/>
  <c r="R7" i="118" s="1"/>
  <c r="M7" i="118"/>
  <c r="Q7" i="118" s="1"/>
  <c r="L7" i="118"/>
  <c r="G7" i="118"/>
  <c r="D7" i="118"/>
  <c r="C7" i="118"/>
  <c r="Q6" i="118"/>
  <c r="P6" i="118"/>
  <c r="O6" i="118"/>
  <c r="N6" i="118"/>
  <c r="R6" i="118" s="1"/>
  <c r="M6" i="118"/>
  <c r="L6" i="118"/>
  <c r="G6" i="118"/>
  <c r="D6" i="118"/>
  <c r="C6" i="118"/>
  <c r="R5" i="118"/>
  <c r="Q5" i="118"/>
  <c r="P5" i="118"/>
  <c r="O5" i="118"/>
  <c r="N5" i="118"/>
  <c r="M5" i="118"/>
  <c r="L5" i="118"/>
  <c r="G5" i="118"/>
  <c r="D5" i="118"/>
  <c r="C5" i="118"/>
  <c r="P4" i="118"/>
  <c r="O4" i="118"/>
  <c r="N4" i="118"/>
  <c r="R4" i="118" s="1"/>
  <c r="M4" i="118"/>
  <c r="Q4" i="118" s="1"/>
  <c r="L4" i="118"/>
  <c r="G4" i="118"/>
  <c r="D4" i="118"/>
  <c r="C4" i="118"/>
  <c r="Q3" i="118"/>
  <c r="P3" i="118"/>
  <c r="O3" i="118"/>
  <c r="N3" i="118"/>
  <c r="R3" i="118" s="1"/>
  <c r="M3" i="118"/>
  <c r="L3" i="118"/>
  <c r="G3" i="118"/>
  <c r="D3" i="118"/>
  <c r="C3" i="118"/>
  <c r="R2" i="118"/>
  <c r="Q2" i="118"/>
  <c r="P2" i="118"/>
  <c r="O2" i="118"/>
  <c r="N2" i="118"/>
  <c r="M2" i="118"/>
  <c r="L2" i="118"/>
  <c r="G2" i="118"/>
  <c r="D2" i="118"/>
  <c r="C2" i="118"/>
  <c r="Q33" i="116"/>
  <c r="P33" i="116"/>
  <c r="O33" i="116"/>
  <c r="M33" i="116"/>
  <c r="P26" i="116"/>
  <c r="Q26" i="116" s="1"/>
  <c r="O26" i="116"/>
  <c r="N26" i="116"/>
  <c r="M26" i="116"/>
  <c r="K25" i="116"/>
  <c r="K24" i="116"/>
  <c r="K23" i="116"/>
  <c r="K22" i="116"/>
  <c r="K21" i="116"/>
  <c r="P20" i="116"/>
  <c r="O20" i="116"/>
  <c r="K20" i="116"/>
  <c r="K19" i="116"/>
  <c r="K18" i="116"/>
  <c r="K17" i="116"/>
  <c r="K16" i="116"/>
  <c r="P15" i="116"/>
  <c r="R15" i="116" s="1"/>
  <c r="O15" i="116"/>
  <c r="K15" i="116"/>
  <c r="K14" i="116"/>
  <c r="R10" i="116"/>
  <c r="Q10" i="116"/>
  <c r="P10" i="116"/>
  <c r="O10" i="116"/>
  <c r="N10" i="116"/>
  <c r="M10" i="116"/>
  <c r="L10" i="116"/>
  <c r="G10" i="116"/>
  <c r="D10" i="116"/>
  <c r="C10" i="116"/>
  <c r="R9" i="116"/>
  <c r="Q9" i="116"/>
  <c r="P9" i="116"/>
  <c r="O9" i="116"/>
  <c r="N9" i="116"/>
  <c r="M9" i="116"/>
  <c r="L9" i="116"/>
  <c r="G9" i="116"/>
  <c r="D9" i="116"/>
  <c r="C9" i="116"/>
  <c r="P8" i="116"/>
  <c r="O8" i="116"/>
  <c r="N8" i="116"/>
  <c r="R8" i="116" s="1"/>
  <c r="M8" i="116"/>
  <c r="Q8" i="116" s="1"/>
  <c r="L8" i="116"/>
  <c r="G8" i="116"/>
  <c r="D8" i="116"/>
  <c r="C8" i="116"/>
  <c r="R7" i="116"/>
  <c r="Q7" i="116"/>
  <c r="P7" i="116"/>
  <c r="O7" i="116"/>
  <c r="N7" i="116"/>
  <c r="M7" i="116"/>
  <c r="L7" i="116"/>
  <c r="G7" i="116"/>
  <c r="D7" i="116"/>
  <c r="C7" i="116"/>
  <c r="R6" i="116"/>
  <c r="Q6" i="116"/>
  <c r="P6" i="116"/>
  <c r="O6" i="116"/>
  <c r="N6" i="116"/>
  <c r="M6" i="116"/>
  <c r="L6" i="116"/>
  <c r="G6" i="116"/>
  <c r="D6" i="116"/>
  <c r="C6" i="116"/>
  <c r="P5" i="116"/>
  <c r="O5" i="116"/>
  <c r="N5" i="116"/>
  <c r="R5" i="116" s="1"/>
  <c r="M5" i="116"/>
  <c r="Q5" i="116" s="1"/>
  <c r="L5" i="116"/>
  <c r="G5" i="116"/>
  <c r="D5" i="116"/>
  <c r="C5" i="116"/>
  <c r="Q4" i="116"/>
  <c r="P4" i="116"/>
  <c r="O4" i="116"/>
  <c r="N4" i="116"/>
  <c r="R4" i="116" s="1"/>
  <c r="M4" i="116"/>
  <c r="L4" i="116"/>
  <c r="G4" i="116"/>
  <c r="D4" i="116"/>
  <c r="C4" i="116"/>
  <c r="R3" i="116"/>
  <c r="Q3" i="116"/>
  <c r="P3" i="116"/>
  <c r="O3" i="116"/>
  <c r="N3" i="116"/>
  <c r="M3" i="116"/>
  <c r="L3" i="116"/>
  <c r="G3" i="116"/>
  <c r="D3" i="116"/>
  <c r="C3" i="116"/>
  <c r="P2" i="116"/>
  <c r="O2" i="116"/>
  <c r="N2" i="116"/>
  <c r="R2" i="116" s="1"/>
  <c r="M2" i="116"/>
  <c r="Q2" i="116" s="1"/>
  <c r="L2" i="116"/>
  <c r="G2" i="116"/>
  <c r="D2" i="116"/>
  <c r="C2" i="116"/>
  <c r="Q33" i="115"/>
  <c r="P33" i="115"/>
  <c r="O33" i="115"/>
  <c r="M33" i="115"/>
  <c r="P26" i="115"/>
  <c r="Q26" i="115" s="1"/>
  <c r="O26" i="115"/>
  <c r="K25" i="115"/>
  <c r="K24" i="115"/>
  <c r="K23" i="115"/>
  <c r="K22" i="115"/>
  <c r="K21" i="115"/>
  <c r="P20" i="115"/>
  <c r="R20" i="115" s="1"/>
  <c r="O20" i="115"/>
  <c r="R25" i="115" s="1"/>
  <c r="K20" i="115"/>
  <c r="K19" i="115"/>
  <c r="K18" i="115"/>
  <c r="K17" i="115"/>
  <c r="K16" i="115"/>
  <c r="R15" i="115"/>
  <c r="Q15" i="115"/>
  <c r="P15" i="115"/>
  <c r="O15" i="115"/>
  <c r="N15" i="115" s="1"/>
  <c r="K15" i="115"/>
  <c r="K14" i="115"/>
  <c r="R10" i="115"/>
  <c r="Q10" i="115"/>
  <c r="P10" i="115"/>
  <c r="O10" i="115"/>
  <c r="N10" i="115"/>
  <c r="M10" i="115"/>
  <c r="L10" i="115"/>
  <c r="G10" i="115"/>
  <c r="D10" i="115"/>
  <c r="C10" i="115"/>
  <c r="Q9" i="115"/>
  <c r="P9" i="115"/>
  <c r="O9" i="115"/>
  <c r="N9" i="115"/>
  <c r="R9" i="115" s="1"/>
  <c r="M9" i="115"/>
  <c r="L9" i="115"/>
  <c r="G9" i="115"/>
  <c r="D9" i="115"/>
  <c r="C9" i="115"/>
  <c r="R8" i="115"/>
  <c r="Q8" i="115"/>
  <c r="P8" i="115"/>
  <c r="O8" i="115"/>
  <c r="N8" i="115"/>
  <c r="M8" i="115"/>
  <c r="L8" i="115"/>
  <c r="G8" i="115"/>
  <c r="D8" i="115"/>
  <c r="C8" i="115"/>
  <c r="R7" i="115"/>
  <c r="P7" i="115"/>
  <c r="O7" i="115"/>
  <c r="N7" i="115"/>
  <c r="M7" i="115"/>
  <c r="Q7" i="115" s="1"/>
  <c r="L7" i="115"/>
  <c r="G7" i="115"/>
  <c r="D7" i="115"/>
  <c r="C7" i="115"/>
  <c r="P6" i="115"/>
  <c r="O6" i="115"/>
  <c r="N6" i="115"/>
  <c r="R6" i="115" s="1"/>
  <c r="M6" i="115"/>
  <c r="Q6" i="115" s="1"/>
  <c r="L6" i="115"/>
  <c r="G6" i="115"/>
  <c r="D6" i="115"/>
  <c r="C6" i="115"/>
  <c r="Q5" i="115"/>
  <c r="P5" i="115"/>
  <c r="O5" i="115"/>
  <c r="N5" i="115"/>
  <c r="R5" i="115" s="1"/>
  <c r="M5" i="115"/>
  <c r="L5" i="115"/>
  <c r="G5" i="115"/>
  <c r="D5" i="115"/>
  <c r="C5" i="115"/>
  <c r="R4" i="115"/>
  <c r="Q4" i="115"/>
  <c r="P4" i="115"/>
  <c r="O4" i="115"/>
  <c r="N4" i="115"/>
  <c r="M4" i="115"/>
  <c r="L4" i="115"/>
  <c r="G4" i="115"/>
  <c r="D4" i="115"/>
  <c r="C4" i="115"/>
  <c r="P3" i="115"/>
  <c r="O3" i="115"/>
  <c r="N3" i="115"/>
  <c r="R3" i="115" s="1"/>
  <c r="M3" i="115"/>
  <c r="Q3" i="115" s="1"/>
  <c r="L3" i="115"/>
  <c r="G3" i="115"/>
  <c r="D3" i="115"/>
  <c r="C3" i="115"/>
  <c r="P2" i="115"/>
  <c r="O2" i="115"/>
  <c r="N2" i="115"/>
  <c r="R2" i="115" s="1"/>
  <c r="M2" i="115"/>
  <c r="Q2" i="115" s="1"/>
  <c r="L2" i="115"/>
  <c r="G2" i="115"/>
  <c r="D2" i="115"/>
  <c r="C2" i="115"/>
  <c r="P24" i="114"/>
  <c r="Q24" i="114" s="1"/>
  <c r="O24" i="114"/>
  <c r="K24" i="114"/>
  <c r="K23" i="114"/>
  <c r="K22" i="114"/>
  <c r="K21" i="114"/>
  <c r="K20" i="114"/>
  <c r="K19" i="114"/>
  <c r="R18" i="114"/>
  <c r="P18" i="114"/>
  <c r="Q18" i="114" s="1"/>
  <c r="O18" i="114"/>
  <c r="N18" i="114"/>
  <c r="M18" i="114"/>
  <c r="K18" i="114"/>
  <c r="K17" i="114"/>
  <c r="R13" i="114"/>
  <c r="Q13" i="114"/>
  <c r="P13" i="114"/>
  <c r="O13" i="114"/>
  <c r="N13" i="114"/>
  <c r="M13" i="114"/>
  <c r="L13" i="114"/>
  <c r="G13" i="114"/>
  <c r="D13" i="114"/>
  <c r="C13" i="114"/>
  <c r="R12" i="114"/>
  <c r="P12" i="114"/>
  <c r="O12" i="114"/>
  <c r="N12" i="114"/>
  <c r="M12" i="114"/>
  <c r="Q12" i="114" s="1"/>
  <c r="L12" i="114"/>
  <c r="G12" i="114"/>
  <c r="D12" i="114"/>
  <c r="C12" i="114"/>
  <c r="P11" i="114"/>
  <c r="O11" i="114"/>
  <c r="N11" i="114"/>
  <c r="R11" i="114" s="1"/>
  <c r="M11" i="114"/>
  <c r="Q11" i="114" s="1"/>
  <c r="L11" i="114"/>
  <c r="G11" i="114"/>
  <c r="D11" i="114"/>
  <c r="C11" i="114"/>
  <c r="Q10" i="114"/>
  <c r="P10" i="114"/>
  <c r="O10" i="114"/>
  <c r="N10" i="114"/>
  <c r="R10" i="114" s="1"/>
  <c r="M10" i="114"/>
  <c r="L10" i="114"/>
  <c r="G10" i="114"/>
  <c r="D10" i="114"/>
  <c r="C10" i="114"/>
  <c r="R9" i="114"/>
  <c r="P9" i="114"/>
  <c r="O9" i="114"/>
  <c r="N9" i="114"/>
  <c r="M9" i="114"/>
  <c r="Q9" i="114" s="1"/>
  <c r="L9" i="114"/>
  <c r="G9" i="114"/>
  <c r="D9" i="114"/>
  <c r="C9" i="114"/>
  <c r="P8" i="114"/>
  <c r="O8" i="114"/>
  <c r="N8" i="114"/>
  <c r="R8" i="114" s="1"/>
  <c r="M8" i="114"/>
  <c r="Q8" i="114" s="1"/>
  <c r="L8" i="114"/>
  <c r="G8" i="114"/>
  <c r="D8" i="114"/>
  <c r="C8" i="114"/>
  <c r="Q7" i="114"/>
  <c r="P7" i="114"/>
  <c r="O7" i="114"/>
  <c r="N7" i="114"/>
  <c r="R7" i="114" s="1"/>
  <c r="M7" i="114"/>
  <c r="L7" i="114"/>
  <c r="G7" i="114"/>
  <c r="D7" i="114"/>
  <c r="C7" i="114"/>
  <c r="R6" i="114"/>
  <c r="Q6" i="114"/>
  <c r="P6" i="114"/>
  <c r="O6" i="114"/>
  <c r="N6" i="114"/>
  <c r="M6" i="114"/>
  <c r="L6" i="114"/>
  <c r="G6" i="114"/>
  <c r="D6" i="114"/>
  <c r="C6" i="114"/>
  <c r="P5" i="114"/>
  <c r="O5" i="114"/>
  <c r="N5" i="114"/>
  <c r="R5" i="114" s="1"/>
  <c r="M5" i="114"/>
  <c r="Q5" i="114" s="1"/>
  <c r="L5" i="114"/>
  <c r="G5" i="114"/>
  <c r="D5" i="114"/>
  <c r="C5" i="114"/>
  <c r="P4" i="114"/>
  <c r="O4" i="114"/>
  <c r="N4" i="114"/>
  <c r="R4" i="114" s="1"/>
  <c r="M4" i="114"/>
  <c r="Q4" i="114" s="1"/>
  <c r="L4" i="114"/>
  <c r="G4" i="114"/>
  <c r="D4" i="114"/>
  <c r="C4" i="114"/>
  <c r="R3" i="114"/>
  <c r="Q3" i="114"/>
  <c r="P3" i="114"/>
  <c r="O3" i="114"/>
  <c r="N3" i="114"/>
  <c r="M3" i="114"/>
  <c r="L3" i="114"/>
  <c r="G3" i="114"/>
  <c r="D3" i="114"/>
  <c r="C3" i="114"/>
  <c r="R2" i="114"/>
  <c r="P2" i="114"/>
  <c r="O2" i="114"/>
  <c r="N2" i="114"/>
  <c r="M2" i="114"/>
  <c r="Q2" i="114" s="1"/>
  <c r="L2" i="114"/>
  <c r="G2" i="114"/>
  <c r="D2" i="114"/>
  <c r="C2" i="114"/>
  <c r="Q21" i="110"/>
  <c r="M21" i="110"/>
  <c r="N21" i="110"/>
  <c r="M33" i="110"/>
  <c r="Q33" i="110"/>
  <c r="R26" i="110"/>
  <c r="Q26" i="110"/>
  <c r="Q28" i="110" s="1"/>
  <c r="N26" i="110"/>
  <c r="N28" i="110" s="1"/>
  <c r="M26" i="110"/>
  <c r="M28" i="110" s="1"/>
  <c r="Q34" i="110"/>
  <c r="P34" i="110"/>
  <c r="O34" i="110"/>
  <c r="M34" i="110"/>
  <c r="R28" i="110"/>
  <c r="R27" i="110"/>
  <c r="Q27" i="110"/>
  <c r="P27" i="110"/>
  <c r="O27" i="110"/>
  <c r="M27" i="110" s="1"/>
  <c r="P21" i="110"/>
  <c r="R21" i="110" s="1"/>
  <c r="O21" i="110"/>
  <c r="R16" i="110"/>
  <c r="Q16" i="110"/>
  <c r="P16" i="110"/>
  <c r="O16" i="110"/>
  <c r="N16" i="110"/>
  <c r="M16" i="110"/>
  <c r="K21" i="110"/>
  <c r="K22" i="110"/>
  <c r="K23" i="110"/>
  <c r="K24" i="110"/>
  <c r="K20" i="110"/>
  <c r="K16" i="110"/>
  <c r="K17" i="110"/>
  <c r="K18" i="110"/>
  <c r="K19" i="110"/>
  <c r="K15" i="110"/>
  <c r="J26" i="110"/>
  <c r="J25" i="110"/>
  <c r="R11" i="110"/>
  <c r="Q11" i="110"/>
  <c r="P11" i="110"/>
  <c r="O11" i="110"/>
  <c r="N11" i="110"/>
  <c r="M11" i="110"/>
  <c r="L11" i="110"/>
  <c r="G11" i="110"/>
  <c r="D11" i="110"/>
  <c r="C11" i="110"/>
  <c r="P10" i="110"/>
  <c r="O10" i="110"/>
  <c r="N10" i="110"/>
  <c r="R10" i="110" s="1"/>
  <c r="M10" i="110"/>
  <c r="Q10" i="110" s="1"/>
  <c r="L10" i="110"/>
  <c r="G10" i="110"/>
  <c r="D10" i="110"/>
  <c r="C10" i="110"/>
  <c r="P9" i="110"/>
  <c r="O9" i="110"/>
  <c r="N9" i="110"/>
  <c r="R9" i="110" s="1"/>
  <c r="M9" i="110"/>
  <c r="Q9" i="110" s="1"/>
  <c r="L9" i="110"/>
  <c r="G9" i="110"/>
  <c r="D9" i="110"/>
  <c r="C9" i="110"/>
  <c r="Q8" i="110"/>
  <c r="P8" i="110"/>
  <c r="O8" i="110"/>
  <c r="N8" i="110"/>
  <c r="R8" i="110" s="1"/>
  <c r="M8" i="110"/>
  <c r="L8" i="110"/>
  <c r="G8" i="110"/>
  <c r="D8" i="110"/>
  <c r="C8" i="110"/>
  <c r="P7" i="110"/>
  <c r="O7" i="110"/>
  <c r="N7" i="110"/>
  <c r="R7" i="110" s="1"/>
  <c r="M7" i="110"/>
  <c r="Q7" i="110" s="1"/>
  <c r="L7" i="110"/>
  <c r="G7" i="110"/>
  <c r="D7" i="110"/>
  <c r="C7" i="110"/>
  <c r="R6" i="110"/>
  <c r="P6" i="110"/>
  <c r="O6" i="110"/>
  <c r="N6" i="110"/>
  <c r="M6" i="110"/>
  <c r="Q6" i="110" s="1"/>
  <c r="L6" i="110"/>
  <c r="G6" i="110"/>
  <c r="D6" i="110"/>
  <c r="C6" i="110"/>
  <c r="P5" i="110"/>
  <c r="O5" i="110"/>
  <c r="N5" i="110"/>
  <c r="R5" i="110" s="1"/>
  <c r="M5" i="110"/>
  <c r="Q5" i="110" s="1"/>
  <c r="L5" i="110"/>
  <c r="G5" i="110"/>
  <c r="D5" i="110"/>
  <c r="C5" i="110"/>
  <c r="Q4" i="110"/>
  <c r="P4" i="110"/>
  <c r="O4" i="110"/>
  <c r="N4" i="110"/>
  <c r="R4" i="110" s="1"/>
  <c r="M4" i="110"/>
  <c r="L4" i="110"/>
  <c r="G4" i="110"/>
  <c r="D4" i="110"/>
  <c r="C4" i="110"/>
  <c r="R3" i="110"/>
  <c r="Q3" i="110"/>
  <c r="P3" i="110"/>
  <c r="O3" i="110"/>
  <c r="N3" i="110"/>
  <c r="M3" i="110"/>
  <c r="L3" i="110"/>
  <c r="G3" i="110"/>
  <c r="D3" i="110"/>
  <c r="C3" i="110"/>
  <c r="P2" i="110"/>
  <c r="O2" i="110"/>
  <c r="N2" i="110"/>
  <c r="R2" i="110" s="1"/>
  <c r="M2" i="110"/>
  <c r="Q2" i="110" s="1"/>
  <c r="L2" i="110"/>
  <c r="G2" i="110"/>
  <c r="D2" i="110"/>
  <c r="C2" i="110"/>
  <c r="E121" i="49"/>
  <c r="F121" i="49" s="1"/>
  <c r="E117" i="49"/>
  <c r="F117" i="49" s="1"/>
  <c r="E116" i="49"/>
  <c r="F116" i="49" s="1"/>
  <c r="E120" i="49"/>
  <c r="F120" i="49" s="1"/>
  <c r="E112" i="49"/>
  <c r="E114" i="49"/>
  <c r="F114" i="49" s="1"/>
  <c r="E113" i="49"/>
  <c r="F113" i="49" s="1"/>
  <c r="E111" i="49"/>
  <c r="F111" i="49" s="1"/>
  <c r="E110" i="49"/>
  <c r="F110" i="49" s="1"/>
  <c r="E115" i="49"/>
  <c r="F115" i="49" s="1"/>
  <c r="C121" i="49"/>
  <c r="D121" i="49" s="1"/>
  <c r="C117" i="49"/>
  <c r="D117" i="49" s="1"/>
  <c r="C116" i="49"/>
  <c r="D116" i="49" s="1"/>
  <c r="C120" i="49"/>
  <c r="D120" i="49" s="1"/>
  <c r="C112" i="49"/>
  <c r="C114" i="49"/>
  <c r="D114" i="49" s="1"/>
  <c r="C113" i="49"/>
  <c r="D113" i="49" s="1"/>
  <c r="C111" i="49"/>
  <c r="D111" i="49" s="1"/>
  <c r="C110" i="49"/>
  <c r="D110" i="49" s="1"/>
  <c r="C115" i="49"/>
  <c r="D115" i="49" s="1"/>
  <c r="H54" i="49"/>
  <c r="H48" i="49"/>
  <c r="H55" i="49"/>
  <c r="H56" i="49"/>
  <c r="H57" i="49"/>
  <c r="H51" i="49"/>
  <c r="H52" i="49"/>
  <c r="H58" i="49"/>
  <c r="Q48" i="104"/>
  <c r="Q48" i="105"/>
  <c r="R14" i="100"/>
  <c r="Q49" i="105"/>
  <c r="P49" i="105"/>
  <c r="O49" i="105"/>
  <c r="M49" i="105"/>
  <c r="P44" i="105"/>
  <c r="Q44" i="105" s="1"/>
  <c r="O44" i="105"/>
  <c r="M44" i="105"/>
  <c r="P39" i="105"/>
  <c r="O39" i="105"/>
  <c r="P35" i="105"/>
  <c r="O35" i="105"/>
  <c r="P30" i="105"/>
  <c r="O30" i="105"/>
  <c r="P26" i="105"/>
  <c r="O26" i="105"/>
  <c r="K24" i="105"/>
  <c r="K23" i="105"/>
  <c r="P22" i="105"/>
  <c r="O22" i="105"/>
  <c r="K22" i="105"/>
  <c r="K21" i="105"/>
  <c r="K20" i="105"/>
  <c r="K19" i="105"/>
  <c r="P18" i="105"/>
  <c r="O18" i="105"/>
  <c r="K18" i="105"/>
  <c r="K17" i="105"/>
  <c r="P13" i="105"/>
  <c r="O13" i="105"/>
  <c r="N13" i="105"/>
  <c r="R13" i="105" s="1"/>
  <c r="M13" i="105"/>
  <c r="Q13" i="105" s="1"/>
  <c r="L13" i="105"/>
  <c r="C13" i="105"/>
  <c r="P12" i="105"/>
  <c r="O12" i="105"/>
  <c r="N12" i="105"/>
  <c r="R12" i="105" s="1"/>
  <c r="M12" i="105"/>
  <c r="Q12" i="105" s="1"/>
  <c r="L12" i="105"/>
  <c r="C12" i="105"/>
  <c r="P11" i="105"/>
  <c r="O11" i="105"/>
  <c r="N11" i="105"/>
  <c r="R11" i="105" s="1"/>
  <c r="M11" i="105"/>
  <c r="Q11" i="105" s="1"/>
  <c r="L11" i="105"/>
  <c r="C11" i="105"/>
  <c r="P10" i="105"/>
  <c r="O10" i="105"/>
  <c r="N10" i="105"/>
  <c r="R10" i="105" s="1"/>
  <c r="M10" i="105"/>
  <c r="Q10" i="105" s="1"/>
  <c r="L10" i="105"/>
  <c r="C10" i="105"/>
  <c r="P9" i="105"/>
  <c r="O9" i="105"/>
  <c r="N9" i="105"/>
  <c r="R9" i="105" s="1"/>
  <c r="M9" i="105"/>
  <c r="Q9" i="105" s="1"/>
  <c r="L9" i="105"/>
  <c r="C9" i="105"/>
  <c r="P8" i="105"/>
  <c r="O8" i="105"/>
  <c r="N8" i="105"/>
  <c r="R8" i="105" s="1"/>
  <c r="M8" i="105"/>
  <c r="Q8" i="105" s="1"/>
  <c r="L8" i="105"/>
  <c r="C8" i="105"/>
  <c r="P7" i="105"/>
  <c r="O7" i="105"/>
  <c r="N7" i="105"/>
  <c r="R7" i="105" s="1"/>
  <c r="M7" i="105"/>
  <c r="Q7" i="105" s="1"/>
  <c r="L7" i="105"/>
  <c r="C7" i="105"/>
  <c r="T6" i="105"/>
  <c r="P6" i="105"/>
  <c r="O6" i="105"/>
  <c r="N6" i="105"/>
  <c r="R6" i="105" s="1"/>
  <c r="M6" i="105"/>
  <c r="Q6" i="105" s="1"/>
  <c r="L6" i="105"/>
  <c r="C6" i="105"/>
  <c r="T5" i="105"/>
  <c r="P5" i="105"/>
  <c r="O5" i="105"/>
  <c r="N5" i="105"/>
  <c r="R5" i="105" s="1"/>
  <c r="M5" i="105"/>
  <c r="Q5" i="105" s="1"/>
  <c r="L5" i="105"/>
  <c r="C5" i="105"/>
  <c r="T4" i="105"/>
  <c r="P4" i="105"/>
  <c r="O4" i="105"/>
  <c r="N4" i="105"/>
  <c r="R4" i="105" s="1"/>
  <c r="M4" i="105"/>
  <c r="Q4" i="105" s="1"/>
  <c r="L4" i="105"/>
  <c r="C4" i="105"/>
  <c r="C25" i="105" s="1"/>
  <c r="T3" i="105"/>
  <c r="P3" i="105"/>
  <c r="O3" i="105"/>
  <c r="F23" i="105" s="1"/>
  <c r="N3" i="105"/>
  <c r="R3" i="105" s="1"/>
  <c r="M3" i="105"/>
  <c r="L3" i="105"/>
  <c r="C3" i="105"/>
  <c r="P2" i="105"/>
  <c r="O2" i="105"/>
  <c r="F17" i="105" s="1"/>
  <c r="N2" i="105"/>
  <c r="R2" i="105" s="1"/>
  <c r="M2" i="105"/>
  <c r="L2" i="105"/>
  <c r="C2" i="105"/>
  <c r="E25" i="105" s="1"/>
  <c r="P49" i="104"/>
  <c r="Q49" i="104" s="1"/>
  <c r="O49" i="104"/>
  <c r="M49" i="104" s="1"/>
  <c r="P44" i="104"/>
  <c r="Q44" i="104" s="1"/>
  <c r="O44" i="104"/>
  <c r="M44" i="104" s="1"/>
  <c r="P39" i="104"/>
  <c r="O39" i="104"/>
  <c r="P35" i="104"/>
  <c r="O35" i="104"/>
  <c r="L13" i="104"/>
  <c r="L12" i="104"/>
  <c r="L11" i="104"/>
  <c r="L10" i="104"/>
  <c r="L9" i="104"/>
  <c r="L8" i="104"/>
  <c r="L7" i="104"/>
  <c r="L6" i="104"/>
  <c r="L5" i="104"/>
  <c r="L4" i="104"/>
  <c r="L3" i="104"/>
  <c r="L2" i="104"/>
  <c r="C13" i="104"/>
  <c r="C12" i="104"/>
  <c r="C11" i="104"/>
  <c r="C10" i="104"/>
  <c r="C9" i="104"/>
  <c r="C8" i="104"/>
  <c r="C7" i="104"/>
  <c r="C6" i="104"/>
  <c r="C5" i="104"/>
  <c r="C4" i="104"/>
  <c r="C3" i="104"/>
  <c r="C2" i="104"/>
  <c r="M7" i="104"/>
  <c r="Q7" i="104" s="1"/>
  <c r="N7" i="104"/>
  <c r="R7" i="104" s="1"/>
  <c r="O7" i="104"/>
  <c r="P7" i="104"/>
  <c r="M8" i="104"/>
  <c r="Q8" i="104" s="1"/>
  <c r="N8" i="104"/>
  <c r="R8" i="104" s="1"/>
  <c r="O8" i="104"/>
  <c r="P8" i="104"/>
  <c r="M9" i="104"/>
  <c r="Q9" i="104" s="1"/>
  <c r="N9" i="104"/>
  <c r="R9" i="104" s="1"/>
  <c r="O9" i="104"/>
  <c r="P9" i="104"/>
  <c r="M10" i="104"/>
  <c r="Q10" i="104" s="1"/>
  <c r="N10" i="104"/>
  <c r="R10" i="104" s="1"/>
  <c r="O10" i="104"/>
  <c r="P10" i="104"/>
  <c r="M11" i="104"/>
  <c r="Q11" i="104" s="1"/>
  <c r="N11" i="104"/>
  <c r="R11" i="104" s="1"/>
  <c r="O11" i="104"/>
  <c r="P11" i="104"/>
  <c r="M12" i="104"/>
  <c r="Q12" i="104" s="1"/>
  <c r="N12" i="104"/>
  <c r="R12" i="104" s="1"/>
  <c r="O12" i="104"/>
  <c r="P12" i="104"/>
  <c r="P30" i="104"/>
  <c r="O30" i="104"/>
  <c r="P26" i="104"/>
  <c r="O26" i="104"/>
  <c r="K24" i="104"/>
  <c r="P22" i="104"/>
  <c r="O22" i="104"/>
  <c r="K23" i="104"/>
  <c r="K22" i="104"/>
  <c r="K21" i="104"/>
  <c r="K20" i="104"/>
  <c r="K19" i="104"/>
  <c r="P18" i="104"/>
  <c r="O18" i="104"/>
  <c r="K18" i="104"/>
  <c r="K17" i="104"/>
  <c r="P13" i="104"/>
  <c r="O13" i="104"/>
  <c r="N13" i="104"/>
  <c r="R13" i="104" s="1"/>
  <c r="M13" i="104"/>
  <c r="Q13" i="104" s="1"/>
  <c r="P6" i="104"/>
  <c r="O6" i="104"/>
  <c r="N6" i="104"/>
  <c r="R6" i="104" s="1"/>
  <c r="M6" i="104"/>
  <c r="Q6" i="104" s="1"/>
  <c r="P5" i="104"/>
  <c r="O5" i="104"/>
  <c r="N5" i="104"/>
  <c r="R5" i="104" s="1"/>
  <c r="M5" i="104"/>
  <c r="Q5" i="104" s="1"/>
  <c r="P4" i="104"/>
  <c r="O4" i="104"/>
  <c r="N4" i="104"/>
  <c r="R4" i="104" s="1"/>
  <c r="M4" i="104"/>
  <c r="Q4" i="104" s="1"/>
  <c r="P3" i="104"/>
  <c r="O3" i="104"/>
  <c r="N3" i="104"/>
  <c r="R3" i="104" s="1"/>
  <c r="M3" i="104"/>
  <c r="Q3" i="104" s="1"/>
  <c r="P2" i="104"/>
  <c r="O2" i="104"/>
  <c r="N2" i="104"/>
  <c r="R2" i="104" s="1"/>
  <c r="M2" i="104"/>
  <c r="Q2" i="104" s="1"/>
  <c r="P24" i="103"/>
  <c r="Q24" i="103" s="1"/>
  <c r="O24" i="103"/>
  <c r="M24" i="103"/>
  <c r="T4" i="103" s="1"/>
  <c r="K24" i="103"/>
  <c r="K23" i="103"/>
  <c r="K22" i="103"/>
  <c r="K21" i="103"/>
  <c r="K20" i="103"/>
  <c r="K19" i="103"/>
  <c r="P18" i="103"/>
  <c r="O18" i="103"/>
  <c r="N18" i="103"/>
  <c r="M18" i="103"/>
  <c r="T6" i="103" s="1"/>
  <c r="K18" i="103"/>
  <c r="K17" i="103"/>
  <c r="P13" i="103"/>
  <c r="O13" i="103"/>
  <c r="N13" i="103"/>
  <c r="R13" i="103" s="1"/>
  <c r="M13" i="103"/>
  <c r="Q13" i="103" s="1"/>
  <c r="L13" i="103"/>
  <c r="G13" i="103"/>
  <c r="D13" i="103"/>
  <c r="C13" i="103"/>
  <c r="P12" i="103"/>
  <c r="O12" i="103"/>
  <c r="N12" i="103"/>
  <c r="R12" i="103" s="1"/>
  <c r="M12" i="103"/>
  <c r="Q12" i="103" s="1"/>
  <c r="L12" i="103"/>
  <c r="G12" i="103"/>
  <c r="D12" i="103"/>
  <c r="C12" i="103"/>
  <c r="P11" i="103"/>
  <c r="O11" i="103"/>
  <c r="N11" i="103"/>
  <c r="R11" i="103" s="1"/>
  <c r="M11" i="103"/>
  <c r="Q11" i="103" s="1"/>
  <c r="L11" i="103"/>
  <c r="G11" i="103"/>
  <c r="D11" i="103"/>
  <c r="C11" i="103"/>
  <c r="P10" i="103"/>
  <c r="O10" i="103"/>
  <c r="N10" i="103"/>
  <c r="R10" i="103" s="1"/>
  <c r="M10" i="103"/>
  <c r="Q10" i="103" s="1"/>
  <c r="L10" i="103"/>
  <c r="G10" i="103"/>
  <c r="D10" i="103"/>
  <c r="C10" i="103"/>
  <c r="P9" i="103"/>
  <c r="O9" i="103"/>
  <c r="N9" i="103"/>
  <c r="R9" i="103" s="1"/>
  <c r="M9" i="103"/>
  <c r="Q9" i="103" s="1"/>
  <c r="L9" i="103"/>
  <c r="G9" i="103"/>
  <c r="D9" i="103"/>
  <c r="C9" i="103"/>
  <c r="P8" i="103"/>
  <c r="O8" i="103"/>
  <c r="N8" i="103"/>
  <c r="R8" i="103" s="1"/>
  <c r="M8" i="103"/>
  <c r="Q8" i="103" s="1"/>
  <c r="L8" i="103"/>
  <c r="G8" i="103"/>
  <c r="D8" i="103"/>
  <c r="C8" i="103"/>
  <c r="P7" i="103"/>
  <c r="O7" i="103"/>
  <c r="N7" i="103"/>
  <c r="R7" i="103" s="1"/>
  <c r="M7" i="103"/>
  <c r="Q7" i="103" s="1"/>
  <c r="L7" i="103"/>
  <c r="G7" i="103"/>
  <c r="D7" i="103"/>
  <c r="C7" i="103"/>
  <c r="P6" i="103"/>
  <c r="O6" i="103"/>
  <c r="N6" i="103"/>
  <c r="R6" i="103" s="1"/>
  <c r="M6" i="103"/>
  <c r="Q6" i="103" s="1"/>
  <c r="L6" i="103"/>
  <c r="G6" i="103"/>
  <c r="D6" i="103"/>
  <c r="C6" i="103"/>
  <c r="T5" i="103"/>
  <c r="P5" i="103"/>
  <c r="O5" i="103"/>
  <c r="N5" i="103"/>
  <c r="R5" i="103" s="1"/>
  <c r="M5" i="103"/>
  <c r="Q5" i="103" s="1"/>
  <c r="L5" i="103"/>
  <c r="G5" i="103"/>
  <c r="D5" i="103"/>
  <c r="C5" i="103"/>
  <c r="P4" i="103"/>
  <c r="O4" i="103"/>
  <c r="N4" i="103"/>
  <c r="R4" i="103" s="1"/>
  <c r="M4" i="103"/>
  <c r="Q4" i="103" s="1"/>
  <c r="L4" i="103"/>
  <c r="G4" i="103"/>
  <c r="D4" i="103"/>
  <c r="C4" i="103"/>
  <c r="T3" i="103"/>
  <c r="P3" i="103"/>
  <c r="O3" i="103"/>
  <c r="N3" i="103"/>
  <c r="R3" i="103" s="1"/>
  <c r="M3" i="103"/>
  <c r="Q3" i="103" s="1"/>
  <c r="L3" i="103"/>
  <c r="G3" i="103"/>
  <c r="D3" i="103"/>
  <c r="C3" i="103"/>
  <c r="P2" i="103"/>
  <c r="O2" i="103"/>
  <c r="N2" i="103"/>
  <c r="R2" i="103" s="1"/>
  <c r="M2" i="103"/>
  <c r="Q2" i="103" s="1"/>
  <c r="L2" i="103"/>
  <c r="G2" i="103"/>
  <c r="D2" i="103"/>
  <c r="C2" i="103"/>
  <c r="P24" i="72"/>
  <c r="O24" i="72"/>
  <c r="Q24" i="72"/>
  <c r="M24" i="72"/>
  <c r="T7" i="135" l="1"/>
  <c r="T8" i="135"/>
  <c r="N27" i="110"/>
  <c r="M30" i="127"/>
  <c r="Q22" i="127"/>
  <c r="M22" i="127"/>
  <c r="Q18" i="127"/>
  <c r="M18" i="127"/>
  <c r="R24" i="129"/>
  <c r="M21" i="128"/>
  <c r="R21" i="128"/>
  <c r="N21" i="130"/>
  <c r="R21" i="130"/>
  <c r="E15" i="130"/>
  <c r="F23" i="130"/>
  <c r="F15" i="130"/>
  <c r="F26" i="130"/>
  <c r="F26" i="128"/>
  <c r="E23" i="128"/>
  <c r="E15" i="128"/>
  <c r="F15" i="128"/>
  <c r="F17" i="127"/>
  <c r="E17" i="127"/>
  <c r="E25" i="127"/>
  <c r="F41" i="129"/>
  <c r="D41" i="129"/>
  <c r="E42" i="129"/>
  <c r="X1" i="129"/>
  <c r="C41" i="129"/>
  <c r="E25" i="129"/>
  <c r="X8" i="129"/>
  <c r="C40" i="129"/>
  <c r="D39" i="129"/>
  <c r="F42" i="129"/>
  <c r="F39" i="129"/>
  <c r="F31" i="129"/>
  <c r="C33" i="129"/>
  <c r="D40" i="129"/>
  <c r="E24" i="129"/>
  <c r="E39" i="129"/>
  <c r="F24" i="129"/>
  <c r="E40" i="129"/>
  <c r="C42" i="129"/>
  <c r="D33" i="129"/>
  <c r="E41" i="129"/>
  <c r="F25" i="129"/>
  <c r="C26" i="129"/>
  <c r="C39" i="129"/>
  <c r="F40" i="129"/>
  <c r="D42" i="129"/>
  <c r="C19" i="130"/>
  <c r="F22" i="130"/>
  <c r="C15" i="130"/>
  <c r="C16" i="130"/>
  <c r="C17" i="130"/>
  <c r="Q21" i="130"/>
  <c r="E24" i="130"/>
  <c r="C25" i="130"/>
  <c r="C26" i="130"/>
  <c r="E18" i="130"/>
  <c r="F18" i="130"/>
  <c r="D23" i="130"/>
  <c r="E19" i="130"/>
  <c r="D24" i="130"/>
  <c r="D16" i="130"/>
  <c r="D17" i="130"/>
  <c r="F24" i="130"/>
  <c r="D25" i="130"/>
  <c r="D26" i="130"/>
  <c r="E22" i="130"/>
  <c r="D19" i="130"/>
  <c r="D15" i="130"/>
  <c r="F19" i="130"/>
  <c r="E16" i="130"/>
  <c r="E17" i="130"/>
  <c r="C18" i="130"/>
  <c r="C22" i="130"/>
  <c r="E25" i="130"/>
  <c r="E26" i="130"/>
  <c r="C23" i="130"/>
  <c r="E23" i="130"/>
  <c r="C24" i="130"/>
  <c r="F16" i="130"/>
  <c r="F17" i="130"/>
  <c r="D18" i="130"/>
  <c r="D22" i="130"/>
  <c r="F25" i="130"/>
  <c r="D26" i="129"/>
  <c r="C34" i="129"/>
  <c r="D34" i="129"/>
  <c r="X3" i="129"/>
  <c r="E34" i="129"/>
  <c r="C23" i="129"/>
  <c r="C31" i="129"/>
  <c r="D32" i="129"/>
  <c r="E33" i="129"/>
  <c r="F34" i="129"/>
  <c r="X2" i="129"/>
  <c r="X5" i="129"/>
  <c r="D23" i="129"/>
  <c r="D31" i="129"/>
  <c r="E32" i="129"/>
  <c r="F33" i="129"/>
  <c r="C32" i="129"/>
  <c r="E23" i="129"/>
  <c r="C24" i="129"/>
  <c r="C25" i="129"/>
  <c r="E31" i="129"/>
  <c r="F32" i="129"/>
  <c r="X6" i="129"/>
  <c r="E26" i="129"/>
  <c r="F26" i="129"/>
  <c r="F23" i="129"/>
  <c r="D24" i="129"/>
  <c r="D25" i="129"/>
  <c r="D15" i="128"/>
  <c r="C16" i="128"/>
  <c r="C17" i="128"/>
  <c r="Q21" i="128"/>
  <c r="E24" i="128"/>
  <c r="C25" i="128"/>
  <c r="C26" i="128"/>
  <c r="E22" i="128"/>
  <c r="F18" i="128"/>
  <c r="N21" i="128"/>
  <c r="F19" i="128"/>
  <c r="F23" i="128"/>
  <c r="D16" i="128"/>
  <c r="D17" i="128"/>
  <c r="F24" i="128"/>
  <c r="D25" i="128"/>
  <c r="D26" i="128"/>
  <c r="C19" i="128"/>
  <c r="C23" i="128"/>
  <c r="D23" i="128"/>
  <c r="E19" i="128"/>
  <c r="C24" i="128"/>
  <c r="D24" i="128"/>
  <c r="E16" i="128"/>
  <c r="E17" i="128"/>
  <c r="C18" i="128"/>
  <c r="C22" i="128"/>
  <c r="E25" i="128"/>
  <c r="E26" i="128"/>
  <c r="E18" i="128"/>
  <c r="D19" i="128"/>
  <c r="F22" i="128"/>
  <c r="C15" i="128"/>
  <c r="F16" i="128"/>
  <c r="F17" i="128"/>
  <c r="D18" i="128"/>
  <c r="D22" i="128"/>
  <c r="F25" i="128"/>
  <c r="D19" i="127"/>
  <c r="C26" i="127"/>
  <c r="M38" i="127"/>
  <c r="F25" i="127"/>
  <c r="C18" i="127"/>
  <c r="E19" i="127"/>
  <c r="C20" i="127"/>
  <c r="C23" i="127"/>
  <c r="D26" i="127"/>
  <c r="Q38" i="127"/>
  <c r="D18" i="127"/>
  <c r="F19" i="127"/>
  <c r="D20" i="127"/>
  <c r="D23" i="127"/>
  <c r="E26" i="127"/>
  <c r="Q26" i="127"/>
  <c r="Q30" i="127"/>
  <c r="M48" i="127"/>
  <c r="C17" i="127"/>
  <c r="E18" i="127"/>
  <c r="E20" i="127"/>
  <c r="E23" i="127"/>
  <c r="C24" i="127"/>
  <c r="F26" i="127"/>
  <c r="D17" i="127"/>
  <c r="F18" i="127"/>
  <c r="F20" i="127"/>
  <c r="F23" i="127"/>
  <c r="D24" i="127"/>
  <c r="M34" i="127"/>
  <c r="E24" i="127"/>
  <c r="C25" i="127"/>
  <c r="Q34" i="127"/>
  <c r="F24" i="127"/>
  <c r="D25" i="127"/>
  <c r="C19" i="127"/>
  <c r="M26" i="127"/>
  <c r="J102" i="49"/>
  <c r="J100" i="49"/>
  <c r="J105" i="49"/>
  <c r="J107" i="49"/>
  <c r="J103" i="49"/>
  <c r="J106" i="49"/>
  <c r="J32" i="49"/>
  <c r="J9" i="49"/>
  <c r="J15" i="49"/>
  <c r="J10" i="49"/>
  <c r="T4" i="115"/>
  <c r="Q32" i="115"/>
  <c r="R26" i="115"/>
  <c r="M15" i="115"/>
  <c r="N20" i="115"/>
  <c r="R26" i="116"/>
  <c r="M15" i="116"/>
  <c r="N15" i="116"/>
  <c r="N20" i="116"/>
  <c r="Q15" i="116"/>
  <c r="Q20" i="116"/>
  <c r="Q23" i="118"/>
  <c r="N17" i="118"/>
  <c r="Q12" i="118"/>
  <c r="R17" i="118"/>
  <c r="M24" i="114"/>
  <c r="E20" i="118"/>
  <c r="F28" i="116"/>
  <c r="F28" i="115"/>
  <c r="C20" i="114"/>
  <c r="F25" i="114"/>
  <c r="X6" i="114"/>
  <c r="E20" i="114"/>
  <c r="F19" i="114"/>
  <c r="E19" i="114"/>
  <c r="E18" i="114"/>
  <c r="F18" i="114"/>
  <c r="X3" i="114"/>
  <c r="E28" i="114"/>
  <c r="E14" i="116"/>
  <c r="E27" i="116"/>
  <c r="F22" i="115"/>
  <c r="C11" i="118"/>
  <c r="E19" i="118"/>
  <c r="F20" i="118"/>
  <c r="D11" i="118"/>
  <c r="F19" i="118"/>
  <c r="E11" i="118"/>
  <c r="C12" i="118"/>
  <c r="C13" i="118"/>
  <c r="Q17" i="118"/>
  <c r="F11" i="118"/>
  <c r="D12" i="118"/>
  <c r="D13" i="118"/>
  <c r="E12" i="118"/>
  <c r="E13" i="118"/>
  <c r="C14" i="118"/>
  <c r="C17" i="118"/>
  <c r="C18" i="118"/>
  <c r="F12" i="118"/>
  <c r="F13" i="118"/>
  <c r="D14" i="118"/>
  <c r="D17" i="118"/>
  <c r="D18" i="118"/>
  <c r="C20" i="118"/>
  <c r="E14" i="118"/>
  <c r="E17" i="118"/>
  <c r="M17" i="118"/>
  <c r="E18" i="118"/>
  <c r="C19" i="118"/>
  <c r="D20" i="118"/>
  <c r="F14" i="118"/>
  <c r="F17" i="118"/>
  <c r="F18" i="118"/>
  <c r="D19" i="118"/>
  <c r="C23" i="116"/>
  <c r="C16" i="116"/>
  <c r="D15" i="116"/>
  <c r="E15" i="116"/>
  <c r="E16" i="116"/>
  <c r="C17" i="116"/>
  <c r="C20" i="116"/>
  <c r="C21" i="116"/>
  <c r="C26" i="116"/>
  <c r="F27" i="116"/>
  <c r="C28" i="116"/>
  <c r="D29" i="116"/>
  <c r="F14" i="116"/>
  <c r="C27" i="116"/>
  <c r="C15" i="116"/>
  <c r="D27" i="116"/>
  <c r="R20" i="116"/>
  <c r="C29" i="116"/>
  <c r="F15" i="116"/>
  <c r="F16" i="116"/>
  <c r="D17" i="116"/>
  <c r="D20" i="116"/>
  <c r="D21" i="116"/>
  <c r="D26" i="116"/>
  <c r="D28" i="116"/>
  <c r="E29" i="116"/>
  <c r="D23" i="116"/>
  <c r="E23" i="116"/>
  <c r="D16" i="116"/>
  <c r="F23" i="116"/>
  <c r="C14" i="116"/>
  <c r="E17" i="116"/>
  <c r="E20" i="116"/>
  <c r="M20" i="116"/>
  <c r="E21" i="116"/>
  <c r="C22" i="116"/>
  <c r="E26" i="116"/>
  <c r="E28" i="116"/>
  <c r="F29" i="116"/>
  <c r="E22" i="116"/>
  <c r="F22" i="116"/>
  <c r="D14" i="116"/>
  <c r="F17" i="116"/>
  <c r="F20" i="116"/>
  <c r="F21" i="116"/>
  <c r="D22" i="116"/>
  <c r="F26" i="116"/>
  <c r="D23" i="115"/>
  <c r="C27" i="115"/>
  <c r="C15" i="115"/>
  <c r="C16" i="115"/>
  <c r="Q20" i="115"/>
  <c r="E23" i="115"/>
  <c r="D27" i="115"/>
  <c r="E14" i="115"/>
  <c r="C23" i="115"/>
  <c r="F14" i="115"/>
  <c r="D15" i="115"/>
  <c r="D16" i="115"/>
  <c r="F23" i="115"/>
  <c r="E27" i="115"/>
  <c r="C29" i="115"/>
  <c r="E16" i="115"/>
  <c r="E15" i="115"/>
  <c r="C17" i="115"/>
  <c r="C20" i="115"/>
  <c r="C21" i="115"/>
  <c r="C26" i="115"/>
  <c r="F27" i="115"/>
  <c r="C28" i="115"/>
  <c r="D29" i="115"/>
  <c r="F15" i="115"/>
  <c r="F16" i="115"/>
  <c r="D17" i="115"/>
  <c r="D20" i="115"/>
  <c r="D21" i="115"/>
  <c r="D26" i="115"/>
  <c r="D28" i="115"/>
  <c r="E29" i="115"/>
  <c r="E20" i="115"/>
  <c r="M20" i="115"/>
  <c r="E21" i="115"/>
  <c r="C22" i="115"/>
  <c r="E26" i="115"/>
  <c r="E28" i="115"/>
  <c r="F29" i="115"/>
  <c r="E22" i="115"/>
  <c r="C14" i="115"/>
  <c r="E17" i="115"/>
  <c r="D14" i="115"/>
  <c r="F17" i="115"/>
  <c r="F20" i="115"/>
  <c r="F21" i="115"/>
  <c r="D22" i="115"/>
  <c r="F26" i="115"/>
  <c r="D28" i="114"/>
  <c r="X1" i="114"/>
  <c r="X2" i="114"/>
  <c r="X4" i="114"/>
  <c r="D17" i="114"/>
  <c r="D25" i="114"/>
  <c r="E26" i="114"/>
  <c r="F27" i="114"/>
  <c r="X5" i="114"/>
  <c r="C28" i="114"/>
  <c r="C27" i="114"/>
  <c r="F20" i="114"/>
  <c r="D27" i="114"/>
  <c r="D26" i="114"/>
  <c r="F28" i="114"/>
  <c r="E17" i="114"/>
  <c r="C18" i="114"/>
  <c r="C19" i="114"/>
  <c r="E25" i="114"/>
  <c r="F26" i="114"/>
  <c r="D20" i="114"/>
  <c r="C26" i="114"/>
  <c r="C17" i="114"/>
  <c r="C25" i="114"/>
  <c r="E27" i="114"/>
  <c r="F17" i="114"/>
  <c r="D18" i="114"/>
  <c r="D19" i="114"/>
  <c r="F25" i="110"/>
  <c r="D26" i="110"/>
  <c r="E17" i="110"/>
  <c r="F17" i="110"/>
  <c r="F16" i="110"/>
  <c r="C22" i="110"/>
  <c r="E15" i="110"/>
  <c r="D18" i="110"/>
  <c r="C19" i="110"/>
  <c r="D22" i="110"/>
  <c r="D24" i="110"/>
  <c r="C25" i="110"/>
  <c r="E26" i="110"/>
  <c r="E23" i="110"/>
  <c r="E16" i="110"/>
  <c r="C26" i="110"/>
  <c r="D15" i="110"/>
  <c r="C18" i="110"/>
  <c r="F15" i="110"/>
  <c r="E18" i="110"/>
  <c r="D19" i="110"/>
  <c r="E22" i="110"/>
  <c r="E24" i="110"/>
  <c r="D25" i="110"/>
  <c r="F26" i="110"/>
  <c r="F23" i="110"/>
  <c r="C24" i="110"/>
  <c r="C17" i="110"/>
  <c r="H17" i="110" s="1"/>
  <c r="F18" i="110"/>
  <c r="E19" i="110"/>
  <c r="F22" i="110"/>
  <c r="C23" i="110"/>
  <c r="F24" i="110"/>
  <c r="E25" i="110"/>
  <c r="D16" i="110"/>
  <c r="C15" i="110"/>
  <c r="C16" i="110"/>
  <c r="D17" i="110"/>
  <c r="F19" i="110"/>
  <c r="D23" i="110"/>
  <c r="M43" i="105"/>
  <c r="M30" i="105"/>
  <c r="Q22" i="105"/>
  <c r="U30" i="105"/>
  <c r="Q23" i="103"/>
  <c r="M23" i="103"/>
  <c r="R18" i="103"/>
  <c r="Q18" i="103"/>
  <c r="E19" i="103"/>
  <c r="E23" i="105"/>
  <c r="Q3" i="105"/>
  <c r="E17" i="105"/>
  <c r="Q2" i="105"/>
  <c r="M38" i="105"/>
  <c r="C20" i="105"/>
  <c r="Q38" i="105"/>
  <c r="F19" i="105"/>
  <c r="E26" i="105"/>
  <c r="C17" i="105"/>
  <c r="H17" i="105" s="1"/>
  <c r="M18" i="105"/>
  <c r="C24" i="105"/>
  <c r="D24" i="105"/>
  <c r="M34" i="105"/>
  <c r="Q34" i="105"/>
  <c r="Q43" i="105"/>
  <c r="D19" i="105"/>
  <c r="F25" i="105"/>
  <c r="H25" i="105" s="1"/>
  <c r="C18" i="105"/>
  <c r="E19" i="105"/>
  <c r="D26" i="105"/>
  <c r="D20" i="105"/>
  <c r="Q30" i="105"/>
  <c r="E20" i="105"/>
  <c r="F26" i="105"/>
  <c r="F18" i="105"/>
  <c r="E24" i="105"/>
  <c r="Q18" i="105"/>
  <c r="F24" i="105"/>
  <c r="D25" i="105"/>
  <c r="C26" i="105"/>
  <c r="C23" i="105"/>
  <c r="H23" i="105" s="1"/>
  <c r="D18" i="105"/>
  <c r="D23" i="105"/>
  <c r="Q26" i="105"/>
  <c r="M48" i="105"/>
  <c r="E18" i="105"/>
  <c r="D17" i="105"/>
  <c r="F20" i="105"/>
  <c r="M22" i="105"/>
  <c r="C19" i="105"/>
  <c r="M26" i="105"/>
  <c r="Q30" i="104"/>
  <c r="U30" i="104"/>
  <c r="M26" i="104"/>
  <c r="M30" i="104"/>
  <c r="Q26" i="104"/>
  <c r="M22" i="104"/>
  <c r="Q22" i="104"/>
  <c r="M18" i="104"/>
  <c r="Q18" i="104"/>
  <c r="D20" i="104"/>
  <c r="C26" i="104"/>
  <c r="T4" i="104"/>
  <c r="C20" i="103"/>
  <c r="D20" i="103"/>
  <c r="X1" i="103"/>
  <c r="F18" i="103"/>
  <c r="E18" i="103"/>
  <c r="E28" i="103"/>
  <c r="F25" i="103"/>
  <c r="C27" i="103"/>
  <c r="X2" i="103"/>
  <c r="F19" i="103"/>
  <c r="T3" i="104"/>
  <c r="C24" i="104"/>
  <c r="F23" i="104"/>
  <c r="D17" i="104"/>
  <c r="F18" i="104"/>
  <c r="F26" i="104"/>
  <c r="F19" i="104"/>
  <c r="E17" i="104"/>
  <c r="F24" i="104"/>
  <c r="F17" i="104"/>
  <c r="C23" i="104"/>
  <c r="E18" i="104"/>
  <c r="E24" i="104"/>
  <c r="D23" i="104"/>
  <c r="E26" i="104"/>
  <c r="E19" i="104"/>
  <c r="E25" i="104"/>
  <c r="E23" i="104"/>
  <c r="C17" i="104"/>
  <c r="C18" i="104"/>
  <c r="F20" i="104"/>
  <c r="E20" i="104"/>
  <c r="C20" i="104"/>
  <c r="F25" i="104"/>
  <c r="C25" i="104"/>
  <c r="C19" i="104"/>
  <c r="D25" i="104"/>
  <c r="D19" i="104"/>
  <c r="D26" i="104"/>
  <c r="D24" i="104"/>
  <c r="D18" i="104"/>
  <c r="C26" i="103"/>
  <c r="F28" i="103"/>
  <c r="D28" i="103"/>
  <c r="D27" i="103"/>
  <c r="D26" i="103"/>
  <c r="X4" i="103"/>
  <c r="X6" i="103"/>
  <c r="D17" i="103"/>
  <c r="D25" i="103"/>
  <c r="E26" i="103"/>
  <c r="F27" i="103"/>
  <c r="X5" i="103"/>
  <c r="C28" i="103"/>
  <c r="E20" i="103"/>
  <c r="C17" i="103"/>
  <c r="C25" i="103"/>
  <c r="E17" i="103"/>
  <c r="C18" i="103"/>
  <c r="C19" i="103"/>
  <c r="E25" i="103"/>
  <c r="F26" i="103"/>
  <c r="X3" i="103"/>
  <c r="F20" i="103"/>
  <c r="E27" i="103"/>
  <c r="F17" i="103"/>
  <c r="D18" i="103"/>
  <c r="D19" i="103"/>
  <c r="P30" i="102"/>
  <c r="Q30" i="102" s="1"/>
  <c r="O30" i="102"/>
  <c r="M30" i="102"/>
  <c r="Q29" i="102"/>
  <c r="P23" i="102"/>
  <c r="R23" i="102" s="1"/>
  <c r="O23" i="102"/>
  <c r="M29" i="102" s="1"/>
  <c r="N23" i="102"/>
  <c r="M23" i="102"/>
  <c r="K18" i="102"/>
  <c r="P17" i="102"/>
  <c r="O17" i="102"/>
  <c r="K17" i="102"/>
  <c r="K16" i="102"/>
  <c r="K15" i="102"/>
  <c r="K14" i="102"/>
  <c r="K13" i="102"/>
  <c r="P12" i="102"/>
  <c r="O12" i="102"/>
  <c r="N12" i="102"/>
  <c r="M12" i="102"/>
  <c r="K12" i="102"/>
  <c r="K11" i="102"/>
  <c r="P7" i="102"/>
  <c r="O7" i="102"/>
  <c r="N7" i="102"/>
  <c r="R7" i="102" s="1"/>
  <c r="M7" i="102"/>
  <c r="Q7" i="102" s="1"/>
  <c r="L7" i="102"/>
  <c r="G7" i="102"/>
  <c r="D7" i="102"/>
  <c r="C7" i="102"/>
  <c r="P6" i="102"/>
  <c r="O6" i="102"/>
  <c r="N6" i="102"/>
  <c r="R6" i="102" s="1"/>
  <c r="M6" i="102"/>
  <c r="Q6" i="102" s="1"/>
  <c r="L6" i="102"/>
  <c r="G6" i="102"/>
  <c r="D6" i="102"/>
  <c r="C6" i="102"/>
  <c r="P5" i="102"/>
  <c r="O5" i="102"/>
  <c r="N5" i="102"/>
  <c r="R5" i="102" s="1"/>
  <c r="M5" i="102"/>
  <c r="Q5" i="102" s="1"/>
  <c r="L5" i="102"/>
  <c r="G5" i="102"/>
  <c r="D5" i="102"/>
  <c r="C5" i="102"/>
  <c r="T4" i="102"/>
  <c r="P4" i="102"/>
  <c r="O4" i="102"/>
  <c r="N4" i="102"/>
  <c r="R4" i="102" s="1"/>
  <c r="M4" i="102"/>
  <c r="Q4" i="102" s="1"/>
  <c r="L4" i="102"/>
  <c r="G4" i="102"/>
  <c r="D4" i="102"/>
  <c r="C4" i="102"/>
  <c r="T3" i="102"/>
  <c r="P3" i="102"/>
  <c r="O3" i="102"/>
  <c r="N3" i="102"/>
  <c r="R3" i="102" s="1"/>
  <c r="M3" i="102"/>
  <c r="Q3" i="102" s="1"/>
  <c r="L3" i="102"/>
  <c r="G3" i="102"/>
  <c r="D3" i="102"/>
  <c r="C3" i="102"/>
  <c r="P2" i="102"/>
  <c r="O2" i="102"/>
  <c r="N2" i="102"/>
  <c r="R2" i="102" s="1"/>
  <c r="M2" i="102"/>
  <c r="Q2" i="102" s="1"/>
  <c r="L2" i="102"/>
  <c r="G2" i="102"/>
  <c r="D2" i="102"/>
  <c r="C2" i="102"/>
  <c r="R16" i="101" a="1"/>
  <c r="R16" i="101" s="1"/>
  <c r="N16" i="101" a="1"/>
  <c r="N16" i="101"/>
  <c r="M16" i="101" a="1"/>
  <c r="M16" i="101" s="1"/>
  <c r="Q11" i="101" a="1"/>
  <c r="Q11" i="101" s="1"/>
  <c r="P30" i="101"/>
  <c r="Q30" i="101" s="1"/>
  <c r="O30" i="101"/>
  <c r="M30" i="101"/>
  <c r="P23" i="101"/>
  <c r="Q23" i="101" s="1"/>
  <c r="O23" i="101"/>
  <c r="N23" i="101" s="1"/>
  <c r="R22" i="101"/>
  <c r="R24" i="101" s="1"/>
  <c r="Q22" i="101"/>
  <c r="Q24" i="101" s="1"/>
  <c r="N22" i="101"/>
  <c r="N24" i="101" s="1"/>
  <c r="M22" i="101"/>
  <c r="M24" i="101" s="1"/>
  <c r="K18" i="101"/>
  <c r="P17" i="101"/>
  <c r="O17" i="101"/>
  <c r="K17" i="101"/>
  <c r="K16" i="101"/>
  <c r="K15" i="101"/>
  <c r="K14" i="101"/>
  <c r="K13" i="101"/>
  <c r="P12" i="101"/>
  <c r="Q12" i="101" s="1"/>
  <c r="O12" i="101"/>
  <c r="M12" i="101" s="1"/>
  <c r="K12" i="101"/>
  <c r="K11" i="101"/>
  <c r="P7" i="101"/>
  <c r="O7" i="101"/>
  <c r="N7" i="101"/>
  <c r="R7" i="101" s="1"/>
  <c r="M7" i="101"/>
  <c r="Q7" i="101" s="1"/>
  <c r="L7" i="101"/>
  <c r="G7" i="101"/>
  <c r="D7" i="101"/>
  <c r="C7" i="101"/>
  <c r="P6" i="101"/>
  <c r="O6" i="101"/>
  <c r="N6" i="101"/>
  <c r="R6" i="101" s="1"/>
  <c r="M6" i="101"/>
  <c r="Q6" i="101" s="1"/>
  <c r="L6" i="101"/>
  <c r="G6" i="101"/>
  <c r="D6" i="101"/>
  <c r="C6" i="101"/>
  <c r="R5" i="101"/>
  <c r="Q5" i="101"/>
  <c r="P5" i="101"/>
  <c r="O5" i="101"/>
  <c r="N5" i="101"/>
  <c r="M5" i="101"/>
  <c r="L5" i="101"/>
  <c r="G5" i="101"/>
  <c r="D5" i="101"/>
  <c r="C5" i="101"/>
  <c r="R4" i="101"/>
  <c r="P4" i="101"/>
  <c r="O4" i="101"/>
  <c r="N4" i="101"/>
  <c r="M4" i="101"/>
  <c r="Q4" i="101" s="1"/>
  <c r="L4" i="101"/>
  <c r="G4" i="101"/>
  <c r="D4" i="101"/>
  <c r="C4" i="101"/>
  <c r="P3" i="101"/>
  <c r="O3" i="101"/>
  <c r="N3" i="101"/>
  <c r="R3" i="101" s="1"/>
  <c r="M3" i="101"/>
  <c r="Q3" i="101" s="1"/>
  <c r="L3" i="101"/>
  <c r="G3" i="101"/>
  <c r="D3" i="101"/>
  <c r="C3" i="101"/>
  <c r="Q2" i="101"/>
  <c r="P2" i="101"/>
  <c r="O2" i="101"/>
  <c r="N2" i="101"/>
  <c r="R2" i="101" s="1"/>
  <c r="M2" i="101"/>
  <c r="L2" i="101"/>
  <c r="G2" i="101"/>
  <c r="D2" i="101"/>
  <c r="C2" i="101"/>
  <c r="P33" i="100"/>
  <c r="Q33" i="100" s="1"/>
  <c r="O33" i="100"/>
  <c r="M33" i="100"/>
  <c r="P26" i="100"/>
  <c r="O26" i="100"/>
  <c r="K25" i="100"/>
  <c r="K24" i="100"/>
  <c r="K23" i="100"/>
  <c r="K22" i="100"/>
  <c r="K21" i="100"/>
  <c r="P20" i="100"/>
  <c r="O20" i="100"/>
  <c r="K20" i="100"/>
  <c r="K19" i="100"/>
  <c r="K18" i="100"/>
  <c r="K17" i="100"/>
  <c r="K16" i="100"/>
  <c r="P15" i="100"/>
  <c r="O15" i="100"/>
  <c r="N15" i="100"/>
  <c r="M15" i="100"/>
  <c r="K15" i="100"/>
  <c r="K14" i="100"/>
  <c r="P10" i="100"/>
  <c r="O10" i="100"/>
  <c r="N10" i="100"/>
  <c r="R10" i="100" s="1"/>
  <c r="M10" i="100"/>
  <c r="Q10" i="100" s="1"/>
  <c r="L10" i="100"/>
  <c r="G10" i="100"/>
  <c r="D10" i="100"/>
  <c r="C10" i="100"/>
  <c r="P9" i="100"/>
  <c r="O9" i="100"/>
  <c r="N9" i="100"/>
  <c r="R9" i="100" s="1"/>
  <c r="M9" i="100"/>
  <c r="Q9" i="100" s="1"/>
  <c r="L9" i="100"/>
  <c r="G9" i="100"/>
  <c r="D9" i="100"/>
  <c r="C9" i="100"/>
  <c r="P8" i="100"/>
  <c r="O8" i="100"/>
  <c r="N8" i="100"/>
  <c r="R8" i="100" s="1"/>
  <c r="M8" i="100"/>
  <c r="Q8" i="100" s="1"/>
  <c r="L8" i="100"/>
  <c r="G8" i="100"/>
  <c r="D8" i="100"/>
  <c r="C8" i="100"/>
  <c r="P7" i="100"/>
  <c r="O7" i="100"/>
  <c r="N7" i="100"/>
  <c r="R7" i="100" s="1"/>
  <c r="M7" i="100"/>
  <c r="Q7" i="100" s="1"/>
  <c r="L7" i="100"/>
  <c r="G7" i="100"/>
  <c r="D7" i="100"/>
  <c r="C7" i="100"/>
  <c r="P6" i="100"/>
  <c r="O6" i="100"/>
  <c r="N6" i="100"/>
  <c r="R6" i="100" s="1"/>
  <c r="M6" i="100"/>
  <c r="Q6" i="100" s="1"/>
  <c r="L6" i="100"/>
  <c r="G6" i="100"/>
  <c r="D6" i="100"/>
  <c r="C6" i="100"/>
  <c r="P5" i="100"/>
  <c r="O5" i="100"/>
  <c r="N5" i="100"/>
  <c r="R5" i="100" s="1"/>
  <c r="M5" i="100"/>
  <c r="Q5" i="100" s="1"/>
  <c r="L5" i="100"/>
  <c r="G5" i="100"/>
  <c r="D5" i="100"/>
  <c r="C5" i="100"/>
  <c r="P4" i="100"/>
  <c r="O4" i="100"/>
  <c r="N4" i="100"/>
  <c r="R4" i="100" s="1"/>
  <c r="M4" i="100"/>
  <c r="Q4" i="100" s="1"/>
  <c r="L4" i="100"/>
  <c r="G4" i="100"/>
  <c r="D4" i="100"/>
  <c r="C4" i="100"/>
  <c r="P3" i="100"/>
  <c r="O3" i="100"/>
  <c r="N3" i="100"/>
  <c r="R3" i="100" s="1"/>
  <c r="M3" i="100"/>
  <c r="Q3" i="100" s="1"/>
  <c r="L3" i="100"/>
  <c r="G3" i="100"/>
  <c r="D3" i="100"/>
  <c r="C3" i="100"/>
  <c r="P2" i="100"/>
  <c r="O2" i="100"/>
  <c r="N2" i="100"/>
  <c r="R2" i="100" s="1"/>
  <c r="M2" i="100"/>
  <c r="Q2" i="100" s="1"/>
  <c r="L2" i="100"/>
  <c r="G2" i="100"/>
  <c r="D2" i="100"/>
  <c r="C2" i="100"/>
  <c r="I5" i="99"/>
  <c r="I4" i="99"/>
  <c r="I3" i="99"/>
  <c r="I2" i="99"/>
  <c r="P33" i="97"/>
  <c r="Q33" i="97" s="1"/>
  <c r="O33" i="97"/>
  <c r="M33" i="97"/>
  <c r="Q32" i="97"/>
  <c r="M32" i="97"/>
  <c r="P26" i="97"/>
  <c r="R26" i="97" s="1"/>
  <c r="O26" i="97"/>
  <c r="M26" i="97" s="1"/>
  <c r="K25" i="97"/>
  <c r="K24" i="97"/>
  <c r="K23" i="97"/>
  <c r="K22" i="97"/>
  <c r="K21" i="97"/>
  <c r="P20" i="97"/>
  <c r="O20" i="97"/>
  <c r="R25" i="97" s="1"/>
  <c r="K20" i="97"/>
  <c r="K19" i="97"/>
  <c r="K18" i="97"/>
  <c r="K17" i="97"/>
  <c r="K16" i="97"/>
  <c r="P15" i="97"/>
  <c r="Q15" i="97" s="1"/>
  <c r="O15" i="97"/>
  <c r="M15" i="97" s="1"/>
  <c r="K15" i="97"/>
  <c r="K14" i="97"/>
  <c r="P10" i="97"/>
  <c r="O10" i="97"/>
  <c r="N10" i="97"/>
  <c r="R10" i="97" s="1"/>
  <c r="M10" i="97"/>
  <c r="Q10" i="97" s="1"/>
  <c r="L10" i="97"/>
  <c r="G10" i="97"/>
  <c r="D10" i="97"/>
  <c r="C10" i="97"/>
  <c r="Q9" i="97"/>
  <c r="P9" i="97"/>
  <c r="O9" i="97"/>
  <c r="N9" i="97"/>
  <c r="R9" i="97" s="1"/>
  <c r="M9" i="97"/>
  <c r="L9" i="97"/>
  <c r="G9" i="97"/>
  <c r="D9" i="97"/>
  <c r="C9" i="97"/>
  <c r="R8" i="97"/>
  <c r="P8" i="97"/>
  <c r="O8" i="97"/>
  <c r="N8" i="97"/>
  <c r="M8" i="97"/>
  <c r="Q8" i="97" s="1"/>
  <c r="L8" i="97"/>
  <c r="G8" i="97"/>
  <c r="D8" i="97"/>
  <c r="C8" i="97"/>
  <c r="P7" i="97"/>
  <c r="O7" i="97"/>
  <c r="N7" i="97"/>
  <c r="R7" i="97" s="1"/>
  <c r="M7" i="97"/>
  <c r="Q7" i="97" s="1"/>
  <c r="L7" i="97"/>
  <c r="G7" i="97"/>
  <c r="D7" i="97"/>
  <c r="C7" i="97"/>
  <c r="P6" i="97"/>
  <c r="O6" i="97"/>
  <c r="N6" i="97"/>
  <c r="R6" i="97" s="1"/>
  <c r="M6" i="97"/>
  <c r="Q6" i="97" s="1"/>
  <c r="L6" i="97"/>
  <c r="G6" i="97"/>
  <c r="D6" i="97"/>
  <c r="C6" i="97"/>
  <c r="P5" i="97"/>
  <c r="O5" i="97"/>
  <c r="N5" i="97"/>
  <c r="R5" i="97" s="1"/>
  <c r="M5" i="97"/>
  <c r="Q5" i="97" s="1"/>
  <c r="L5" i="97"/>
  <c r="G5" i="97"/>
  <c r="D5" i="97"/>
  <c r="C5" i="97"/>
  <c r="P4" i="97"/>
  <c r="O4" i="97"/>
  <c r="N4" i="97"/>
  <c r="R4" i="97" s="1"/>
  <c r="M4" i="97"/>
  <c r="Q4" i="97" s="1"/>
  <c r="L4" i="97"/>
  <c r="G4" i="97"/>
  <c r="D4" i="97"/>
  <c r="C4" i="97"/>
  <c r="Q3" i="97"/>
  <c r="P3" i="97"/>
  <c r="O3" i="97"/>
  <c r="N3" i="97"/>
  <c r="R3" i="97" s="1"/>
  <c r="M3" i="97"/>
  <c r="L3" i="97"/>
  <c r="G3" i="97"/>
  <c r="D3" i="97"/>
  <c r="C3" i="97"/>
  <c r="Q2" i="97"/>
  <c r="P2" i="97"/>
  <c r="O2" i="97"/>
  <c r="N2" i="97"/>
  <c r="R2" i="97" s="1"/>
  <c r="M2" i="97"/>
  <c r="L2" i="97"/>
  <c r="G2" i="97"/>
  <c r="D2" i="97"/>
  <c r="C2" i="97"/>
  <c r="T11" i="87"/>
  <c r="N32" i="92"/>
  <c r="R32" i="92"/>
  <c r="R43" i="87"/>
  <c r="N43" i="87"/>
  <c r="R26" i="94"/>
  <c r="Q26" i="94"/>
  <c r="D41" i="94"/>
  <c r="D40" i="94"/>
  <c r="D39" i="94"/>
  <c r="D38" i="94"/>
  <c r="D37" i="94"/>
  <c r="D36" i="94"/>
  <c r="D35" i="94"/>
  <c r="C41" i="94"/>
  <c r="C40" i="94"/>
  <c r="C39" i="94"/>
  <c r="C38" i="94"/>
  <c r="C37" i="94"/>
  <c r="C36" i="94"/>
  <c r="C35" i="94"/>
  <c r="D32" i="94"/>
  <c r="D31" i="94"/>
  <c r="D30" i="94"/>
  <c r="D29" i="94"/>
  <c r="D28" i="94"/>
  <c r="D27" i="94"/>
  <c r="D26" i="94"/>
  <c r="C32" i="94"/>
  <c r="C31" i="94"/>
  <c r="C30" i="94"/>
  <c r="C29" i="94"/>
  <c r="C28" i="94"/>
  <c r="C27" i="94"/>
  <c r="C26" i="94"/>
  <c r="C25" i="87"/>
  <c r="R25" i="87"/>
  <c r="R30" i="87"/>
  <c r="Q25" i="87"/>
  <c r="Q33" i="94"/>
  <c r="M33" i="94"/>
  <c r="P33" i="94"/>
  <c r="O33" i="94"/>
  <c r="K39" i="94"/>
  <c r="K38" i="94"/>
  <c r="K37" i="94"/>
  <c r="K36" i="94"/>
  <c r="K35" i="94"/>
  <c r="K34" i="94"/>
  <c r="K33" i="94"/>
  <c r="K30" i="94"/>
  <c r="K31" i="94"/>
  <c r="K32" i="94"/>
  <c r="P27" i="94"/>
  <c r="R27" i="94" s="1"/>
  <c r="O27" i="94"/>
  <c r="N27" i="94" s="1"/>
  <c r="C20" i="94"/>
  <c r="M4" i="94"/>
  <c r="M11" i="94"/>
  <c r="M21" i="94"/>
  <c r="M6" i="94"/>
  <c r="M17" i="94"/>
  <c r="M14" i="94"/>
  <c r="M7" i="94"/>
  <c r="M2" i="94"/>
  <c r="M15" i="94"/>
  <c r="M22" i="94"/>
  <c r="M8" i="94"/>
  <c r="M9" i="94"/>
  <c r="M13" i="94"/>
  <c r="M19" i="94"/>
  <c r="M16" i="94"/>
  <c r="M5" i="94"/>
  <c r="M12" i="94"/>
  <c r="M10" i="94"/>
  <c r="M18" i="94"/>
  <c r="M20" i="94"/>
  <c r="H4" i="94"/>
  <c r="H11" i="94"/>
  <c r="H21" i="94"/>
  <c r="H6" i="94"/>
  <c r="H17" i="94"/>
  <c r="H14" i="94"/>
  <c r="H7" i="94"/>
  <c r="H2" i="94"/>
  <c r="H15" i="94"/>
  <c r="H22" i="94"/>
  <c r="H8" i="94"/>
  <c r="H9" i="94"/>
  <c r="H13" i="94"/>
  <c r="H19" i="94"/>
  <c r="H16" i="94"/>
  <c r="H5" i="94"/>
  <c r="H12" i="94"/>
  <c r="H10" i="94"/>
  <c r="H18" i="94"/>
  <c r="H20" i="94"/>
  <c r="D11" i="94"/>
  <c r="D21" i="94"/>
  <c r="D6" i="94"/>
  <c r="D17" i="94"/>
  <c r="D14" i="94"/>
  <c r="D7" i="94"/>
  <c r="D2" i="94"/>
  <c r="D15" i="94"/>
  <c r="D22" i="94"/>
  <c r="D8" i="94"/>
  <c r="D9" i="94"/>
  <c r="D13" i="94"/>
  <c r="D19" i="94"/>
  <c r="D16" i="94"/>
  <c r="D5" i="94"/>
  <c r="D12" i="94"/>
  <c r="D10" i="94"/>
  <c r="D18" i="94"/>
  <c r="D20" i="94"/>
  <c r="C11" i="94"/>
  <c r="C21" i="94"/>
  <c r="C6" i="94"/>
  <c r="C17" i="94"/>
  <c r="C14" i="94"/>
  <c r="C7" i="94"/>
  <c r="C2" i="94"/>
  <c r="C3" i="94"/>
  <c r="C15" i="94"/>
  <c r="C22" i="94"/>
  <c r="C8" i="94"/>
  <c r="C9" i="94"/>
  <c r="C13" i="94"/>
  <c r="C19" i="94"/>
  <c r="C16" i="94"/>
  <c r="C5" i="94"/>
  <c r="C12" i="94"/>
  <c r="C10" i="94"/>
  <c r="C18" i="94"/>
  <c r="D4" i="94"/>
  <c r="C4" i="94"/>
  <c r="X14" i="94"/>
  <c r="Y14" i="94" s="1"/>
  <c r="X2" i="94"/>
  <c r="X3" i="94"/>
  <c r="X4" i="94"/>
  <c r="X5" i="94"/>
  <c r="X6" i="94"/>
  <c r="X7" i="94"/>
  <c r="X8" i="94"/>
  <c r="X1" i="94"/>
  <c r="M3" i="94"/>
  <c r="H3" i="94"/>
  <c r="D3" i="94"/>
  <c r="X9" i="94"/>
  <c r="X10" i="94"/>
  <c r="X11" i="94"/>
  <c r="X12" i="94"/>
  <c r="X13" i="94"/>
  <c r="N4" i="94"/>
  <c r="R4" i="94" s="1"/>
  <c r="O4" i="94"/>
  <c r="S4" i="94" s="1"/>
  <c r="P4" i="94"/>
  <c r="Q4" i="94"/>
  <c r="N6" i="94"/>
  <c r="R6" i="94" s="1"/>
  <c r="O6" i="94"/>
  <c r="P6" i="94"/>
  <c r="Q6" i="94"/>
  <c r="S6" i="94"/>
  <c r="N21" i="94"/>
  <c r="R21" i="94" s="1"/>
  <c r="O21" i="94"/>
  <c r="S21" i="94" s="1"/>
  <c r="P21" i="94"/>
  <c r="Q21" i="94"/>
  <c r="N11" i="94"/>
  <c r="R11" i="94" s="1"/>
  <c r="O11" i="94"/>
  <c r="S11" i="94" s="1"/>
  <c r="P11" i="94"/>
  <c r="Q11" i="94"/>
  <c r="N15" i="94"/>
  <c r="R15" i="94" s="1"/>
  <c r="O15" i="94"/>
  <c r="S15" i="94" s="1"/>
  <c r="P15" i="94"/>
  <c r="Q15" i="94"/>
  <c r="N3" i="94"/>
  <c r="O3" i="94"/>
  <c r="S3" i="94" s="1"/>
  <c r="P3" i="94"/>
  <c r="Q3" i="94"/>
  <c r="R3" i="94"/>
  <c r="N2" i="94"/>
  <c r="R2" i="94" s="1"/>
  <c r="O2" i="94"/>
  <c r="S2" i="94" s="1"/>
  <c r="P2" i="94"/>
  <c r="Q2" i="94"/>
  <c r="N7" i="94"/>
  <c r="R7" i="94" s="1"/>
  <c r="O7" i="94"/>
  <c r="S7" i="94" s="1"/>
  <c r="P7" i="94"/>
  <c r="Q7" i="94"/>
  <c r="N14" i="94"/>
  <c r="R14" i="94" s="1"/>
  <c r="O14" i="94"/>
  <c r="S14" i="94" s="1"/>
  <c r="P14" i="94"/>
  <c r="Q14" i="94"/>
  <c r="N17" i="94"/>
  <c r="R17" i="94" s="1"/>
  <c r="O17" i="94"/>
  <c r="S17" i="94" s="1"/>
  <c r="P17" i="94"/>
  <c r="Q17" i="94"/>
  <c r="K29" i="94"/>
  <c r="K28" i="94"/>
  <c r="K27" i="94"/>
  <c r="K26" i="94"/>
  <c r="S22" i="94"/>
  <c r="Q22" i="94"/>
  <c r="P22" i="94"/>
  <c r="O22" i="94"/>
  <c r="N22" i="94"/>
  <c r="R22" i="94" s="1"/>
  <c r="Q8" i="94"/>
  <c r="P8" i="94"/>
  <c r="O8" i="94"/>
  <c r="S8" i="94" s="1"/>
  <c r="N8" i="94"/>
  <c r="R8" i="94" s="1"/>
  <c r="Q9" i="94"/>
  <c r="P9" i="94"/>
  <c r="O9" i="94"/>
  <c r="S9" i="94" s="1"/>
  <c r="N9" i="94"/>
  <c r="R9" i="94" s="1"/>
  <c r="Q13" i="94"/>
  <c r="P13" i="94"/>
  <c r="O13" i="94"/>
  <c r="S13" i="94" s="1"/>
  <c r="N13" i="94"/>
  <c r="R13" i="94" s="1"/>
  <c r="Q19" i="94"/>
  <c r="P19" i="94"/>
  <c r="O19" i="94"/>
  <c r="S19" i="94" s="1"/>
  <c r="N19" i="94"/>
  <c r="R19" i="94" s="1"/>
  <c r="Q16" i="94"/>
  <c r="P16" i="94"/>
  <c r="O16" i="94"/>
  <c r="S16" i="94" s="1"/>
  <c r="N16" i="94"/>
  <c r="R16" i="94" s="1"/>
  <c r="S5" i="94"/>
  <c r="R5" i="94"/>
  <c r="Q5" i="94"/>
  <c r="P5" i="94"/>
  <c r="O5" i="94"/>
  <c r="N5" i="94"/>
  <c r="Q12" i="94"/>
  <c r="P12" i="94"/>
  <c r="O12" i="94"/>
  <c r="S12" i="94" s="1"/>
  <c r="N12" i="94"/>
  <c r="R12" i="94" s="1"/>
  <c r="Q10" i="94"/>
  <c r="P10" i="94"/>
  <c r="O10" i="94"/>
  <c r="S10" i="94" s="1"/>
  <c r="N10" i="94"/>
  <c r="R10" i="94" s="1"/>
  <c r="Q18" i="94"/>
  <c r="P18" i="94"/>
  <c r="O18" i="94"/>
  <c r="S18" i="94" s="1"/>
  <c r="N18" i="94"/>
  <c r="R18" i="94" s="1"/>
  <c r="Q20" i="94"/>
  <c r="P20" i="94"/>
  <c r="O20" i="94"/>
  <c r="S20" i="94" s="1"/>
  <c r="N20" i="94"/>
  <c r="R20" i="94" s="1"/>
  <c r="P29" i="93"/>
  <c r="R29" i="93" s="1"/>
  <c r="O29" i="93"/>
  <c r="P23" i="93"/>
  <c r="O23" i="93"/>
  <c r="P18" i="93"/>
  <c r="Q18" i="93" s="1"/>
  <c r="O18" i="93"/>
  <c r="N18" i="93" s="1"/>
  <c r="K24" i="93"/>
  <c r="K23" i="93"/>
  <c r="K22" i="93"/>
  <c r="K21" i="93"/>
  <c r="K20" i="93"/>
  <c r="K19" i="93"/>
  <c r="P35" i="93"/>
  <c r="Q35" i="93" s="1"/>
  <c r="O35" i="93"/>
  <c r="M35" i="93"/>
  <c r="K18" i="93"/>
  <c r="K17" i="93"/>
  <c r="P13" i="93"/>
  <c r="O13" i="93"/>
  <c r="N13" i="93"/>
  <c r="R13" i="93" s="1"/>
  <c r="M13" i="93"/>
  <c r="Q13" i="93" s="1"/>
  <c r="L13" i="93"/>
  <c r="G13" i="93"/>
  <c r="D13" i="93"/>
  <c r="C13" i="93"/>
  <c r="Q12" i="93"/>
  <c r="P12" i="93"/>
  <c r="O12" i="93"/>
  <c r="N12" i="93"/>
  <c r="R12" i="93" s="1"/>
  <c r="M12" i="93"/>
  <c r="L12" i="93"/>
  <c r="G12" i="93"/>
  <c r="D12" i="93"/>
  <c r="C12" i="93"/>
  <c r="R11" i="93"/>
  <c r="P11" i="93"/>
  <c r="O11" i="93"/>
  <c r="N11" i="93"/>
  <c r="M11" i="93"/>
  <c r="Q11" i="93" s="1"/>
  <c r="L11" i="93"/>
  <c r="G11" i="93"/>
  <c r="D11" i="93"/>
  <c r="C11" i="93"/>
  <c r="P10" i="93"/>
  <c r="O10" i="93"/>
  <c r="N10" i="93"/>
  <c r="R10" i="93" s="1"/>
  <c r="M10" i="93"/>
  <c r="Q10" i="93" s="1"/>
  <c r="L10" i="93"/>
  <c r="G10" i="93"/>
  <c r="D10" i="93"/>
  <c r="C10" i="93"/>
  <c r="Q9" i="93"/>
  <c r="P9" i="93"/>
  <c r="O9" i="93"/>
  <c r="N9" i="93"/>
  <c r="R9" i="93" s="1"/>
  <c r="M9" i="93"/>
  <c r="L9" i="93"/>
  <c r="G9" i="93"/>
  <c r="D9" i="93"/>
  <c r="C9" i="93"/>
  <c r="R8" i="93"/>
  <c r="P8" i="93"/>
  <c r="O8" i="93"/>
  <c r="N8" i="93"/>
  <c r="M8" i="93"/>
  <c r="Q8" i="93" s="1"/>
  <c r="L8" i="93"/>
  <c r="G8" i="93"/>
  <c r="D8" i="93"/>
  <c r="C8" i="93"/>
  <c r="P7" i="93"/>
  <c r="O7" i="93"/>
  <c r="N7" i="93"/>
  <c r="R7" i="93" s="1"/>
  <c r="M7" i="93"/>
  <c r="Q7" i="93" s="1"/>
  <c r="L7" i="93"/>
  <c r="G7" i="93"/>
  <c r="D7" i="93"/>
  <c r="C7" i="93"/>
  <c r="P6" i="93"/>
  <c r="O6" i="93"/>
  <c r="N6" i="93"/>
  <c r="R6" i="93" s="1"/>
  <c r="M6" i="93"/>
  <c r="Q6" i="93" s="1"/>
  <c r="L6" i="93"/>
  <c r="G6" i="93"/>
  <c r="D6" i="93"/>
  <c r="C6" i="93"/>
  <c r="P5" i="93"/>
  <c r="O5" i="93"/>
  <c r="N5" i="93"/>
  <c r="R5" i="93" s="1"/>
  <c r="M5" i="93"/>
  <c r="Q5" i="93" s="1"/>
  <c r="L5" i="93"/>
  <c r="G5" i="93"/>
  <c r="D5" i="93"/>
  <c r="C5" i="93"/>
  <c r="Q4" i="93"/>
  <c r="P4" i="93"/>
  <c r="O4" i="93"/>
  <c r="N4" i="93"/>
  <c r="R4" i="93" s="1"/>
  <c r="M4" i="93"/>
  <c r="L4" i="93"/>
  <c r="G4" i="93"/>
  <c r="D4" i="93"/>
  <c r="C4" i="93"/>
  <c r="R3" i="93"/>
  <c r="P3" i="93"/>
  <c r="O3" i="93"/>
  <c r="N3" i="93"/>
  <c r="M3" i="93"/>
  <c r="Q3" i="93" s="1"/>
  <c r="L3" i="93"/>
  <c r="G3" i="93"/>
  <c r="D3" i="93"/>
  <c r="C3" i="93"/>
  <c r="P2" i="93"/>
  <c r="O2" i="93"/>
  <c r="N2" i="93"/>
  <c r="R2" i="93" s="1"/>
  <c r="M2" i="93"/>
  <c r="Q2" i="93" s="1"/>
  <c r="L2" i="93"/>
  <c r="G2" i="93"/>
  <c r="D2" i="93"/>
  <c r="C2" i="93"/>
  <c r="P33" i="92"/>
  <c r="Q33" i="92" s="1"/>
  <c r="O33" i="92"/>
  <c r="M33" i="92"/>
  <c r="P26" i="92"/>
  <c r="Q26" i="92" s="1"/>
  <c r="O26" i="92"/>
  <c r="M32" i="92" s="1"/>
  <c r="K25" i="92"/>
  <c r="K24" i="92"/>
  <c r="K23" i="92"/>
  <c r="K22" i="92"/>
  <c r="K21" i="92"/>
  <c r="P20" i="92"/>
  <c r="O20" i="92"/>
  <c r="R25" i="92" s="1"/>
  <c r="K20" i="92"/>
  <c r="K19" i="92"/>
  <c r="K18" i="92"/>
  <c r="K17" i="92"/>
  <c r="K16" i="92"/>
  <c r="P15" i="92"/>
  <c r="R15" i="92" s="1"/>
  <c r="O15" i="92"/>
  <c r="M15" i="92" s="1"/>
  <c r="K15" i="92"/>
  <c r="K14" i="92"/>
  <c r="P10" i="92"/>
  <c r="O10" i="92"/>
  <c r="N10" i="92"/>
  <c r="R10" i="92" s="1"/>
  <c r="M10" i="92"/>
  <c r="Q10" i="92" s="1"/>
  <c r="L10" i="92"/>
  <c r="G10" i="92"/>
  <c r="D10" i="92"/>
  <c r="C10" i="92"/>
  <c r="P9" i="92"/>
  <c r="O9" i="92"/>
  <c r="N9" i="92"/>
  <c r="R9" i="92" s="1"/>
  <c r="M9" i="92"/>
  <c r="Q9" i="92" s="1"/>
  <c r="L9" i="92"/>
  <c r="G9" i="92"/>
  <c r="D9" i="92"/>
  <c r="C9" i="92"/>
  <c r="P8" i="92"/>
  <c r="O8" i="92"/>
  <c r="N8" i="92"/>
  <c r="R8" i="92" s="1"/>
  <c r="M8" i="92"/>
  <c r="Q8" i="92" s="1"/>
  <c r="L8" i="92"/>
  <c r="G8" i="92"/>
  <c r="D8" i="92"/>
  <c r="C8" i="92"/>
  <c r="P7" i="92"/>
  <c r="O7" i="92"/>
  <c r="N7" i="92"/>
  <c r="R7" i="92" s="1"/>
  <c r="M7" i="92"/>
  <c r="Q7" i="92" s="1"/>
  <c r="L7" i="92"/>
  <c r="G7" i="92"/>
  <c r="D7" i="92"/>
  <c r="C7" i="92"/>
  <c r="P6" i="92"/>
  <c r="O6" i="92"/>
  <c r="N6" i="92"/>
  <c r="R6" i="92" s="1"/>
  <c r="M6" i="92"/>
  <c r="Q6" i="92" s="1"/>
  <c r="L6" i="92"/>
  <c r="G6" i="92"/>
  <c r="D6" i="92"/>
  <c r="C6" i="92"/>
  <c r="P5" i="92"/>
  <c r="O5" i="92"/>
  <c r="N5" i="92"/>
  <c r="R5" i="92" s="1"/>
  <c r="M5" i="92"/>
  <c r="Q5" i="92" s="1"/>
  <c r="L5" i="92"/>
  <c r="G5" i="92"/>
  <c r="D5" i="92"/>
  <c r="C5" i="92"/>
  <c r="P4" i="92"/>
  <c r="O4" i="92"/>
  <c r="N4" i="92"/>
  <c r="R4" i="92" s="1"/>
  <c r="M4" i="92"/>
  <c r="Q4" i="92" s="1"/>
  <c r="L4" i="92"/>
  <c r="G4" i="92"/>
  <c r="D4" i="92"/>
  <c r="C4" i="92"/>
  <c r="P3" i="92"/>
  <c r="O3" i="92"/>
  <c r="N3" i="92"/>
  <c r="R3" i="92" s="1"/>
  <c r="M3" i="92"/>
  <c r="Q3" i="92" s="1"/>
  <c r="L3" i="92"/>
  <c r="G3" i="92"/>
  <c r="D3" i="92"/>
  <c r="C3" i="92"/>
  <c r="P2" i="92"/>
  <c r="O2" i="92"/>
  <c r="N2" i="92"/>
  <c r="R2" i="92" s="1"/>
  <c r="M2" i="92"/>
  <c r="Q2" i="92" s="1"/>
  <c r="L2" i="92"/>
  <c r="G2" i="92"/>
  <c r="D2" i="92"/>
  <c r="C2" i="92"/>
  <c r="C2" i="54"/>
  <c r="C3" i="54"/>
  <c r="C4" i="54"/>
  <c r="C5" i="54"/>
  <c r="C6" i="54"/>
  <c r="C7" i="54"/>
  <c r="C8" i="54"/>
  <c r="C9" i="54"/>
  <c r="C10" i="54"/>
  <c r="D2" i="54"/>
  <c r="D3" i="54"/>
  <c r="D4" i="54"/>
  <c r="D5" i="54"/>
  <c r="D6" i="54"/>
  <c r="D7" i="54"/>
  <c r="D8" i="54"/>
  <c r="D9" i="54"/>
  <c r="D10" i="54"/>
  <c r="G2" i="54"/>
  <c r="G3" i="54"/>
  <c r="G4" i="54"/>
  <c r="G5" i="54"/>
  <c r="G6" i="54"/>
  <c r="G7" i="54"/>
  <c r="G8" i="54"/>
  <c r="G9" i="54"/>
  <c r="G10" i="54"/>
  <c r="L2" i="54"/>
  <c r="L3" i="54"/>
  <c r="L4" i="54"/>
  <c r="L5" i="54"/>
  <c r="L6" i="54"/>
  <c r="L7" i="54"/>
  <c r="L8" i="54"/>
  <c r="L9" i="54"/>
  <c r="L10" i="54"/>
  <c r="T14" i="54" a="1"/>
  <c r="T14" i="54" s="1"/>
  <c r="T13" i="54" a="1"/>
  <c r="T13" i="54" s="1"/>
  <c r="T12" i="54" a="1"/>
  <c r="T12" i="54" s="1"/>
  <c r="T11" i="54" a="1"/>
  <c r="T11" i="54" s="1"/>
  <c r="T10" i="54" a="1"/>
  <c r="T10" i="54" s="1"/>
  <c r="T9" i="54" a="1"/>
  <c r="T9" i="54" s="1"/>
  <c r="T8" i="54" a="1"/>
  <c r="T8" i="54" s="1"/>
  <c r="T7" i="54" a="1"/>
  <c r="T7" i="54" s="1"/>
  <c r="P44" i="87"/>
  <c r="Q44" i="87" s="1"/>
  <c r="O44" i="87"/>
  <c r="M44" i="87"/>
  <c r="K44" i="87"/>
  <c r="K43" i="87"/>
  <c r="K42" i="87"/>
  <c r="K41" i="87"/>
  <c r="K40" i="87"/>
  <c r="K39" i="87"/>
  <c r="K38" i="87"/>
  <c r="P37" i="87"/>
  <c r="O37" i="87"/>
  <c r="N37" i="87"/>
  <c r="M37" i="87"/>
  <c r="K37" i="87"/>
  <c r="K36" i="87"/>
  <c r="K35" i="87"/>
  <c r="K34" i="87"/>
  <c r="K33" i="87"/>
  <c r="K32" i="87"/>
  <c r="P31" i="87"/>
  <c r="O31" i="87"/>
  <c r="K31" i="87"/>
  <c r="K30" i="87"/>
  <c r="K29" i="87"/>
  <c r="K28" i="87"/>
  <c r="K27" i="87"/>
  <c r="P26" i="87"/>
  <c r="O26" i="87"/>
  <c r="K26" i="87"/>
  <c r="K25" i="87"/>
  <c r="P21" i="87"/>
  <c r="O21" i="87"/>
  <c r="N21" i="87"/>
  <c r="R21" i="87" s="1"/>
  <c r="M21" i="87"/>
  <c r="Q21" i="87" s="1"/>
  <c r="L21" i="87"/>
  <c r="G21" i="87"/>
  <c r="D21" i="87"/>
  <c r="C21" i="87"/>
  <c r="P20" i="87"/>
  <c r="O20" i="87"/>
  <c r="N20" i="87"/>
  <c r="R20" i="87" s="1"/>
  <c r="M20" i="87"/>
  <c r="Q20" i="87" s="1"/>
  <c r="L20" i="87"/>
  <c r="G20" i="87"/>
  <c r="D20" i="87"/>
  <c r="C20" i="87"/>
  <c r="P19" i="87"/>
  <c r="O19" i="87"/>
  <c r="N19" i="87"/>
  <c r="R19" i="87" s="1"/>
  <c r="M19" i="87"/>
  <c r="Q19" i="87" s="1"/>
  <c r="L19" i="87"/>
  <c r="G19" i="87"/>
  <c r="D19" i="87"/>
  <c r="C19" i="87"/>
  <c r="P18" i="87"/>
  <c r="O18" i="87"/>
  <c r="N18" i="87"/>
  <c r="R18" i="87" s="1"/>
  <c r="M18" i="87"/>
  <c r="Q18" i="87" s="1"/>
  <c r="L18" i="87"/>
  <c r="G18" i="87"/>
  <c r="D18" i="87"/>
  <c r="C18" i="87"/>
  <c r="Q17" i="87"/>
  <c r="P17" i="87"/>
  <c r="O17" i="87"/>
  <c r="N17" i="87"/>
  <c r="R17" i="87" s="1"/>
  <c r="M17" i="87"/>
  <c r="L17" i="87"/>
  <c r="G17" i="87"/>
  <c r="D17" i="87"/>
  <c r="C17" i="87"/>
  <c r="P16" i="87"/>
  <c r="O16" i="87"/>
  <c r="N16" i="87"/>
  <c r="R16" i="87" s="1"/>
  <c r="M16" i="87"/>
  <c r="Q16" i="87" s="1"/>
  <c r="L16" i="87"/>
  <c r="G16" i="87"/>
  <c r="D16" i="87"/>
  <c r="C16" i="87"/>
  <c r="R15" i="87"/>
  <c r="Q15" i="87"/>
  <c r="P15" i="87"/>
  <c r="O15" i="87"/>
  <c r="N15" i="87"/>
  <c r="M15" i="87"/>
  <c r="L15" i="87"/>
  <c r="G15" i="87"/>
  <c r="D15" i="87"/>
  <c r="C15" i="87"/>
  <c r="R14" i="87"/>
  <c r="P14" i="87"/>
  <c r="O14" i="87"/>
  <c r="N14" i="87"/>
  <c r="M14" i="87"/>
  <c r="Q14" i="87" s="1"/>
  <c r="L14" i="87"/>
  <c r="G14" i="87"/>
  <c r="D14" i="87"/>
  <c r="C14" i="87"/>
  <c r="P13" i="87"/>
  <c r="O13" i="87"/>
  <c r="N13" i="87"/>
  <c r="R13" i="87" s="1"/>
  <c r="M13" i="87"/>
  <c r="Q13" i="87" s="1"/>
  <c r="L13" i="87"/>
  <c r="G13" i="87"/>
  <c r="D13" i="87"/>
  <c r="C13" i="87"/>
  <c r="P12" i="87"/>
  <c r="O12" i="87"/>
  <c r="N12" i="87"/>
  <c r="R12" i="87" s="1"/>
  <c r="M12" i="87"/>
  <c r="Q12" i="87" s="1"/>
  <c r="L12" i="87"/>
  <c r="G12" i="87"/>
  <c r="D12" i="87"/>
  <c r="C12" i="87"/>
  <c r="P11" i="87"/>
  <c r="O11" i="87"/>
  <c r="N11" i="87"/>
  <c r="R11" i="87" s="1"/>
  <c r="M11" i="87"/>
  <c r="Q11" i="87" s="1"/>
  <c r="L11" i="87"/>
  <c r="G11" i="87"/>
  <c r="D11" i="87"/>
  <c r="C11" i="87"/>
  <c r="P10" i="87"/>
  <c r="O10" i="87"/>
  <c r="N10" i="87"/>
  <c r="R10" i="87" s="1"/>
  <c r="M10" i="87"/>
  <c r="Q10" i="87" s="1"/>
  <c r="L10" i="87"/>
  <c r="G10" i="87"/>
  <c r="D10" i="87"/>
  <c r="C10" i="87"/>
  <c r="R9" i="87"/>
  <c r="Q9" i="87"/>
  <c r="P9" i="87"/>
  <c r="O9" i="87"/>
  <c r="N9" i="87"/>
  <c r="M9" i="87"/>
  <c r="L9" i="87"/>
  <c r="G9" i="87"/>
  <c r="D9" i="87"/>
  <c r="C9" i="87"/>
  <c r="R8" i="87"/>
  <c r="P8" i="87"/>
  <c r="O8" i="87"/>
  <c r="N8" i="87"/>
  <c r="M8" i="87"/>
  <c r="Q8" i="87" s="1"/>
  <c r="L8" i="87"/>
  <c r="G8" i="87"/>
  <c r="D8" i="87"/>
  <c r="C8" i="87"/>
  <c r="P7" i="87"/>
  <c r="O7" i="87"/>
  <c r="N7" i="87"/>
  <c r="R7" i="87" s="1"/>
  <c r="M7" i="87"/>
  <c r="Q7" i="87" s="1"/>
  <c r="L7" i="87"/>
  <c r="G7" i="87"/>
  <c r="D7" i="87"/>
  <c r="C7" i="87"/>
  <c r="P6" i="87"/>
  <c r="O6" i="87"/>
  <c r="N6" i="87"/>
  <c r="R6" i="87" s="1"/>
  <c r="M6" i="87"/>
  <c r="Q6" i="87" s="1"/>
  <c r="L6" i="87"/>
  <c r="G6" i="87"/>
  <c r="D6" i="87"/>
  <c r="C6" i="87"/>
  <c r="P5" i="87"/>
  <c r="O5" i="87"/>
  <c r="N5" i="87"/>
  <c r="R5" i="87" s="1"/>
  <c r="M5" i="87"/>
  <c r="Q5" i="87" s="1"/>
  <c r="L5" i="87"/>
  <c r="G5" i="87"/>
  <c r="D5" i="87"/>
  <c r="C5" i="87"/>
  <c r="R4" i="87"/>
  <c r="Q4" i="87"/>
  <c r="P4" i="87"/>
  <c r="O4" i="87"/>
  <c r="N4" i="87"/>
  <c r="M4" i="87"/>
  <c r="L4" i="87"/>
  <c r="G4" i="87"/>
  <c r="D4" i="87"/>
  <c r="C4" i="87"/>
  <c r="P3" i="87"/>
  <c r="O3" i="87"/>
  <c r="N3" i="87"/>
  <c r="R3" i="87" s="1"/>
  <c r="M3" i="87"/>
  <c r="Q3" i="87" s="1"/>
  <c r="L3" i="87"/>
  <c r="G3" i="87"/>
  <c r="D3" i="87"/>
  <c r="C3" i="87"/>
  <c r="P2" i="87"/>
  <c r="O2" i="87"/>
  <c r="N2" i="87"/>
  <c r="R2" i="87" s="1"/>
  <c r="M2" i="87"/>
  <c r="Q2" i="87" s="1"/>
  <c r="L2" i="87"/>
  <c r="G2" i="87"/>
  <c r="D2" i="87"/>
  <c r="C2" i="87"/>
  <c r="L21" i="86"/>
  <c r="L20" i="86"/>
  <c r="L19" i="86"/>
  <c r="L18" i="86"/>
  <c r="L17" i="86"/>
  <c r="L16" i="86"/>
  <c r="L15" i="86"/>
  <c r="L14" i="86"/>
  <c r="G13" i="86"/>
  <c r="G12" i="86"/>
  <c r="G11" i="86"/>
  <c r="G10" i="86"/>
  <c r="L9" i="86"/>
  <c r="L8" i="86"/>
  <c r="L7" i="86"/>
  <c r="L6" i="86"/>
  <c r="L13" i="86"/>
  <c r="L12" i="86"/>
  <c r="L11" i="86"/>
  <c r="L10" i="86"/>
  <c r="G21" i="86"/>
  <c r="G20" i="86"/>
  <c r="G19" i="86"/>
  <c r="G18" i="86"/>
  <c r="G9" i="86"/>
  <c r="G8" i="86"/>
  <c r="G7" i="86"/>
  <c r="G6" i="86"/>
  <c r="G17" i="86"/>
  <c r="G16" i="86"/>
  <c r="G15" i="86"/>
  <c r="G14" i="86"/>
  <c r="L5" i="86"/>
  <c r="L4" i="86"/>
  <c r="L3" i="86"/>
  <c r="L2" i="86"/>
  <c r="G5" i="86"/>
  <c r="G4" i="86"/>
  <c r="G3" i="86"/>
  <c r="G2" i="86"/>
  <c r="D21" i="86"/>
  <c r="D20" i="86"/>
  <c r="D19" i="86"/>
  <c r="D17" i="86"/>
  <c r="D16" i="86"/>
  <c r="D15" i="86"/>
  <c r="D13" i="86"/>
  <c r="D12" i="86"/>
  <c r="D11" i="86"/>
  <c r="D9" i="86"/>
  <c r="D8" i="86"/>
  <c r="D7" i="86"/>
  <c r="D5" i="86"/>
  <c r="D4" i="86"/>
  <c r="D3" i="86"/>
  <c r="C21" i="86"/>
  <c r="C20" i="86"/>
  <c r="C19" i="86"/>
  <c r="C17" i="86"/>
  <c r="C16" i="86"/>
  <c r="C15" i="86"/>
  <c r="C14" i="86"/>
  <c r="C13" i="86"/>
  <c r="C12" i="86"/>
  <c r="C11" i="86"/>
  <c r="C10" i="86"/>
  <c r="C9" i="86"/>
  <c r="C8" i="86"/>
  <c r="C7" i="86"/>
  <c r="C6" i="86"/>
  <c r="D14" i="86"/>
  <c r="D18" i="86"/>
  <c r="C18" i="86"/>
  <c r="D10" i="86"/>
  <c r="D2" i="86"/>
  <c r="D6" i="86"/>
  <c r="C5" i="86"/>
  <c r="C4" i="86"/>
  <c r="C3" i="86"/>
  <c r="C2" i="86"/>
  <c r="M18" i="86"/>
  <c r="M19" i="86"/>
  <c r="Q19" i="86" s="1"/>
  <c r="M20" i="86"/>
  <c r="Q20" i="86" s="1"/>
  <c r="M21" i="86"/>
  <c r="Q21" i="86" s="1"/>
  <c r="N18" i="86"/>
  <c r="N19" i="86"/>
  <c r="N20" i="86"/>
  <c r="R20" i="86" s="1"/>
  <c r="N21" i="86"/>
  <c r="R21" i="86" s="1"/>
  <c r="O18" i="86"/>
  <c r="O19" i="86"/>
  <c r="O20" i="86"/>
  <c r="O21" i="86"/>
  <c r="P18" i="86"/>
  <c r="P19" i="86"/>
  <c r="P20" i="86"/>
  <c r="P21" i="86"/>
  <c r="Q18" i="86"/>
  <c r="R18" i="86"/>
  <c r="R19" i="86"/>
  <c r="M14" i="86"/>
  <c r="M15" i="86"/>
  <c r="M16" i="86"/>
  <c r="M17" i="86"/>
  <c r="Q17" i="86" s="1"/>
  <c r="N14" i="86"/>
  <c r="N15" i="86"/>
  <c r="N16" i="86"/>
  <c r="N17" i="86"/>
  <c r="O14" i="86"/>
  <c r="O15" i="86"/>
  <c r="O16" i="86"/>
  <c r="O17" i="86"/>
  <c r="P14" i="86"/>
  <c r="P15" i="86"/>
  <c r="P16" i="86"/>
  <c r="P17" i="86"/>
  <c r="Q14" i="86"/>
  <c r="Q15" i="86"/>
  <c r="Q16" i="86"/>
  <c r="R14" i="86"/>
  <c r="R15" i="86"/>
  <c r="R16" i="86"/>
  <c r="R17" i="86"/>
  <c r="K44" i="86"/>
  <c r="K41" i="86"/>
  <c r="K42" i="86"/>
  <c r="K43" i="86"/>
  <c r="K40" i="86"/>
  <c r="K36" i="86"/>
  <c r="K37" i="86"/>
  <c r="K38" i="86"/>
  <c r="K39" i="86"/>
  <c r="K35" i="86"/>
  <c r="K31" i="86"/>
  <c r="K32" i="86"/>
  <c r="K33" i="86"/>
  <c r="K34" i="86"/>
  <c r="K30" i="86"/>
  <c r="K29" i="86"/>
  <c r="K25" i="86"/>
  <c r="P44" i="86"/>
  <c r="Q44" i="86" s="1"/>
  <c r="O44" i="86"/>
  <c r="M44" i="86" s="1"/>
  <c r="P37" i="86"/>
  <c r="O37" i="86"/>
  <c r="N37" i="86" s="1"/>
  <c r="P31" i="86"/>
  <c r="O31" i="86"/>
  <c r="Q36" i="86" s="1"/>
  <c r="K28" i="86"/>
  <c r="K27" i="86"/>
  <c r="P26" i="86"/>
  <c r="O26" i="86"/>
  <c r="N36" i="86" s="1"/>
  <c r="K26" i="86"/>
  <c r="R13" i="86"/>
  <c r="Q13" i="86"/>
  <c r="P13" i="86"/>
  <c r="O13" i="86"/>
  <c r="N13" i="86"/>
  <c r="M13" i="86"/>
  <c r="R12" i="86"/>
  <c r="Q12" i="86"/>
  <c r="P12" i="86"/>
  <c r="O12" i="86"/>
  <c r="N12" i="86"/>
  <c r="M12" i="86"/>
  <c r="P11" i="86"/>
  <c r="O11" i="86"/>
  <c r="N11" i="86"/>
  <c r="R11" i="86" s="1"/>
  <c r="M11" i="86"/>
  <c r="Q11" i="86" s="1"/>
  <c r="P10" i="86"/>
  <c r="O10" i="86"/>
  <c r="N10" i="86"/>
  <c r="R10" i="86" s="1"/>
  <c r="M10" i="86"/>
  <c r="Q10" i="86" s="1"/>
  <c r="R9" i="86"/>
  <c r="Q9" i="86"/>
  <c r="P9" i="86"/>
  <c r="O9" i="86"/>
  <c r="N9" i="86"/>
  <c r="M9" i="86"/>
  <c r="R8" i="86"/>
  <c r="Q8" i="86"/>
  <c r="P8" i="86"/>
  <c r="O8" i="86"/>
  <c r="N8" i="86"/>
  <c r="M8" i="86"/>
  <c r="P7" i="86"/>
  <c r="O7" i="86"/>
  <c r="N7" i="86"/>
  <c r="R7" i="86" s="1"/>
  <c r="M7" i="86"/>
  <c r="Q7" i="86" s="1"/>
  <c r="P6" i="86"/>
  <c r="O6" i="86"/>
  <c r="N6" i="86"/>
  <c r="R6" i="86" s="1"/>
  <c r="M6" i="86"/>
  <c r="Q6" i="86" s="1"/>
  <c r="R5" i="86"/>
  <c r="Q5" i="86"/>
  <c r="P5" i="86"/>
  <c r="O5" i="86"/>
  <c r="N5" i="86"/>
  <c r="M5" i="86"/>
  <c r="R4" i="86"/>
  <c r="Q4" i="86"/>
  <c r="P4" i="86"/>
  <c r="O4" i="86"/>
  <c r="N4" i="86"/>
  <c r="M4" i="86"/>
  <c r="P3" i="86"/>
  <c r="O3" i="86"/>
  <c r="N3" i="86"/>
  <c r="R3" i="86" s="1"/>
  <c r="M3" i="86"/>
  <c r="Q3" i="86" s="1"/>
  <c r="P2" i="86"/>
  <c r="O2" i="86"/>
  <c r="N2" i="86"/>
  <c r="R2" i="86" s="1"/>
  <c r="M2" i="86"/>
  <c r="Q2" i="86" s="1"/>
  <c r="S8" i="57"/>
  <c r="S7" i="57"/>
  <c r="S7" i="79"/>
  <c r="S9" i="79"/>
  <c r="S10" i="79"/>
  <c r="K30" i="57"/>
  <c r="M38" i="57"/>
  <c r="Q38" i="57"/>
  <c r="Q31" i="57"/>
  <c r="M31" i="57"/>
  <c r="L31" i="57"/>
  <c r="Q9" i="78"/>
  <c r="N9" i="78"/>
  <c r="N14" i="78"/>
  <c r="Q14" i="78"/>
  <c r="R17" i="77"/>
  <c r="N17" i="77"/>
  <c r="Q33" i="79"/>
  <c r="M33" i="79"/>
  <c r="Q26" i="79"/>
  <c r="P26" i="79"/>
  <c r="M26" i="79"/>
  <c r="Q20" i="79"/>
  <c r="P20" i="79"/>
  <c r="Q15" i="79"/>
  <c r="P15" i="79"/>
  <c r="M20" i="79"/>
  <c r="L20" i="79"/>
  <c r="S8" i="79" s="1"/>
  <c r="M15" i="79"/>
  <c r="Q25" i="57"/>
  <c r="P25" i="57"/>
  <c r="M25" i="57"/>
  <c r="L25" i="57"/>
  <c r="Q20" i="57"/>
  <c r="P20" i="57"/>
  <c r="M20" i="57"/>
  <c r="P39" i="85"/>
  <c r="O39" i="85"/>
  <c r="N39" i="85"/>
  <c r="L39" i="85"/>
  <c r="P38" i="85"/>
  <c r="L38" i="85"/>
  <c r="J38" i="85"/>
  <c r="G38" i="85"/>
  <c r="J37" i="85"/>
  <c r="G37" i="85"/>
  <c r="J36" i="85"/>
  <c r="G36" i="85"/>
  <c r="J35" i="85"/>
  <c r="G35" i="85"/>
  <c r="J34" i="85"/>
  <c r="G34" i="85"/>
  <c r="Q32" i="85"/>
  <c r="O32" i="85"/>
  <c r="P32" i="85" s="1"/>
  <c r="S6" i="85" s="1"/>
  <c r="N32" i="85"/>
  <c r="M32" i="85"/>
  <c r="L32" i="85"/>
  <c r="S5" i="85" s="1"/>
  <c r="J31" i="85"/>
  <c r="G31" i="85"/>
  <c r="J30" i="85"/>
  <c r="G30" i="85"/>
  <c r="J29" i="85"/>
  <c r="G29" i="85"/>
  <c r="J28" i="85"/>
  <c r="G28" i="85"/>
  <c r="D28" i="85"/>
  <c r="J27" i="85"/>
  <c r="G27" i="85"/>
  <c r="Q25" i="85"/>
  <c r="P25" i="85"/>
  <c r="M25" i="85"/>
  <c r="L25" i="85"/>
  <c r="J24" i="85"/>
  <c r="P33" i="85" s="1"/>
  <c r="G24" i="85"/>
  <c r="J23" i="85"/>
  <c r="G23" i="85"/>
  <c r="J22" i="85"/>
  <c r="G22" i="85"/>
  <c r="J21" i="85"/>
  <c r="G21" i="85"/>
  <c r="Q20" i="85"/>
  <c r="P20" i="85"/>
  <c r="M20" i="85"/>
  <c r="L20" i="85" a="1"/>
  <c r="L20" i="85" s="1"/>
  <c r="J20" i="85"/>
  <c r="G20" i="85"/>
  <c r="C20" i="85"/>
  <c r="S17" i="85" a="1"/>
  <c r="S17" i="85" s="1"/>
  <c r="S16" i="85" a="1"/>
  <c r="S16" i="85" s="1"/>
  <c r="Q16" i="85"/>
  <c r="P16" i="85"/>
  <c r="O16" i="85"/>
  <c r="N16" i="85"/>
  <c r="M16" i="85"/>
  <c r="L16" i="85"/>
  <c r="K16" i="85"/>
  <c r="G16" i="85"/>
  <c r="D16" i="85"/>
  <c r="C16" i="85"/>
  <c r="S15" i="85" a="1"/>
  <c r="S15" i="85" s="1"/>
  <c r="Q15" i="85"/>
  <c r="P15" i="85"/>
  <c r="O15" i="85"/>
  <c r="N15" i="85"/>
  <c r="M15" i="85"/>
  <c r="L15" i="85"/>
  <c r="K15" i="85"/>
  <c r="G15" i="85"/>
  <c r="D15" i="85"/>
  <c r="C15" i="85"/>
  <c r="S14" i="85" a="1"/>
  <c r="S14" i="85" s="1"/>
  <c r="Q14" i="85"/>
  <c r="P14" i="85"/>
  <c r="O14" i="85"/>
  <c r="N14" i="85"/>
  <c r="M14" i="85"/>
  <c r="L14" i="85"/>
  <c r="K14" i="85"/>
  <c r="G14" i="85"/>
  <c r="D14" i="85"/>
  <c r="C14" i="85"/>
  <c r="S13" i="85" a="1"/>
  <c r="S13" i="85" s="1"/>
  <c r="Q13" i="85"/>
  <c r="P13" i="85"/>
  <c r="O13" i="85"/>
  <c r="N13" i="85"/>
  <c r="M13" i="85"/>
  <c r="L13" i="85"/>
  <c r="K13" i="85"/>
  <c r="G13" i="85"/>
  <c r="D13" i="85"/>
  <c r="C13" i="85"/>
  <c r="S12" i="85" a="1"/>
  <c r="S12" i="85" s="1"/>
  <c r="Q12" i="85"/>
  <c r="P12" i="85"/>
  <c r="O12" i="85"/>
  <c r="N12" i="85"/>
  <c r="M12" i="85"/>
  <c r="L12" i="85"/>
  <c r="K12" i="85"/>
  <c r="G12" i="85"/>
  <c r="D12" i="85"/>
  <c r="C12" i="85"/>
  <c r="S11" i="85" a="1"/>
  <c r="S11" i="85" s="1"/>
  <c r="Q11" i="85"/>
  <c r="P11" i="85"/>
  <c r="O11" i="85"/>
  <c r="N11" i="85"/>
  <c r="M11" i="85"/>
  <c r="L11" i="85"/>
  <c r="K11" i="85"/>
  <c r="G11" i="85"/>
  <c r="D11" i="85"/>
  <c r="C11" i="85"/>
  <c r="S10" i="85"/>
  <c r="Q10" i="85"/>
  <c r="P10" i="85"/>
  <c r="O10" i="85"/>
  <c r="N10" i="85"/>
  <c r="M10" i="85"/>
  <c r="L10" i="85"/>
  <c r="K10" i="85"/>
  <c r="G10" i="85"/>
  <c r="D10" i="85"/>
  <c r="C10" i="85"/>
  <c r="S9" i="85"/>
  <c r="Q9" i="85"/>
  <c r="P9" i="85"/>
  <c r="O9" i="85"/>
  <c r="N9" i="85"/>
  <c r="M9" i="85"/>
  <c r="L9" i="85"/>
  <c r="K9" i="85"/>
  <c r="G9" i="85"/>
  <c r="D9" i="85"/>
  <c r="C9" i="85"/>
  <c r="D22" i="85" s="1"/>
  <c r="S8" i="85"/>
  <c r="Q8" i="85"/>
  <c r="P8" i="85"/>
  <c r="O8" i="85"/>
  <c r="N8" i="85"/>
  <c r="M8" i="85"/>
  <c r="L8" i="85"/>
  <c r="K8" i="85"/>
  <c r="G8" i="85"/>
  <c r="D8" i="85"/>
  <c r="C8" i="85"/>
  <c r="S7" i="85"/>
  <c r="Q7" i="85"/>
  <c r="P7" i="85"/>
  <c r="O7" i="85"/>
  <c r="N7" i="85"/>
  <c r="F34" i="85" s="1"/>
  <c r="M7" i="85"/>
  <c r="L7" i="85"/>
  <c r="K7" i="85"/>
  <c r="G7" i="85"/>
  <c r="D7" i="85"/>
  <c r="C7" i="85"/>
  <c r="Q6" i="85"/>
  <c r="P6" i="85"/>
  <c r="O6" i="85"/>
  <c r="N6" i="85"/>
  <c r="M6" i="85"/>
  <c r="L6" i="85"/>
  <c r="K6" i="85"/>
  <c r="G6" i="85"/>
  <c r="D6" i="85"/>
  <c r="C6" i="85"/>
  <c r="Q5" i="85"/>
  <c r="P5" i="85"/>
  <c r="O5" i="85"/>
  <c r="N5" i="85"/>
  <c r="M5" i="85"/>
  <c r="L5" i="85"/>
  <c r="K5" i="85"/>
  <c r="G5" i="85"/>
  <c r="D5" i="85"/>
  <c r="C5" i="85"/>
  <c r="S4" i="85"/>
  <c r="Q4" i="85"/>
  <c r="P4" i="85"/>
  <c r="O4" i="85"/>
  <c r="N4" i="85"/>
  <c r="M4" i="85"/>
  <c r="L4" i="85"/>
  <c r="K4" i="85"/>
  <c r="G4" i="85"/>
  <c r="D4" i="85"/>
  <c r="C4" i="85"/>
  <c r="E30" i="85" s="1"/>
  <c r="S3" i="85"/>
  <c r="Q3" i="85"/>
  <c r="P3" i="85"/>
  <c r="O3" i="85"/>
  <c r="N3" i="85"/>
  <c r="M3" i="85"/>
  <c r="L3" i="85"/>
  <c r="K3" i="85"/>
  <c r="G3" i="85"/>
  <c r="D3" i="85"/>
  <c r="C3" i="85"/>
  <c r="Q2" i="85"/>
  <c r="P2" i="85"/>
  <c r="O2" i="85"/>
  <c r="N2" i="85"/>
  <c r="F20" i="85" s="1"/>
  <c r="M2" i="85"/>
  <c r="L2" i="85"/>
  <c r="E20" i="85" s="1"/>
  <c r="K2" i="85"/>
  <c r="G2" i="85"/>
  <c r="D2" i="85"/>
  <c r="C2" i="85"/>
  <c r="C36" i="85" s="1"/>
  <c r="J34" i="84"/>
  <c r="J33" i="84"/>
  <c r="J32" i="84"/>
  <c r="J31" i="84"/>
  <c r="J30" i="84"/>
  <c r="J29" i="84"/>
  <c r="P28" i="84"/>
  <c r="O28" i="84"/>
  <c r="N28" i="84"/>
  <c r="L28" i="84"/>
  <c r="S3" i="84" s="1"/>
  <c r="J28" i="84"/>
  <c r="P27" i="84"/>
  <c r="L27" i="84"/>
  <c r="J27" i="84"/>
  <c r="J26" i="84"/>
  <c r="J25" i="84"/>
  <c r="J24" i="84"/>
  <c r="J23" i="84"/>
  <c r="J22" i="84"/>
  <c r="Q21" i="84"/>
  <c r="O21" i="84"/>
  <c r="P21" i="84" s="1"/>
  <c r="S5" i="84" s="1"/>
  <c r="N21" i="84"/>
  <c r="M21" i="84"/>
  <c r="L21" i="84"/>
  <c r="J21" i="84"/>
  <c r="J20" i="84"/>
  <c r="Q16" i="84"/>
  <c r="O16" i="84"/>
  <c r="N16" i="84"/>
  <c r="M16" i="84"/>
  <c r="L16" i="84"/>
  <c r="P16" i="84" s="1"/>
  <c r="K16" i="84"/>
  <c r="G16" i="84"/>
  <c r="D16" i="84"/>
  <c r="C16" i="84"/>
  <c r="P15" i="84"/>
  <c r="O15" i="84"/>
  <c r="N15" i="84"/>
  <c r="M15" i="84"/>
  <c r="Q15" i="84" s="1"/>
  <c r="L15" i="84"/>
  <c r="K15" i="84"/>
  <c r="G15" i="84"/>
  <c r="D15" i="84"/>
  <c r="C15" i="84"/>
  <c r="Q14" i="84"/>
  <c r="O14" i="84"/>
  <c r="N14" i="84"/>
  <c r="M14" i="84"/>
  <c r="L14" i="84"/>
  <c r="P14" i="84" s="1"/>
  <c r="K14" i="84"/>
  <c r="G14" i="84"/>
  <c r="D14" i="84"/>
  <c r="C14" i="84"/>
  <c r="P13" i="84"/>
  <c r="O13" i="84"/>
  <c r="N13" i="84"/>
  <c r="M13" i="84"/>
  <c r="Q13" i="84" s="1"/>
  <c r="L13" i="84"/>
  <c r="K13" i="84"/>
  <c r="G13" i="84"/>
  <c r="D13" i="84"/>
  <c r="C13" i="84"/>
  <c r="Q12" i="84"/>
  <c r="O12" i="84"/>
  <c r="N12" i="84"/>
  <c r="M12" i="84"/>
  <c r="L12" i="84"/>
  <c r="P12" i="84" s="1"/>
  <c r="K12" i="84"/>
  <c r="G12" i="84"/>
  <c r="D12" i="84"/>
  <c r="C12" i="84"/>
  <c r="P11" i="84"/>
  <c r="O11" i="84"/>
  <c r="N11" i="84"/>
  <c r="M11" i="84"/>
  <c r="Q11" i="84" s="1"/>
  <c r="L11" i="84"/>
  <c r="K11" i="84"/>
  <c r="G11" i="84"/>
  <c r="D11" i="84"/>
  <c r="C11" i="84"/>
  <c r="Q10" i="84"/>
  <c r="P10" i="84"/>
  <c r="O10" i="84"/>
  <c r="N10" i="84"/>
  <c r="M10" i="84"/>
  <c r="L10" i="84"/>
  <c r="K10" i="84"/>
  <c r="G10" i="84"/>
  <c r="D10" i="84"/>
  <c r="C10" i="84"/>
  <c r="E36" i="84" s="1"/>
  <c r="O9" i="84"/>
  <c r="N9" i="84"/>
  <c r="M9" i="84"/>
  <c r="Q9" i="84" s="1"/>
  <c r="L9" i="84"/>
  <c r="P9" i="84" s="1"/>
  <c r="K9" i="84"/>
  <c r="G9" i="84"/>
  <c r="D9" i="84"/>
  <c r="C9" i="84"/>
  <c r="Q8" i="84"/>
  <c r="P8" i="84"/>
  <c r="O8" i="84"/>
  <c r="N8" i="84"/>
  <c r="F20" i="84" s="1"/>
  <c r="M8" i="84"/>
  <c r="L8" i="84"/>
  <c r="K8" i="84"/>
  <c r="G8" i="84"/>
  <c r="D8" i="84"/>
  <c r="C8" i="84"/>
  <c r="Q7" i="84"/>
  <c r="O7" i="84"/>
  <c r="N7" i="84"/>
  <c r="M7" i="84"/>
  <c r="L7" i="84"/>
  <c r="P7" i="84" s="1"/>
  <c r="K7" i="84"/>
  <c r="G7" i="84"/>
  <c r="D7" i="84"/>
  <c r="C7" i="84"/>
  <c r="O6" i="84"/>
  <c r="N6" i="84"/>
  <c r="M6" i="84"/>
  <c r="Q6" i="84" s="1"/>
  <c r="L6" i="84"/>
  <c r="E27" i="84" s="1"/>
  <c r="K6" i="84"/>
  <c r="G6" i="84"/>
  <c r="D6" i="84"/>
  <c r="C6" i="84"/>
  <c r="Q5" i="84"/>
  <c r="P5" i="84"/>
  <c r="O5" i="84"/>
  <c r="N5" i="84"/>
  <c r="M5" i="84"/>
  <c r="L5" i="84"/>
  <c r="K5" i="84"/>
  <c r="G5" i="84"/>
  <c r="D5" i="84"/>
  <c r="C5" i="84"/>
  <c r="S4" i="84"/>
  <c r="O4" i="84"/>
  <c r="N4" i="84"/>
  <c r="M4" i="84"/>
  <c r="Q4" i="84" s="1"/>
  <c r="L4" i="84"/>
  <c r="P4" i="84" s="1"/>
  <c r="D34" i="84" s="1"/>
  <c r="K4" i="84"/>
  <c r="G4" i="84"/>
  <c r="D4" i="84"/>
  <c r="C4" i="84"/>
  <c r="P3" i="84"/>
  <c r="O3" i="84"/>
  <c r="N3" i="84"/>
  <c r="M3" i="84"/>
  <c r="Q3" i="84" s="1"/>
  <c r="L3" i="84"/>
  <c r="K3" i="84"/>
  <c r="G3" i="84"/>
  <c r="D3" i="84"/>
  <c r="C3" i="84"/>
  <c r="Q2" i="84"/>
  <c r="P2" i="84"/>
  <c r="O2" i="84"/>
  <c r="N2" i="84"/>
  <c r="M2" i="84"/>
  <c r="L2" i="84"/>
  <c r="K2" i="84"/>
  <c r="G2" i="84"/>
  <c r="D2" i="84"/>
  <c r="C2" i="84"/>
  <c r="F37" i="84" s="1"/>
  <c r="L16" i="79"/>
  <c r="T27" i="79" a="1"/>
  <c r="T27" i="79" s="1"/>
  <c r="T26" i="79" a="1"/>
  <c r="T26" i="79" s="1"/>
  <c r="T25" i="79" a="1"/>
  <c r="T25" i="79" s="1"/>
  <c r="T24" i="79" a="1"/>
  <c r="T24" i="79"/>
  <c r="J26" i="79"/>
  <c r="J25" i="79"/>
  <c r="J24" i="79"/>
  <c r="J23" i="79"/>
  <c r="J22" i="79"/>
  <c r="J19" i="79"/>
  <c r="J18" i="79"/>
  <c r="J17" i="79"/>
  <c r="O27" i="79"/>
  <c r="N27" i="79"/>
  <c r="M27" i="79" s="1"/>
  <c r="J16" i="79"/>
  <c r="J15" i="79"/>
  <c r="O11" i="79"/>
  <c r="N11" i="79"/>
  <c r="M11" i="79"/>
  <c r="Q11" i="79" s="1"/>
  <c r="L11" i="79"/>
  <c r="P11" i="79" s="1"/>
  <c r="K11" i="79"/>
  <c r="G11" i="79"/>
  <c r="D11" i="79"/>
  <c r="C11" i="79"/>
  <c r="O10" i="79"/>
  <c r="N10" i="79"/>
  <c r="M10" i="79"/>
  <c r="Q10" i="79" s="1"/>
  <c r="L10" i="79"/>
  <c r="P10" i="79" s="1"/>
  <c r="K10" i="79"/>
  <c r="G10" i="79"/>
  <c r="D10" i="79"/>
  <c r="C10" i="79"/>
  <c r="O9" i="79"/>
  <c r="N9" i="79"/>
  <c r="M9" i="79"/>
  <c r="Q9" i="79" s="1"/>
  <c r="L9" i="79"/>
  <c r="P9" i="79" s="1"/>
  <c r="K9" i="79"/>
  <c r="G9" i="79"/>
  <c r="D9" i="79"/>
  <c r="C9" i="79"/>
  <c r="O8" i="79"/>
  <c r="N8" i="79"/>
  <c r="M8" i="79"/>
  <c r="Q8" i="79" s="1"/>
  <c r="L8" i="79"/>
  <c r="P8" i="79" s="1"/>
  <c r="K8" i="79"/>
  <c r="G8" i="79"/>
  <c r="D8" i="79"/>
  <c r="C8" i="79"/>
  <c r="O7" i="79"/>
  <c r="N7" i="79"/>
  <c r="M7" i="79"/>
  <c r="Q7" i="79" s="1"/>
  <c r="L7" i="79"/>
  <c r="P7" i="79" s="1"/>
  <c r="K7" i="79"/>
  <c r="G7" i="79"/>
  <c r="D7" i="79"/>
  <c r="C7" i="79"/>
  <c r="O6" i="79"/>
  <c r="N6" i="79"/>
  <c r="M6" i="79"/>
  <c r="Q6" i="79" s="1"/>
  <c r="L6" i="79"/>
  <c r="P6" i="79" s="1"/>
  <c r="K6" i="79"/>
  <c r="G6" i="79"/>
  <c r="D6" i="79"/>
  <c r="C6" i="79"/>
  <c r="O5" i="79"/>
  <c r="N5" i="79"/>
  <c r="M5" i="79"/>
  <c r="Q5" i="79" s="1"/>
  <c r="L5" i="79"/>
  <c r="P5" i="79" s="1"/>
  <c r="K5" i="79"/>
  <c r="G5" i="79"/>
  <c r="D5" i="79"/>
  <c r="C5" i="79"/>
  <c r="O4" i="79"/>
  <c r="N4" i="79"/>
  <c r="M4" i="79"/>
  <c r="Q4" i="79" s="1"/>
  <c r="L4" i="79"/>
  <c r="P4" i="79" s="1"/>
  <c r="K4" i="79"/>
  <c r="G4" i="79"/>
  <c r="D4" i="79"/>
  <c r="C4" i="79"/>
  <c r="O3" i="79"/>
  <c r="N3" i="79"/>
  <c r="M3" i="79"/>
  <c r="Q3" i="79" s="1"/>
  <c r="L3" i="79"/>
  <c r="P3" i="79" s="1"/>
  <c r="K3" i="79"/>
  <c r="G3" i="79"/>
  <c r="D3" i="79"/>
  <c r="C3" i="79"/>
  <c r="O2" i="79"/>
  <c r="N2" i="79"/>
  <c r="M2" i="79"/>
  <c r="Q2" i="79" s="1"/>
  <c r="L2" i="79"/>
  <c r="P2" i="79" s="1"/>
  <c r="K2" i="79"/>
  <c r="G2" i="79"/>
  <c r="D2" i="79"/>
  <c r="C2" i="79"/>
  <c r="G19" i="45"/>
  <c r="G18" i="45"/>
  <c r="G17" i="45"/>
  <c r="G16" i="45"/>
  <c r="G15" i="45"/>
  <c r="P15" i="78"/>
  <c r="Q15" i="78" s="1"/>
  <c r="O15" i="78"/>
  <c r="N15" i="78" s="1"/>
  <c r="R14" i="78"/>
  <c r="M14" i="78"/>
  <c r="F14" i="78"/>
  <c r="K12" i="78"/>
  <c r="K11" i="78"/>
  <c r="Q10" i="78"/>
  <c r="P10" i="78"/>
  <c r="O10" i="78"/>
  <c r="N10" i="78"/>
  <c r="K10" i="78"/>
  <c r="R9" i="78"/>
  <c r="M9" i="78"/>
  <c r="K9" i="78"/>
  <c r="R5" i="78"/>
  <c r="P5" i="78"/>
  <c r="F13" i="78" s="1"/>
  <c r="O5" i="78"/>
  <c r="N5" i="78"/>
  <c r="M5" i="78"/>
  <c r="Q5" i="78" s="1"/>
  <c r="L5" i="78"/>
  <c r="G5" i="78"/>
  <c r="D5" i="78"/>
  <c r="C5" i="78"/>
  <c r="W4" i="78"/>
  <c r="R4" i="78"/>
  <c r="Q4" i="78"/>
  <c r="P4" i="78"/>
  <c r="O4" i="78"/>
  <c r="N4" i="78"/>
  <c r="M4" i="78"/>
  <c r="L4" i="78"/>
  <c r="G4" i="78"/>
  <c r="D4" i="78"/>
  <c r="C4" i="78"/>
  <c r="W3" i="78"/>
  <c r="P3" i="78"/>
  <c r="O3" i="78"/>
  <c r="N3" i="78"/>
  <c r="E14" i="78" s="1"/>
  <c r="M3" i="78"/>
  <c r="Q3" i="78" s="1"/>
  <c r="L3" i="78"/>
  <c r="G3" i="78"/>
  <c r="D3" i="78"/>
  <c r="C3" i="78"/>
  <c r="R2" i="78"/>
  <c r="C13" i="78" s="1"/>
  <c r="Q2" i="78"/>
  <c r="P2" i="78"/>
  <c r="O2" i="78"/>
  <c r="N2" i="78"/>
  <c r="M2" i="78"/>
  <c r="E9" i="78" s="1"/>
  <c r="L2" i="78"/>
  <c r="G2" i="78"/>
  <c r="D2" i="78"/>
  <c r="C2" i="78"/>
  <c r="K24" i="77"/>
  <c r="K23" i="77"/>
  <c r="K22" i="77"/>
  <c r="K21" i="77"/>
  <c r="K20" i="77"/>
  <c r="K19" i="77"/>
  <c r="P18" i="77"/>
  <c r="Q18" i="77" s="1"/>
  <c r="O18" i="77"/>
  <c r="M18" i="77"/>
  <c r="K18" i="77"/>
  <c r="K17" i="77"/>
  <c r="R13" i="77"/>
  <c r="Q13" i="77"/>
  <c r="P13" i="77"/>
  <c r="O13" i="77"/>
  <c r="N13" i="77"/>
  <c r="M13" i="77"/>
  <c r="L13" i="77"/>
  <c r="G13" i="77"/>
  <c r="D13" i="77"/>
  <c r="C13" i="77"/>
  <c r="R12" i="77"/>
  <c r="P12" i="77"/>
  <c r="O12" i="77"/>
  <c r="N12" i="77"/>
  <c r="M12" i="77"/>
  <c r="Q12" i="77" s="1"/>
  <c r="L12" i="77"/>
  <c r="G12" i="77"/>
  <c r="D12" i="77"/>
  <c r="C12" i="77"/>
  <c r="P11" i="77"/>
  <c r="O11" i="77"/>
  <c r="N11" i="77"/>
  <c r="R11" i="77" s="1"/>
  <c r="M11" i="77"/>
  <c r="Q11" i="77" s="1"/>
  <c r="L11" i="77"/>
  <c r="G11" i="77"/>
  <c r="D11" i="77"/>
  <c r="C11" i="77"/>
  <c r="Q10" i="77"/>
  <c r="P10" i="77"/>
  <c r="O10" i="77"/>
  <c r="N10" i="77"/>
  <c r="R10" i="77" s="1"/>
  <c r="M10" i="77"/>
  <c r="L10" i="77"/>
  <c r="G10" i="77"/>
  <c r="D10" i="77"/>
  <c r="C10" i="77"/>
  <c r="R9" i="77"/>
  <c r="Q9" i="77"/>
  <c r="P9" i="77"/>
  <c r="O9" i="77"/>
  <c r="N9" i="77"/>
  <c r="M9" i="77"/>
  <c r="L9" i="77"/>
  <c r="G9" i="77"/>
  <c r="D9" i="77"/>
  <c r="C9" i="77"/>
  <c r="P8" i="77"/>
  <c r="O8" i="77"/>
  <c r="N8" i="77"/>
  <c r="R8" i="77" s="1"/>
  <c r="M8" i="77"/>
  <c r="Q8" i="77" s="1"/>
  <c r="L8" i="77"/>
  <c r="G8" i="77"/>
  <c r="D8" i="77"/>
  <c r="C8" i="77"/>
  <c r="P7" i="77"/>
  <c r="O7" i="77"/>
  <c r="N7" i="77"/>
  <c r="R7" i="77" s="1"/>
  <c r="M7" i="77"/>
  <c r="Q7" i="77" s="1"/>
  <c r="L7" i="77"/>
  <c r="G7" i="77"/>
  <c r="D7" i="77"/>
  <c r="C7" i="77"/>
  <c r="Q6" i="77"/>
  <c r="P6" i="77"/>
  <c r="O6" i="77"/>
  <c r="N6" i="77"/>
  <c r="R6" i="77" s="1"/>
  <c r="M6" i="77"/>
  <c r="L6" i="77"/>
  <c r="G6" i="77"/>
  <c r="D6" i="77"/>
  <c r="C6" i="77"/>
  <c r="R5" i="77"/>
  <c r="Q5" i="77"/>
  <c r="P5" i="77"/>
  <c r="O5" i="77"/>
  <c r="N5" i="77"/>
  <c r="M5" i="77"/>
  <c r="L5" i="77"/>
  <c r="G5" i="77"/>
  <c r="D5" i="77"/>
  <c r="C5" i="77"/>
  <c r="P4" i="77"/>
  <c r="O4" i="77"/>
  <c r="N4" i="77"/>
  <c r="R4" i="77" s="1"/>
  <c r="M4" i="77"/>
  <c r="Q4" i="77" s="1"/>
  <c r="L4" i="77"/>
  <c r="G4" i="77"/>
  <c r="D4" i="77"/>
  <c r="C4" i="77"/>
  <c r="P3" i="77"/>
  <c r="O3" i="77"/>
  <c r="N3" i="77"/>
  <c r="R3" i="77" s="1"/>
  <c r="M3" i="77"/>
  <c r="Q3" i="77" s="1"/>
  <c r="L3" i="77"/>
  <c r="G3" i="77"/>
  <c r="D3" i="77"/>
  <c r="C3" i="77"/>
  <c r="R2" i="77"/>
  <c r="Q2" i="77"/>
  <c r="P2" i="77"/>
  <c r="O2" i="77"/>
  <c r="N2" i="77"/>
  <c r="M2" i="77"/>
  <c r="L2" i="77"/>
  <c r="G2" i="77"/>
  <c r="D2" i="77"/>
  <c r="C2" i="77"/>
  <c r="P36" i="74"/>
  <c r="Q36" i="74" s="1"/>
  <c r="O36" i="74"/>
  <c r="M36" i="74" s="1"/>
  <c r="O23" i="74"/>
  <c r="V27" i="74" s="1" a="1"/>
  <c r="V27" i="74" s="1"/>
  <c r="P23" i="74"/>
  <c r="P18" i="74"/>
  <c r="O18" i="74"/>
  <c r="N28" i="74" s="1"/>
  <c r="K32" i="74"/>
  <c r="K31" i="74"/>
  <c r="K30" i="74"/>
  <c r="K29" i="74"/>
  <c r="K28" i="74"/>
  <c r="K27" i="74"/>
  <c r="K26" i="74"/>
  <c r="K25" i="74"/>
  <c r="K24" i="74"/>
  <c r="K23" i="74"/>
  <c r="K22" i="74"/>
  <c r="K21" i="74"/>
  <c r="K20" i="74"/>
  <c r="K19" i="74"/>
  <c r="P29" i="74"/>
  <c r="R29" i="74" s="1"/>
  <c r="O29" i="74"/>
  <c r="K18" i="74"/>
  <c r="K17" i="74"/>
  <c r="P13" i="74"/>
  <c r="O13" i="74"/>
  <c r="N13" i="74"/>
  <c r="R13" i="74" s="1"/>
  <c r="M13" i="74"/>
  <c r="Q13" i="74" s="1"/>
  <c r="L13" i="74"/>
  <c r="G13" i="74"/>
  <c r="D13" i="74"/>
  <c r="C13" i="74"/>
  <c r="P12" i="74"/>
  <c r="O12" i="74"/>
  <c r="N12" i="74"/>
  <c r="R12" i="74" s="1"/>
  <c r="M12" i="74"/>
  <c r="Q12" i="74" s="1"/>
  <c r="L12" i="74"/>
  <c r="G12" i="74"/>
  <c r="D12" i="74"/>
  <c r="C12" i="74"/>
  <c r="P11" i="74"/>
  <c r="O11" i="74"/>
  <c r="N11" i="74"/>
  <c r="R11" i="74" s="1"/>
  <c r="M11" i="74"/>
  <c r="Q11" i="74" s="1"/>
  <c r="L11" i="74"/>
  <c r="G11" i="74"/>
  <c r="D11" i="74"/>
  <c r="C11" i="74"/>
  <c r="P10" i="74"/>
  <c r="O10" i="74"/>
  <c r="N10" i="74"/>
  <c r="R10" i="74" s="1"/>
  <c r="M10" i="74"/>
  <c r="Q10" i="74" s="1"/>
  <c r="L10" i="74"/>
  <c r="G10" i="74"/>
  <c r="D10" i="74"/>
  <c r="C10" i="74"/>
  <c r="P9" i="74"/>
  <c r="O9" i="74"/>
  <c r="N9" i="74"/>
  <c r="R9" i="74" s="1"/>
  <c r="M9" i="74"/>
  <c r="Q9" i="74" s="1"/>
  <c r="L9" i="74"/>
  <c r="G9" i="74"/>
  <c r="D9" i="74"/>
  <c r="C9" i="74"/>
  <c r="P8" i="74"/>
  <c r="O8" i="74"/>
  <c r="N8" i="74"/>
  <c r="R8" i="74" s="1"/>
  <c r="M8" i="74"/>
  <c r="Q8" i="74" s="1"/>
  <c r="L8" i="74"/>
  <c r="G8" i="74"/>
  <c r="D8" i="74"/>
  <c r="C8" i="74"/>
  <c r="P7" i="74"/>
  <c r="O7" i="74"/>
  <c r="N7" i="74"/>
  <c r="R7" i="74" s="1"/>
  <c r="M7" i="74"/>
  <c r="Q7" i="74" s="1"/>
  <c r="L7" i="74"/>
  <c r="G7" i="74"/>
  <c r="D7" i="74"/>
  <c r="C7" i="74"/>
  <c r="P6" i="74"/>
  <c r="O6" i="74"/>
  <c r="N6" i="74"/>
  <c r="R6" i="74" s="1"/>
  <c r="M6" i="74"/>
  <c r="Q6" i="74" s="1"/>
  <c r="L6" i="74"/>
  <c r="G6" i="74"/>
  <c r="D6" i="74"/>
  <c r="C6" i="74"/>
  <c r="P5" i="74"/>
  <c r="O5" i="74"/>
  <c r="N5" i="74"/>
  <c r="R5" i="74" s="1"/>
  <c r="M5" i="74"/>
  <c r="Q5" i="74" s="1"/>
  <c r="L5" i="74"/>
  <c r="G5" i="74"/>
  <c r="D5" i="74"/>
  <c r="C5" i="74"/>
  <c r="P4" i="74"/>
  <c r="O4" i="74"/>
  <c r="N4" i="74"/>
  <c r="R4" i="74" s="1"/>
  <c r="M4" i="74"/>
  <c r="Q4" i="74" s="1"/>
  <c r="L4" i="74"/>
  <c r="G4" i="74"/>
  <c r="D4" i="74"/>
  <c r="C4" i="74"/>
  <c r="P3" i="74"/>
  <c r="O3" i="74"/>
  <c r="N3" i="74"/>
  <c r="R3" i="74" s="1"/>
  <c r="M3" i="74"/>
  <c r="Q3" i="74" s="1"/>
  <c r="L3" i="74"/>
  <c r="G3" i="74"/>
  <c r="D3" i="74"/>
  <c r="C3" i="74"/>
  <c r="P2" i="74"/>
  <c r="O2" i="74"/>
  <c r="N2" i="74"/>
  <c r="R2" i="74" s="1"/>
  <c r="M2" i="74"/>
  <c r="Q2" i="74" s="1"/>
  <c r="L2" i="74"/>
  <c r="G2" i="74"/>
  <c r="D2" i="74"/>
  <c r="C2" i="74"/>
  <c r="T25" i="48" a="1"/>
  <c r="T25" i="48" s="1"/>
  <c r="K22" i="72"/>
  <c r="K23" i="72"/>
  <c r="K24" i="72"/>
  <c r="K21" i="72"/>
  <c r="G13" i="72"/>
  <c r="G11" i="72"/>
  <c r="L13" i="72"/>
  <c r="D13" i="72"/>
  <c r="C13" i="72"/>
  <c r="C11" i="72"/>
  <c r="R14" i="71"/>
  <c r="R9" i="71"/>
  <c r="W4" i="71"/>
  <c r="W3" i="71"/>
  <c r="M14" i="71"/>
  <c r="M9" i="71"/>
  <c r="P15" i="71"/>
  <c r="Q15" i="71" s="1"/>
  <c r="O15" i="71"/>
  <c r="N15" i="71" s="1"/>
  <c r="T4" i="71" s="1"/>
  <c r="K12" i="71"/>
  <c r="K11" i="71"/>
  <c r="G5" i="71"/>
  <c r="G4" i="71"/>
  <c r="G3" i="71"/>
  <c r="G2" i="71"/>
  <c r="L5" i="71"/>
  <c r="L4" i="71"/>
  <c r="L3" i="71"/>
  <c r="L2" i="71"/>
  <c r="D5" i="71"/>
  <c r="D4" i="71"/>
  <c r="D3" i="71"/>
  <c r="D2" i="71"/>
  <c r="C5" i="71"/>
  <c r="C4" i="71"/>
  <c r="C3" i="71"/>
  <c r="C2" i="71"/>
  <c r="L11" i="72"/>
  <c r="D11" i="72"/>
  <c r="L9" i="72"/>
  <c r="D9" i="72"/>
  <c r="L7" i="72"/>
  <c r="D7" i="72"/>
  <c r="L5" i="72"/>
  <c r="D5" i="72"/>
  <c r="L3" i="72"/>
  <c r="D3" i="72"/>
  <c r="D10" i="72"/>
  <c r="L10" i="72"/>
  <c r="G12" i="72"/>
  <c r="G10" i="72"/>
  <c r="C12" i="72"/>
  <c r="C10" i="72"/>
  <c r="L12" i="72"/>
  <c r="D12" i="72"/>
  <c r="D8" i="72"/>
  <c r="L6" i="72"/>
  <c r="D6" i="72"/>
  <c r="L4" i="72"/>
  <c r="D4" i="72"/>
  <c r="M13" i="72"/>
  <c r="Q13" i="72" s="1"/>
  <c r="N13" i="72"/>
  <c r="R13" i="72" s="1"/>
  <c r="O13" i="72"/>
  <c r="P13" i="72"/>
  <c r="M12" i="72"/>
  <c r="Q12" i="72" s="1"/>
  <c r="N12" i="72"/>
  <c r="R12" i="72" s="1"/>
  <c r="O12" i="72"/>
  <c r="P12" i="72"/>
  <c r="M11" i="72"/>
  <c r="Q11" i="72" s="1"/>
  <c r="N11" i="72"/>
  <c r="O11" i="72"/>
  <c r="P11" i="72"/>
  <c r="R11" i="72"/>
  <c r="L8" i="72"/>
  <c r="L2" i="72"/>
  <c r="D2" i="72"/>
  <c r="G9" i="72"/>
  <c r="G7" i="72"/>
  <c r="G5" i="72"/>
  <c r="G3" i="72"/>
  <c r="G8" i="72"/>
  <c r="G6" i="72"/>
  <c r="G4" i="72"/>
  <c r="G2" i="72"/>
  <c r="C9" i="72"/>
  <c r="C7" i="72"/>
  <c r="C5" i="72"/>
  <c r="C3" i="72"/>
  <c r="C8" i="72"/>
  <c r="C6" i="72"/>
  <c r="C4" i="72"/>
  <c r="C2" i="72"/>
  <c r="I7" i="99" l="1"/>
  <c r="H15" i="130"/>
  <c r="H22" i="130"/>
  <c r="H18" i="130"/>
  <c r="H24" i="130"/>
  <c r="H23" i="128"/>
  <c r="H16" i="128"/>
  <c r="H26" i="128"/>
  <c r="H18" i="128"/>
  <c r="H15" i="128"/>
  <c r="H19" i="128"/>
  <c r="H25" i="127"/>
  <c r="H17" i="127"/>
  <c r="H32" i="129"/>
  <c r="H41" i="129"/>
  <c r="H31" i="129"/>
  <c r="H39" i="129"/>
  <c r="H42" i="129"/>
  <c r="H26" i="129"/>
  <c r="H33" i="129"/>
  <c r="H25" i="129"/>
  <c r="H24" i="129"/>
  <c r="H40" i="129"/>
  <c r="H25" i="130"/>
  <c r="H17" i="130"/>
  <c r="H16" i="130"/>
  <c r="H23" i="130"/>
  <c r="H26" i="130"/>
  <c r="H19" i="130"/>
  <c r="H34" i="129"/>
  <c r="H23" i="129"/>
  <c r="H22" i="128"/>
  <c r="H25" i="128"/>
  <c r="H17" i="128"/>
  <c r="H24" i="128"/>
  <c r="H19" i="127"/>
  <c r="H24" i="127"/>
  <c r="H20" i="127"/>
  <c r="H18" i="127"/>
  <c r="H26" i="127"/>
  <c r="H23" i="127"/>
  <c r="H20" i="114"/>
  <c r="H19" i="114"/>
  <c r="H18" i="114"/>
  <c r="H28" i="114"/>
  <c r="H22" i="116"/>
  <c r="H16" i="116"/>
  <c r="H14" i="116"/>
  <c r="H28" i="115"/>
  <c r="H14" i="115"/>
  <c r="H19" i="118"/>
  <c r="H18" i="118"/>
  <c r="H17" i="118"/>
  <c r="H20" i="118"/>
  <c r="H14" i="118"/>
  <c r="H11" i="118"/>
  <c r="H13" i="118"/>
  <c r="H12" i="118"/>
  <c r="H29" i="116"/>
  <c r="H28" i="116"/>
  <c r="H26" i="116"/>
  <c r="H21" i="116"/>
  <c r="H15" i="116"/>
  <c r="H20" i="116"/>
  <c r="H23" i="116"/>
  <c r="H27" i="116"/>
  <c r="H17" i="116"/>
  <c r="H17" i="115"/>
  <c r="H16" i="115"/>
  <c r="H26" i="115"/>
  <c r="H15" i="115"/>
  <c r="H22" i="115"/>
  <c r="H21" i="115"/>
  <c r="H29" i="115"/>
  <c r="H23" i="115"/>
  <c r="H20" i="115"/>
  <c r="H27" i="115"/>
  <c r="T9" i="115"/>
  <c r="H27" i="114"/>
  <c r="H25" i="114"/>
  <c r="H17" i="114"/>
  <c r="H26" i="114"/>
  <c r="H25" i="110"/>
  <c r="I23" i="110" s="1"/>
  <c r="H16" i="110"/>
  <c r="I16" i="110" s="1"/>
  <c r="H15" i="110"/>
  <c r="H24" i="110"/>
  <c r="I22" i="110" s="1"/>
  <c r="I17" i="110"/>
  <c r="G17" i="110"/>
  <c r="G25" i="110"/>
  <c r="H18" i="110"/>
  <c r="G15" i="110" s="1"/>
  <c r="H19" i="110"/>
  <c r="I19" i="110" s="1"/>
  <c r="H22" i="110"/>
  <c r="H23" i="110"/>
  <c r="H26" i="110"/>
  <c r="G19" i="110"/>
  <c r="Q26" i="100"/>
  <c r="R26" i="100"/>
  <c r="N25" i="100"/>
  <c r="R15" i="100"/>
  <c r="Q15" i="100"/>
  <c r="N20" i="100"/>
  <c r="R20" i="100"/>
  <c r="I21" i="105"/>
  <c r="I23" i="105"/>
  <c r="I17" i="105"/>
  <c r="R12" i="102"/>
  <c r="Q12" i="102"/>
  <c r="N17" i="102"/>
  <c r="Q17" i="102"/>
  <c r="H19" i="105"/>
  <c r="H26" i="105"/>
  <c r="H20" i="105"/>
  <c r="H18" i="105"/>
  <c r="H24" i="105"/>
  <c r="H19" i="103"/>
  <c r="F28" i="100"/>
  <c r="E27" i="100"/>
  <c r="T5" i="104"/>
  <c r="H18" i="103"/>
  <c r="H27" i="103"/>
  <c r="H20" i="103"/>
  <c r="C11" i="102"/>
  <c r="E20" i="102"/>
  <c r="F11" i="102"/>
  <c r="E19" i="102"/>
  <c r="E11" i="102"/>
  <c r="E13" i="102"/>
  <c r="T6" i="104"/>
  <c r="H23" i="104"/>
  <c r="H17" i="104"/>
  <c r="H25" i="104"/>
  <c r="H20" i="104"/>
  <c r="H18" i="104"/>
  <c r="H24" i="104"/>
  <c r="H26" i="104"/>
  <c r="H19" i="104"/>
  <c r="H17" i="103"/>
  <c r="H26" i="103"/>
  <c r="H25" i="103"/>
  <c r="H28" i="103"/>
  <c r="F20" i="102"/>
  <c r="E12" i="102"/>
  <c r="C14" i="102"/>
  <c r="C17" i="102"/>
  <c r="C18" i="102"/>
  <c r="Q23" i="102"/>
  <c r="T5" i="102" s="1"/>
  <c r="F19" i="102"/>
  <c r="C12" i="102"/>
  <c r="F12" i="102"/>
  <c r="F13" i="102"/>
  <c r="D14" i="102"/>
  <c r="D17" i="102"/>
  <c r="D18" i="102"/>
  <c r="C20" i="102"/>
  <c r="T6" i="102"/>
  <c r="D11" i="102"/>
  <c r="D12" i="102"/>
  <c r="D13" i="102"/>
  <c r="R17" i="102"/>
  <c r="E14" i="102"/>
  <c r="E17" i="102"/>
  <c r="M17" i="102"/>
  <c r="E18" i="102"/>
  <c r="C19" i="102"/>
  <c r="D20" i="102"/>
  <c r="C13" i="102"/>
  <c r="F14" i="102"/>
  <c r="F17" i="102"/>
  <c r="F18" i="102"/>
  <c r="D19" i="102"/>
  <c r="M29" i="101"/>
  <c r="Q29" i="101"/>
  <c r="N12" i="101"/>
  <c r="T4" i="101"/>
  <c r="T3" i="101"/>
  <c r="M23" i="101"/>
  <c r="R23" i="101"/>
  <c r="R12" i="101"/>
  <c r="N17" i="101"/>
  <c r="R17" i="101"/>
  <c r="D12" i="101"/>
  <c r="E11" i="101"/>
  <c r="Q17" i="101"/>
  <c r="E20" i="101"/>
  <c r="E12" i="101"/>
  <c r="E13" i="101"/>
  <c r="C14" i="101"/>
  <c r="C17" i="101"/>
  <c r="C18" i="101"/>
  <c r="C12" i="101"/>
  <c r="F12" i="101"/>
  <c r="F13" i="101"/>
  <c r="D14" i="101"/>
  <c r="D17" i="101"/>
  <c r="D18" i="101"/>
  <c r="E19" i="101"/>
  <c r="C20" i="101"/>
  <c r="F11" i="101"/>
  <c r="F19" i="101"/>
  <c r="D20" i="101"/>
  <c r="C13" i="101"/>
  <c r="D13" i="101"/>
  <c r="F20" i="101"/>
  <c r="C11" i="101"/>
  <c r="E14" i="101"/>
  <c r="E17" i="101"/>
  <c r="M17" i="101"/>
  <c r="E18" i="101"/>
  <c r="C19" i="101"/>
  <c r="D11" i="101"/>
  <c r="F14" i="101"/>
  <c r="F17" i="101"/>
  <c r="F18" i="101"/>
  <c r="D19" i="101"/>
  <c r="E22" i="100"/>
  <c r="C23" i="100"/>
  <c r="F14" i="100"/>
  <c r="F22" i="100"/>
  <c r="D23" i="100"/>
  <c r="C27" i="100"/>
  <c r="Q20" i="100"/>
  <c r="D27" i="100"/>
  <c r="E23" i="100"/>
  <c r="D16" i="100"/>
  <c r="F23" i="100"/>
  <c r="E15" i="100"/>
  <c r="E16" i="100"/>
  <c r="C17" i="100"/>
  <c r="C20" i="100"/>
  <c r="C21" i="100"/>
  <c r="C26" i="100"/>
  <c r="F27" i="100"/>
  <c r="C28" i="100"/>
  <c r="D29" i="100"/>
  <c r="F15" i="100"/>
  <c r="F16" i="100"/>
  <c r="D17" i="100"/>
  <c r="D20" i="100"/>
  <c r="D21" i="100"/>
  <c r="D26" i="100"/>
  <c r="D28" i="100"/>
  <c r="E29" i="100"/>
  <c r="C29" i="100"/>
  <c r="C14" i="100"/>
  <c r="E17" i="100"/>
  <c r="E20" i="100"/>
  <c r="M20" i="100"/>
  <c r="E21" i="100"/>
  <c r="C22" i="100"/>
  <c r="E26" i="100"/>
  <c r="E28" i="100"/>
  <c r="F29" i="100"/>
  <c r="E14" i="100"/>
  <c r="C15" i="100"/>
  <c r="C16" i="100"/>
  <c r="D15" i="100"/>
  <c r="D14" i="100"/>
  <c r="F17" i="100"/>
  <c r="F20" i="100"/>
  <c r="F21" i="100"/>
  <c r="D22" i="100"/>
  <c r="F26" i="100"/>
  <c r="F28" i="97"/>
  <c r="N26" i="97"/>
  <c r="T5" i="97" s="1"/>
  <c r="T4" i="97"/>
  <c r="Q26" i="97"/>
  <c r="Q25" i="97"/>
  <c r="N20" i="97"/>
  <c r="N25" i="97"/>
  <c r="M25" i="97"/>
  <c r="R15" i="97"/>
  <c r="R20" i="97"/>
  <c r="T3" i="97"/>
  <c r="C17" i="97"/>
  <c r="E17" i="97"/>
  <c r="E14" i="97"/>
  <c r="E22" i="97"/>
  <c r="C23" i="97"/>
  <c r="F14" i="97"/>
  <c r="F22" i="97"/>
  <c r="D23" i="97"/>
  <c r="C27" i="97"/>
  <c r="Q20" i="97"/>
  <c r="E23" i="97"/>
  <c r="D27" i="97"/>
  <c r="C15" i="97"/>
  <c r="C16" i="97"/>
  <c r="D15" i="97"/>
  <c r="D16" i="97"/>
  <c r="F23" i="97"/>
  <c r="E27" i="97"/>
  <c r="C29" i="97"/>
  <c r="E15" i="97"/>
  <c r="E16" i="97"/>
  <c r="C20" i="97"/>
  <c r="C21" i="97"/>
  <c r="C26" i="97"/>
  <c r="F27" i="97"/>
  <c r="C28" i="97"/>
  <c r="D29" i="97"/>
  <c r="F15" i="97"/>
  <c r="N15" i="97"/>
  <c r="F16" i="97"/>
  <c r="D17" i="97"/>
  <c r="D20" i="97"/>
  <c r="D21" i="97"/>
  <c r="D26" i="97"/>
  <c r="D28" i="97"/>
  <c r="E29" i="97"/>
  <c r="E20" i="97"/>
  <c r="M20" i="97"/>
  <c r="E21" i="97"/>
  <c r="C22" i="97"/>
  <c r="E26" i="97"/>
  <c r="E28" i="97"/>
  <c r="F29" i="97"/>
  <c r="C14" i="97"/>
  <c r="D14" i="97"/>
  <c r="F17" i="97"/>
  <c r="F20" i="97"/>
  <c r="F21" i="97"/>
  <c r="D22" i="97"/>
  <c r="F26" i="97"/>
  <c r="T3" i="92"/>
  <c r="Y7" i="94"/>
  <c r="F36" i="94"/>
  <c r="F28" i="94"/>
  <c r="F29" i="94"/>
  <c r="F41" i="94"/>
  <c r="F31" i="94"/>
  <c r="F37" i="94"/>
  <c r="F27" i="94"/>
  <c r="F30" i="94"/>
  <c r="M32" i="94"/>
  <c r="Q32" i="94"/>
  <c r="M27" i="94"/>
  <c r="U3" i="94" s="1"/>
  <c r="Q27" i="94"/>
  <c r="F40" i="94"/>
  <c r="E27" i="94"/>
  <c r="E29" i="94"/>
  <c r="E30" i="94"/>
  <c r="E41" i="94"/>
  <c r="F39" i="94"/>
  <c r="E38" i="94"/>
  <c r="E40" i="94"/>
  <c r="E37" i="94"/>
  <c r="E36" i="94"/>
  <c r="F35" i="94"/>
  <c r="E26" i="94"/>
  <c r="F38" i="94"/>
  <c r="E28" i="94"/>
  <c r="E39" i="94"/>
  <c r="E31" i="94"/>
  <c r="F32" i="94"/>
  <c r="F26" i="94"/>
  <c r="E35" i="94"/>
  <c r="E32" i="94"/>
  <c r="M18" i="93"/>
  <c r="Q29" i="93"/>
  <c r="M29" i="93"/>
  <c r="N29" i="93"/>
  <c r="R23" i="93"/>
  <c r="R18" i="93"/>
  <c r="N23" i="93"/>
  <c r="M23" i="93"/>
  <c r="Q23" i="93"/>
  <c r="R36" i="87"/>
  <c r="R39" i="87" s="1"/>
  <c r="Q32" i="92"/>
  <c r="M26" i="92"/>
  <c r="T6" i="92" s="1"/>
  <c r="N26" i="92"/>
  <c r="R26" i="92"/>
  <c r="R20" i="92"/>
  <c r="T4" i="92"/>
  <c r="Q25" i="92"/>
  <c r="Q15" i="92"/>
  <c r="N15" i="92"/>
  <c r="N20" i="92"/>
  <c r="F28" i="92"/>
  <c r="D16" i="92"/>
  <c r="Y12" i="94"/>
  <c r="Y13" i="94"/>
  <c r="Y6" i="94"/>
  <c r="Y5" i="94"/>
  <c r="Y4" i="94"/>
  <c r="Y11" i="94"/>
  <c r="Y9" i="94"/>
  <c r="Y3" i="94"/>
  <c r="Y2" i="94"/>
  <c r="Y10" i="94"/>
  <c r="Y8" i="94"/>
  <c r="U4" i="94"/>
  <c r="Y1" i="94"/>
  <c r="F27" i="93"/>
  <c r="D28" i="93"/>
  <c r="F18" i="93"/>
  <c r="C17" i="93"/>
  <c r="C19" i="93"/>
  <c r="C28" i="93"/>
  <c r="F25" i="93"/>
  <c r="E17" i="93"/>
  <c r="E19" i="93"/>
  <c r="D20" i="93"/>
  <c r="C27" i="93"/>
  <c r="E28" i="93"/>
  <c r="D25" i="93"/>
  <c r="X6" i="93"/>
  <c r="D19" i="93"/>
  <c r="C20" i="93"/>
  <c r="X3" i="93"/>
  <c r="F17" i="93"/>
  <c r="C18" i="93"/>
  <c r="F19" i="93"/>
  <c r="E20" i="93"/>
  <c r="D27" i="93"/>
  <c r="F28" i="93"/>
  <c r="C25" i="93"/>
  <c r="X2" i="93"/>
  <c r="D17" i="93"/>
  <c r="X1" i="93"/>
  <c r="X5" i="93"/>
  <c r="D18" i="93"/>
  <c r="F20" i="93"/>
  <c r="C26" i="93"/>
  <c r="E27" i="93"/>
  <c r="E26" i="93"/>
  <c r="X4" i="93"/>
  <c r="F26" i="93"/>
  <c r="E25" i="93"/>
  <c r="E18" i="93"/>
  <c r="D26" i="93"/>
  <c r="C27" i="92"/>
  <c r="D23" i="92"/>
  <c r="C16" i="92"/>
  <c r="Q20" i="92"/>
  <c r="E23" i="92"/>
  <c r="E27" i="92"/>
  <c r="E15" i="92"/>
  <c r="E16" i="92"/>
  <c r="C17" i="92"/>
  <c r="C20" i="92"/>
  <c r="C21" i="92"/>
  <c r="C26" i="92"/>
  <c r="F27" i="92"/>
  <c r="C28" i="92"/>
  <c r="D29" i="92"/>
  <c r="E14" i="92"/>
  <c r="E22" i="92"/>
  <c r="D27" i="92"/>
  <c r="C29" i="92"/>
  <c r="F15" i="92"/>
  <c r="F16" i="92"/>
  <c r="D17" i="92"/>
  <c r="D20" i="92"/>
  <c r="D21" i="92"/>
  <c r="D26" i="92"/>
  <c r="D28" i="92"/>
  <c r="E29" i="92"/>
  <c r="F14" i="92"/>
  <c r="C15" i="92"/>
  <c r="D15" i="92"/>
  <c r="F23" i="92"/>
  <c r="C14" i="92"/>
  <c r="E17" i="92"/>
  <c r="E20" i="92"/>
  <c r="M20" i="92"/>
  <c r="E21" i="92"/>
  <c r="C22" i="92"/>
  <c r="E26" i="92"/>
  <c r="E28" i="92"/>
  <c r="F29" i="92"/>
  <c r="C23" i="92"/>
  <c r="F22" i="92"/>
  <c r="D14" i="92"/>
  <c r="F17" i="92"/>
  <c r="F20" i="92"/>
  <c r="F21" i="92"/>
  <c r="D22" i="92"/>
  <c r="F26" i="92"/>
  <c r="F49" i="87"/>
  <c r="C42" i="87"/>
  <c r="E32" i="87"/>
  <c r="E39" i="87"/>
  <c r="E25" i="87"/>
  <c r="F25" i="87"/>
  <c r="O27" i="87"/>
  <c r="D50" i="87"/>
  <c r="D36" i="87"/>
  <c r="D32" i="87"/>
  <c r="E36" i="87"/>
  <c r="D47" i="87"/>
  <c r="C29" i="87"/>
  <c r="F36" i="87"/>
  <c r="D46" i="87"/>
  <c r="F32" i="87"/>
  <c r="D41" i="87"/>
  <c r="C27" i="87"/>
  <c r="C28" i="87"/>
  <c r="E29" i="87"/>
  <c r="O32" i="87"/>
  <c r="O33" i="87" s="1"/>
  <c r="C33" i="87"/>
  <c r="C34" i="87"/>
  <c r="E35" i="87"/>
  <c r="C40" i="87"/>
  <c r="E41" i="87"/>
  <c r="D42" i="87"/>
  <c r="C43" i="87"/>
  <c r="F46" i="87"/>
  <c r="C49" i="87"/>
  <c r="E50" i="87"/>
  <c r="H25" i="87"/>
  <c r="E48" i="87"/>
  <c r="P27" i="87"/>
  <c r="F39" i="87"/>
  <c r="C35" i="87"/>
  <c r="C50" i="87"/>
  <c r="D29" i="87"/>
  <c r="E46" i="87"/>
  <c r="C26" i="87"/>
  <c r="D26" i="87"/>
  <c r="D27" i="87"/>
  <c r="D28" i="87"/>
  <c r="F29" i="87"/>
  <c r="P32" i="87"/>
  <c r="P33" i="87" s="1"/>
  <c r="D33" i="87"/>
  <c r="D34" i="87"/>
  <c r="F35" i="87"/>
  <c r="D40" i="87"/>
  <c r="F41" i="87"/>
  <c r="E42" i="87"/>
  <c r="D43" i="87"/>
  <c r="D49" i="87"/>
  <c r="F50" i="87"/>
  <c r="C32" i="87"/>
  <c r="C47" i="87"/>
  <c r="D25" i="87"/>
  <c r="F48" i="87"/>
  <c r="C41" i="87"/>
  <c r="T35" i="87" a="1"/>
  <c r="T35" i="87" s="1"/>
  <c r="F47" i="87"/>
  <c r="E26" i="87"/>
  <c r="E27" i="87"/>
  <c r="E28" i="87"/>
  <c r="E33" i="87"/>
  <c r="E34" i="87"/>
  <c r="C39" i="87"/>
  <c r="E40" i="87"/>
  <c r="F42" i="87"/>
  <c r="E43" i="87"/>
  <c r="C48" i="87"/>
  <c r="E49" i="87"/>
  <c r="C46" i="87"/>
  <c r="E47" i="87"/>
  <c r="D35" i="87"/>
  <c r="F26" i="87"/>
  <c r="F27" i="87"/>
  <c r="F28" i="87"/>
  <c r="F33" i="87"/>
  <c r="F34" i="87"/>
  <c r="C36" i="87"/>
  <c r="D39" i="87"/>
  <c r="F40" i="87"/>
  <c r="F43" i="87"/>
  <c r="D48" i="87"/>
  <c r="R36" i="86"/>
  <c r="E49" i="86"/>
  <c r="F49" i="86"/>
  <c r="F42" i="86"/>
  <c r="D49" i="86"/>
  <c r="C49" i="86"/>
  <c r="C35" i="86"/>
  <c r="E42" i="86"/>
  <c r="D42" i="86"/>
  <c r="C42" i="86"/>
  <c r="F35" i="86"/>
  <c r="E35" i="86"/>
  <c r="D35" i="86"/>
  <c r="O32" i="86"/>
  <c r="O33" i="86" s="1"/>
  <c r="C47" i="86"/>
  <c r="C34" i="86"/>
  <c r="C29" i="86"/>
  <c r="F28" i="86"/>
  <c r="E28" i="86"/>
  <c r="E39" i="86"/>
  <c r="P32" i="86"/>
  <c r="P33" i="86" s="1"/>
  <c r="D28" i="86"/>
  <c r="C28" i="86"/>
  <c r="T4" i="86"/>
  <c r="T3" i="86"/>
  <c r="C43" i="86"/>
  <c r="E46" i="86"/>
  <c r="D47" i="86"/>
  <c r="D43" i="86"/>
  <c r="F46" i="86"/>
  <c r="E47" i="86"/>
  <c r="C50" i="86"/>
  <c r="F34" i="86"/>
  <c r="D36" i="86"/>
  <c r="F25" i="86"/>
  <c r="O27" i="86"/>
  <c r="C32" i="86"/>
  <c r="C33" i="86"/>
  <c r="E36" i="86"/>
  <c r="C41" i="86"/>
  <c r="E43" i="86"/>
  <c r="F47" i="86"/>
  <c r="C48" i="86"/>
  <c r="D50" i="86"/>
  <c r="P27" i="86"/>
  <c r="D32" i="86"/>
  <c r="D33" i="86"/>
  <c r="F36" i="86"/>
  <c r="D41" i="86"/>
  <c r="F43" i="86"/>
  <c r="D48" i="86"/>
  <c r="E50" i="86"/>
  <c r="C27" i="86"/>
  <c r="E27" i="86"/>
  <c r="C36" i="86"/>
  <c r="E25" i="86"/>
  <c r="F29" i="86"/>
  <c r="R31" i="86"/>
  <c r="C26" i="86"/>
  <c r="E32" i="86"/>
  <c r="E33" i="86"/>
  <c r="C39" i="86"/>
  <c r="C40" i="86"/>
  <c r="E41" i="86"/>
  <c r="E48" i="86"/>
  <c r="F50" i="86"/>
  <c r="D25" i="86"/>
  <c r="E29" i="86"/>
  <c r="Q31" i="86"/>
  <c r="E34" i="86"/>
  <c r="F27" i="86"/>
  <c r="D26" i="86"/>
  <c r="F32" i="86"/>
  <c r="F33" i="86"/>
  <c r="D39" i="86"/>
  <c r="D40" i="86"/>
  <c r="F41" i="86"/>
  <c r="F48" i="86"/>
  <c r="E26" i="86"/>
  <c r="E40" i="86"/>
  <c r="C46" i="86"/>
  <c r="M37" i="86"/>
  <c r="C25" i="86"/>
  <c r="F26" i="86"/>
  <c r="D27" i="86"/>
  <c r="D29" i="86"/>
  <c r="D34" i="86"/>
  <c r="F39" i="86"/>
  <c r="F40" i="86"/>
  <c r="D46" i="86"/>
  <c r="T4" i="77"/>
  <c r="T6" i="78"/>
  <c r="T4" i="78"/>
  <c r="T3" i="78"/>
  <c r="P33" i="79"/>
  <c r="S4" i="79" s="1"/>
  <c r="D10" i="78"/>
  <c r="F10" i="78"/>
  <c r="F9" i="78"/>
  <c r="D9" i="78"/>
  <c r="D14" i="78"/>
  <c r="R3" i="78"/>
  <c r="C14" i="78" s="1"/>
  <c r="E10" i="78"/>
  <c r="C9" i="78"/>
  <c r="H9" i="78" s="1"/>
  <c r="I9" i="78" s="1"/>
  <c r="E13" i="78"/>
  <c r="H20" i="85"/>
  <c r="I20" i="85" s="1"/>
  <c r="E27" i="85"/>
  <c r="C37" i="85"/>
  <c r="F21" i="85"/>
  <c r="C30" i="85"/>
  <c r="E36" i="85"/>
  <c r="H36" i="85" s="1"/>
  <c r="I36" i="85" s="1"/>
  <c r="E37" i="85"/>
  <c r="E21" i="85"/>
  <c r="C29" i="85"/>
  <c r="D36" i="85"/>
  <c r="C24" i="85"/>
  <c r="D29" i="85"/>
  <c r="F35" i="85"/>
  <c r="F22" i="85"/>
  <c r="D30" i="85"/>
  <c r="M33" i="85"/>
  <c r="D31" i="85"/>
  <c r="F37" i="85"/>
  <c r="F24" i="85"/>
  <c r="F30" i="85"/>
  <c r="Q33" i="85"/>
  <c r="F38" i="85"/>
  <c r="F31" i="85"/>
  <c r="C34" i="85"/>
  <c r="C23" i="85"/>
  <c r="E35" i="85"/>
  <c r="E22" i="85"/>
  <c r="F27" i="85"/>
  <c r="L33" i="85"/>
  <c r="C38" i="85"/>
  <c r="D24" i="85"/>
  <c r="E29" i="85"/>
  <c r="D38" i="85"/>
  <c r="E24" i="85"/>
  <c r="F29" i="85"/>
  <c r="E38" i="85"/>
  <c r="C21" i="85"/>
  <c r="H21" i="85" s="1"/>
  <c r="I21" i="85" s="1"/>
  <c r="C27" i="85"/>
  <c r="D34" i="85"/>
  <c r="C35" i="85"/>
  <c r="D20" i="85"/>
  <c r="D23" i="85"/>
  <c r="E28" i="85"/>
  <c r="D37" i="85"/>
  <c r="E23" i="85"/>
  <c r="F28" i="85"/>
  <c r="C31" i="85"/>
  <c r="H31" i="85" s="1"/>
  <c r="I31" i="85" s="1"/>
  <c r="F36" i="85"/>
  <c r="F23" i="85"/>
  <c r="E31" i="85"/>
  <c r="D21" i="85"/>
  <c r="C22" i="85"/>
  <c r="H22" i="85" s="1"/>
  <c r="I22" i="85" s="1"/>
  <c r="D27" i="85"/>
  <c r="C28" i="85"/>
  <c r="H28" i="85" s="1"/>
  <c r="I28" i="85" s="1"/>
  <c r="E34" i="85"/>
  <c r="D35" i="85"/>
  <c r="S6" i="84"/>
  <c r="D30" i="84"/>
  <c r="F23" i="84"/>
  <c r="F29" i="84"/>
  <c r="E34" i="84"/>
  <c r="D22" i="84"/>
  <c r="F34" i="84"/>
  <c r="F22" i="84"/>
  <c r="F28" i="84"/>
  <c r="C37" i="84"/>
  <c r="E38" i="84"/>
  <c r="E23" i="84"/>
  <c r="E29" i="84"/>
  <c r="C31" i="84"/>
  <c r="H31" i="84" s="1"/>
  <c r="C28" i="84"/>
  <c r="H28" i="84" s="1"/>
  <c r="D35" i="84"/>
  <c r="C21" i="84"/>
  <c r="F30" i="84"/>
  <c r="E35" i="84"/>
  <c r="D21" i="84"/>
  <c r="E28" i="84"/>
  <c r="F35" i="84"/>
  <c r="P6" i="84"/>
  <c r="D29" i="84" s="1"/>
  <c r="E21" i="84"/>
  <c r="C20" i="84"/>
  <c r="F21" i="84"/>
  <c r="D37" i="84"/>
  <c r="F38" i="84"/>
  <c r="C35" i="84"/>
  <c r="E24" i="84"/>
  <c r="E30" i="84"/>
  <c r="F36" i="84"/>
  <c r="D28" i="84"/>
  <c r="C38" i="84"/>
  <c r="E22" i="84"/>
  <c r="D38" i="84"/>
  <c r="D20" i="84"/>
  <c r="C23" i="84"/>
  <c r="H23" i="84" s="1"/>
  <c r="C27" i="84"/>
  <c r="H27" i="84" s="1"/>
  <c r="C36" i="84"/>
  <c r="H36" i="84" s="1"/>
  <c r="E37" i="84"/>
  <c r="D24" i="84"/>
  <c r="C22" i="84"/>
  <c r="H22" i="84" s="1"/>
  <c r="F27" i="84"/>
  <c r="D31" i="84"/>
  <c r="F24" i="84"/>
  <c r="E31" i="84"/>
  <c r="F31" i="84"/>
  <c r="E20" i="84"/>
  <c r="D23" i="84"/>
  <c r="C24" i="84"/>
  <c r="C30" i="84"/>
  <c r="H30" i="84" s="1"/>
  <c r="C34" i="84"/>
  <c r="D36" i="84"/>
  <c r="E15" i="79"/>
  <c r="X3" i="78"/>
  <c r="F15" i="79"/>
  <c r="L27" i="79"/>
  <c r="X4" i="78"/>
  <c r="X1" i="78"/>
  <c r="T3" i="77"/>
  <c r="F27" i="77"/>
  <c r="F25" i="79"/>
  <c r="C25" i="79"/>
  <c r="E17" i="79"/>
  <c r="F23" i="79"/>
  <c r="F16" i="79"/>
  <c r="E26" i="79"/>
  <c r="D16" i="79"/>
  <c r="E16" i="79"/>
  <c r="C15" i="79"/>
  <c r="C18" i="79"/>
  <c r="C24" i="79"/>
  <c r="C19" i="79"/>
  <c r="E18" i="79"/>
  <c r="D19" i="79"/>
  <c r="E22" i="79"/>
  <c r="E24" i="79"/>
  <c r="D25" i="79"/>
  <c r="F26" i="79"/>
  <c r="C26" i="79"/>
  <c r="D15" i="79"/>
  <c r="D26" i="79"/>
  <c r="D18" i="79"/>
  <c r="D24" i="79"/>
  <c r="C17" i="79"/>
  <c r="F18" i="79"/>
  <c r="E19" i="79"/>
  <c r="F22" i="79"/>
  <c r="C23" i="79"/>
  <c r="F24" i="79"/>
  <c r="E25" i="79"/>
  <c r="E23" i="79"/>
  <c r="F17" i="79"/>
  <c r="C22" i="79"/>
  <c r="D22" i="79"/>
  <c r="C16" i="79"/>
  <c r="D17" i="79"/>
  <c r="F19" i="79"/>
  <c r="D23" i="79"/>
  <c r="H11" i="78"/>
  <c r="H12" i="78"/>
  <c r="I12" i="78" s="1"/>
  <c r="D13" i="78"/>
  <c r="C10" i="78"/>
  <c r="X2" i="78"/>
  <c r="T5" i="78"/>
  <c r="C25" i="77"/>
  <c r="D25" i="77"/>
  <c r="C28" i="77"/>
  <c r="E19" i="77"/>
  <c r="D20" i="77"/>
  <c r="C27" i="77"/>
  <c r="E28" i="77"/>
  <c r="X2" i="77"/>
  <c r="F26" i="77"/>
  <c r="D19" i="77"/>
  <c r="F25" i="77"/>
  <c r="X3" i="77"/>
  <c r="F17" i="77"/>
  <c r="C18" i="77"/>
  <c r="F19" i="77"/>
  <c r="E20" i="77"/>
  <c r="D27" i="77"/>
  <c r="F28" i="77"/>
  <c r="E26" i="77"/>
  <c r="C17" i="77"/>
  <c r="C19" i="77"/>
  <c r="X6" i="77"/>
  <c r="C20" i="77"/>
  <c r="X1" i="77"/>
  <c r="X5" i="77"/>
  <c r="D18" i="77"/>
  <c r="F20" i="77"/>
  <c r="C26" i="77"/>
  <c r="E27" i="77"/>
  <c r="F18" i="77"/>
  <c r="X4" i="77"/>
  <c r="E25" i="77"/>
  <c r="D17" i="77"/>
  <c r="D28" i="77"/>
  <c r="E17" i="77"/>
  <c r="E18" i="77"/>
  <c r="D26" i="77"/>
  <c r="P24" i="74"/>
  <c r="P25" i="74" s="1"/>
  <c r="R28" i="74"/>
  <c r="Q28" i="74"/>
  <c r="M28" i="74"/>
  <c r="T27" i="74" a="1"/>
  <c r="T27" i="74" s="1"/>
  <c r="V24" i="74" a="1"/>
  <c r="V24" i="74" s="1"/>
  <c r="O24" i="74"/>
  <c r="O25" i="74" s="1"/>
  <c r="O19" i="74"/>
  <c r="Q35" i="74"/>
  <c r="T4" i="74" s="1"/>
  <c r="P19" i="74"/>
  <c r="M35" i="74"/>
  <c r="T3" i="74" s="1"/>
  <c r="C26" i="74"/>
  <c r="F37" i="74"/>
  <c r="F26" i="74"/>
  <c r="E31" i="74"/>
  <c r="F31" i="74"/>
  <c r="D20" i="74"/>
  <c r="C29" i="74"/>
  <c r="C37" i="74"/>
  <c r="E38" i="74"/>
  <c r="E19" i="74"/>
  <c r="F30" i="74"/>
  <c r="D32" i="74"/>
  <c r="F17" i="74"/>
  <c r="E32" i="74"/>
  <c r="Q29" i="74"/>
  <c r="C38" i="74"/>
  <c r="D38" i="74"/>
  <c r="C18" i="74"/>
  <c r="D29" i="74"/>
  <c r="D37" i="74"/>
  <c r="F38" i="74"/>
  <c r="F18" i="74"/>
  <c r="E25" i="74"/>
  <c r="C35" i="74"/>
  <c r="F25" i="74"/>
  <c r="F36" i="74"/>
  <c r="C23" i="74"/>
  <c r="F32" i="74"/>
  <c r="D23" i="74"/>
  <c r="F35" i="74"/>
  <c r="E23" i="74"/>
  <c r="E20" i="74"/>
  <c r="F23" i="74"/>
  <c r="C30" i="74"/>
  <c r="C17" i="74"/>
  <c r="D18" i="74"/>
  <c r="C19" i="74"/>
  <c r="F20" i="74"/>
  <c r="F24" i="74"/>
  <c r="C25" i="74"/>
  <c r="D26" i="74"/>
  <c r="E29" i="74"/>
  <c r="D30" i="74"/>
  <c r="C31" i="74"/>
  <c r="C36" i="74"/>
  <c r="E37" i="74"/>
  <c r="E17" i="74"/>
  <c r="E36" i="74"/>
  <c r="F19" i="74"/>
  <c r="D35" i="74"/>
  <c r="E35" i="74"/>
  <c r="C20" i="74"/>
  <c r="C24" i="74"/>
  <c r="D24" i="74"/>
  <c r="E24" i="74"/>
  <c r="D17" i="74"/>
  <c r="E18" i="74"/>
  <c r="D19" i="74"/>
  <c r="D25" i="74"/>
  <c r="E26" i="74"/>
  <c r="F29" i="74"/>
  <c r="E30" i="74"/>
  <c r="D31" i="74"/>
  <c r="C32" i="74"/>
  <c r="D36" i="74"/>
  <c r="T3" i="71"/>
  <c r="P18" i="72"/>
  <c r="O18" i="72"/>
  <c r="K20" i="72"/>
  <c r="K19" i="72"/>
  <c r="K18" i="72"/>
  <c r="K17" i="72"/>
  <c r="P10" i="72"/>
  <c r="O10" i="72"/>
  <c r="N10" i="72"/>
  <c r="R10" i="72" s="1"/>
  <c r="M10" i="72"/>
  <c r="Q10" i="72" s="1"/>
  <c r="P9" i="72"/>
  <c r="O9" i="72"/>
  <c r="N9" i="72"/>
  <c r="R9" i="72" s="1"/>
  <c r="M9" i="72"/>
  <c r="Q9" i="72" s="1"/>
  <c r="P8" i="72"/>
  <c r="O8" i="72"/>
  <c r="N8" i="72"/>
  <c r="R8" i="72" s="1"/>
  <c r="M8" i="72"/>
  <c r="Q8" i="72" s="1"/>
  <c r="P7" i="72"/>
  <c r="O7" i="72"/>
  <c r="N7" i="72"/>
  <c r="R7" i="72" s="1"/>
  <c r="M7" i="72"/>
  <c r="Q7" i="72" s="1"/>
  <c r="P6" i="72"/>
  <c r="O6" i="72"/>
  <c r="N6" i="72"/>
  <c r="R6" i="72" s="1"/>
  <c r="M6" i="72"/>
  <c r="Q6" i="72" s="1"/>
  <c r="P5" i="72"/>
  <c r="F28" i="72" s="1"/>
  <c r="O5" i="72"/>
  <c r="N5" i="72"/>
  <c r="E28" i="72" s="1"/>
  <c r="M5" i="72"/>
  <c r="P4" i="72"/>
  <c r="O4" i="72"/>
  <c r="N4" i="72"/>
  <c r="M4" i="72"/>
  <c r="P3" i="72"/>
  <c r="O3" i="72"/>
  <c r="N3" i="72"/>
  <c r="M3" i="72"/>
  <c r="P2" i="72"/>
  <c r="O2" i="72"/>
  <c r="F17" i="72" s="1"/>
  <c r="N2" i="72"/>
  <c r="M2" i="72"/>
  <c r="P10" i="71"/>
  <c r="O10" i="71"/>
  <c r="K10" i="71"/>
  <c r="K9" i="71"/>
  <c r="P5" i="71"/>
  <c r="O5" i="71"/>
  <c r="N5" i="71"/>
  <c r="R5" i="71" s="1"/>
  <c r="M5" i="71"/>
  <c r="Q5" i="71" s="1"/>
  <c r="P4" i="71"/>
  <c r="O4" i="71"/>
  <c r="N4" i="71"/>
  <c r="R4" i="71" s="1"/>
  <c r="M4" i="71"/>
  <c r="Q4" i="71" s="1"/>
  <c r="P3" i="71"/>
  <c r="O3" i="71"/>
  <c r="N3" i="71"/>
  <c r="M3" i="71"/>
  <c r="P2" i="71"/>
  <c r="O2" i="71"/>
  <c r="N2" i="71"/>
  <c r="M2" i="71"/>
  <c r="T6" i="97" l="1"/>
  <c r="I23" i="129"/>
  <c r="G23" i="129"/>
  <c r="I30" i="129"/>
  <c r="G34" i="129"/>
  <c r="I32" i="129"/>
  <c r="G40" i="129"/>
  <c r="I24" i="129"/>
  <c r="G24" i="129"/>
  <c r="I25" i="129"/>
  <c r="G25" i="129"/>
  <c r="I29" i="129"/>
  <c r="G33" i="129"/>
  <c r="I26" i="129"/>
  <c r="G26" i="129"/>
  <c r="I34" i="129"/>
  <c r="G42" i="129"/>
  <c r="I31" i="129"/>
  <c r="G39" i="129"/>
  <c r="I27" i="129"/>
  <c r="G31" i="129"/>
  <c r="I33" i="129"/>
  <c r="G41" i="129"/>
  <c r="I28" i="129"/>
  <c r="G32" i="129"/>
  <c r="I22" i="128"/>
  <c r="G24" i="128"/>
  <c r="I17" i="128"/>
  <c r="G17" i="128"/>
  <c r="I23" i="128"/>
  <c r="G25" i="128"/>
  <c r="I20" i="128"/>
  <c r="G22" i="128"/>
  <c r="I19" i="128"/>
  <c r="G19" i="128"/>
  <c r="I15" i="128"/>
  <c r="G15" i="128"/>
  <c r="I18" i="128"/>
  <c r="G18" i="128"/>
  <c r="I24" i="128"/>
  <c r="G26" i="128"/>
  <c r="I16" i="128"/>
  <c r="G16" i="128"/>
  <c r="I21" i="128"/>
  <c r="G23" i="128"/>
  <c r="I19" i="130"/>
  <c r="G19" i="130"/>
  <c r="I24" i="130"/>
  <c r="G26" i="130"/>
  <c r="I21" i="130"/>
  <c r="G23" i="130"/>
  <c r="I16" i="130"/>
  <c r="G16" i="130"/>
  <c r="I17" i="130"/>
  <c r="G17" i="130"/>
  <c r="I23" i="130"/>
  <c r="G25" i="130"/>
  <c r="I22" i="130"/>
  <c r="G24" i="130"/>
  <c r="I18" i="130"/>
  <c r="G18" i="130"/>
  <c r="I20" i="130"/>
  <c r="G22" i="130"/>
  <c r="I15" i="130"/>
  <c r="G15" i="130"/>
  <c r="I21" i="127"/>
  <c r="G23" i="127"/>
  <c r="I24" i="127"/>
  <c r="G26" i="127"/>
  <c r="I18" i="127"/>
  <c r="G18" i="127"/>
  <c r="I20" i="127"/>
  <c r="G20" i="127"/>
  <c r="I22" i="127"/>
  <c r="G24" i="127"/>
  <c r="I19" i="127"/>
  <c r="G19" i="127"/>
  <c r="I17" i="127"/>
  <c r="G17" i="127"/>
  <c r="I23" i="127"/>
  <c r="J23" i="127" s="1"/>
  <c r="L25" i="127" s="1"/>
  <c r="G25" i="127"/>
  <c r="I17" i="114"/>
  <c r="G17" i="114"/>
  <c r="I18" i="114"/>
  <c r="G18" i="114"/>
  <c r="I22" i="114"/>
  <c r="G26" i="114"/>
  <c r="I24" i="114"/>
  <c r="G28" i="114"/>
  <c r="I21" i="114"/>
  <c r="G25" i="114"/>
  <c r="I19" i="114"/>
  <c r="G19" i="114"/>
  <c r="I23" i="114"/>
  <c r="G27" i="114"/>
  <c r="I20" i="114"/>
  <c r="G20" i="114"/>
  <c r="I21" i="116"/>
  <c r="G23" i="116"/>
  <c r="I22" i="116"/>
  <c r="G26" i="116"/>
  <c r="I18" i="116"/>
  <c r="G20" i="116"/>
  <c r="I24" i="116"/>
  <c r="G28" i="116"/>
  <c r="I14" i="116"/>
  <c r="G14" i="116"/>
  <c r="I15" i="116"/>
  <c r="G15" i="116"/>
  <c r="I25" i="116"/>
  <c r="G29" i="116"/>
  <c r="I16" i="116"/>
  <c r="G16" i="116"/>
  <c r="I20" i="116"/>
  <c r="G22" i="116"/>
  <c r="I17" i="116"/>
  <c r="G17" i="116"/>
  <c r="I23" i="116"/>
  <c r="G27" i="116"/>
  <c r="I19" i="116"/>
  <c r="G21" i="116"/>
  <c r="I16" i="118"/>
  <c r="G18" i="118"/>
  <c r="I13" i="118"/>
  <c r="G13" i="118"/>
  <c r="I15" i="118"/>
  <c r="G17" i="118"/>
  <c r="I11" i="118"/>
  <c r="G11" i="118"/>
  <c r="I14" i="118"/>
  <c r="G14" i="118"/>
  <c r="I17" i="118"/>
  <c r="G19" i="118"/>
  <c r="I12" i="118"/>
  <c r="G12" i="118"/>
  <c r="I18" i="118"/>
  <c r="G20" i="118"/>
  <c r="I19" i="115"/>
  <c r="G21" i="115"/>
  <c r="I24" i="115"/>
  <c r="G28" i="115"/>
  <c r="I20" i="115"/>
  <c r="R27" i="115" s="1"/>
  <c r="G22" i="115"/>
  <c r="I15" i="115"/>
  <c r="G15" i="115"/>
  <c r="I22" i="115"/>
  <c r="G26" i="115"/>
  <c r="I23" i="115"/>
  <c r="G27" i="115"/>
  <c r="I16" i="115"/>
  <c r="G16" i="115"/>
  <c r="I18" i="115"/>
  <c r="G20" i="115"/>
  <c r="I17" i="115"/>
  <c r="G17" i="115"/>
  <c r="I21" i="115"/>
  <c r="G23" i="115"/>
  <c r="I25" i="115"/>
  <c r="J25" i="115" s="1"/>
  <c r="L29" i="115" s="1"/>
  <c r="G29" i="115"/>
  <c r="I14" i="115"/>
  <c r="G14" i="115"/>
  <c r="I24" i="110"/>
  <c r="G26" i="110"/>
  <c r="I20" i="110"/>
  <c r="G22" i="110"/>
  <c r="I21" i="110"/>
  <c r="G23" i="110"/>
  <c r="I18" i="110"/>
  <c r="G18" i="110"/>
  <c r="G24" i="110"/>
  <c r="G16" i="110"/>
  <c r="H46" i="87"/>
  <c r="H26" i="87"/>
  <c r="I24" i="103"/>
  <c r="G28" i="103"/>
  <c r="I21" i="103"/>
  <c r="G25" i="103"/>
  <c r="I22" i="103"/>
  <c r="G26" i="103"/>
  <c r="I17" i="103"/>
  <c r="G17" i="103"/>
  <c r="I20" i="103"/>
  <c r="G20" i="103"/>
  <c r="I23" i="103"/>
  <c r="G27" i="103"/>
  <c r="I18" i="103"/>
  <c r="G18" i="103"/>
  <c r="I19" i="103"/>
  <c r="J19" i="103" s="1"/>
  <c r="L19" i="103" s="1"/>
  <c r="G19" i="103"/>
  <c r="I22" i="105"/>
  <c r="G24" i="105"/>
  <c r="G23" i="105"/>
  <c r="G25" i="105"/>
  <c r="I18" i="105"/>
  <c r="G18" i="105"/>
  <c r="G17" i="105"/>
  <c r="I20" i="105"/>
  <c r="G20" i="105"/>
  <c r="I24" i="105"/>
  <c r="G26" i="105"/>
  <c r="I19" i="105"/>
  <c r="J19" i="105" s="1"/>
  <c r="L19" i="105" s="1"/>
  <c r="G19" i="105"/>
  <c r="J17" i="105"/>
  <c r="J23" i="105"/>
  <c r="L25" i="105" s="1"/>
  <c r="J21" i="105"/>
  <c r="L23" i="105" s="1"/>
  <c r="H11" i="102"/>
  <c r="H20" i="102"/>
  <c r="H22" i="100"/>
  <c r="H29" i="100"/>
  <c r="H14" i="100"/>
  <c r="H14" i="102"/>
  <c r="I23" i="104"/>
  <c r="G25" i="104"/>
  <c r="I20" i="104"/>
  <c r="G20" i="104"/>
  <c r="I17" i="104"/>
  <c r="G17" i="104"/>
  <c r="I24" i="104"/>
  <c r="G26" i="104"/>
  <c r="I21" i="104"/>
  <c r="G23" i="104"/>
  <c r="I22" i="104"/>
  <c r="G24" i="104"/>
  <c r="I19" i="104"/>
  <c r="G19" i="104"/>
  <c r="I18" i="104"/>
  <c r="G18" i="104"/>
  <c r="Q23" i="72"/>
  <c r="T4" i="72" s="1"/>
  <c r="M23" i="72"/>
  <c r="T3" i="72" s="1"/>
  <c r="N18" i="72"/>
  <c r="M18" i="72"/>
  <c r="R18" i="72"/>
  <c r="Q18" i="72"/>
  <c r="F25" i="72"/>
  <c r="E25" i="72"/>
  <c r="H12" i="102"/>
  <c r="H19" i="102"/>
  <c r="H18" i="102"/>
  <c r="H13" i="102"/>
  <c r="H17" i="102"/>
  <c r="T6" i="101"/>
  <c r="T5" i="101"/>
  <c r="H11" i="101"/>
  <c r="H13" i="101"/>
  <c r="H17" i="101"/>
  <c r="H14" i="101"/>
  <c r="H20" i="101"/>
  <c r="H18" i="101"/>
  <c r="H19" i="101"/>
  <c r="H12" i="101"/>
  <c r="T10" i="101"/>
  <c r="T8" i="101"/>
  <c r="T7" i="101"/>
  <c r="T9" i="101"/>
  <c r="H27" i="100"/>
  <c r="H26" i="100"/>
  <c r="H21" i="100"/>
  <c r="H20" i="100"/>
  <c r="H23" i="100"/>
  <c r="H16" i="100"/>
  <c r="H17" i="100"/>
  <c r="H15" i="100"/>
  <c r="H28" i="100"/>
  <c r="H15" i="97"/>
  <c r="H14" i="97"/>
  <c r="H17" i="97"/>
  <c r="H28" i="97"/>
  <c r="H20" i="97"/>
  <c r="H16" i="97"/>
  <c r="H22" i="97"/>
  <c r="H29" i="97"/>
  <c r="H26" i="97"/>
  <c r="H27" i="97"/>
  <c r="H23" i="97"/>
  <c r="T10" i="97"/>
  <c r="T7" i="97"/>
  <c r="T9" i="97"/>
  <c r="T8" i="97"/>
  <c r="H21" i="97"/>
  <c r="T5" i="92"/>
  <c r="H27" i="94"/>
  <c r="H32" i="87"/>
  <c r="I30" i="87" s="1"/>
  <c r="H40" i="87"/>
  <c r="H48" i="87"/>
  <c r="I42" i="87" s="1"/>
  <c r="H43" i="87"/>
  <c r="I39" i="87" s="1"/>
  <c r="H29" i="87"/>
  <c r="I29" i="87" s="1"/>
  <c r="H42" i="87"/>
  <c r="I38" i="87" s="1"/>
  <c r="H30" i="94"/>
  <c r="I30" i="94" s="1"/>
  <c r="H29" i="94"/>
  <c r="H31" i="94"/>
  <c r="H41" i="94"/>
  <c r="H38" i="94"/>
  <c r="H40" i="94"/>
  <c r="H36" i="94"/>
  <c r="H37" i="94"/>
  <c r="H39" i="94"/>
  <c r="H28" i="94"/>
  <c r="H32" i="94"/>
  <c r="Q31" i="87"/>
  <c r="N26" i="87"/>
  <c r="M26" i="87"/>
  <c r="R31" i="87"/>
  <c r="I36" i="87"/>
  <c r="I25" i="87"/>
  <c r="H27" i="87"/>
  <c r="I40" i="87"/>
  <c r="H50" i="87"/>
  <c r="I26" i="87"/>
  <c r="H41" i="87"/>
  <c r="H28" i="87"/>
  <c r="H39" i="87"/>
  <c r="H35" i="87"/>
  <c r="H49" i="87"/>
  <c r="H34" i="87"/>
  <c r="H36" i="87"/>
  <c r="H47" i="87"/>
  <c r="H33" i="87"/>
  <c r="H15" i="92"/>
  <c r="H22" i="92"/>
  <c r="I27" i="94"/>
  <c r="H26" i="94"/>
  <c r="G30" i="94" s="1"/>
  <c r="I29" i="94"/>
  <c r="H35" i="94"/>
  <c r="H19" i="93"/>
  <c r="H25" i="93"/>
  <c r="H20" i="93"/>
  <c r="H26" i="93"/>
  <c r="H28" i="93"/>
  <c r="H17" i="93"/>
  <c r="H18" i="93"/>
  <c r="H27" i="93"/>
  <c r="H14" i="92"/>
  <c r="H29" i="92"/>
  <c r="H21" i="92"/>
  <c r="H20" i="92"/>
  <c r="H17" i="92"/>
  <c r="H16" i="92"/>
  <c r="H23" i="92"/>
  <c r="H28" i="92"/>
  <c r="H27" i="92"/>
  <c r="T8" i="92"/>
  <c r="T7" i="92"/>
  <c r="H26" i="92"/>
  <c r="H35" i="86"/>
  <c r="H49" i="86"/>
  <c r="I43" i="86" s="1"/>
  <c r="H47" i="86"/>
  <c r="I41" i="86" s="1"/>
  <c r="H39" i="86"/>
  <c r="I35" i="86" s="1"/>
  <c r="H26" i="86"/>
  <c r="I26" i="86" s="1"/>
  <c r="H40" i="86"/>
  <c r="I36" i="86" s="1"/>
  <c r="H41" i="86"/>
  <c r="I33" i="86"/>
  <c r="H36" i="86"/>
  <c r="H43" i="86"/>
  <c r="H46" i="86"/>
  <c r="H48" i="86"/>
  <c r="H33" i="86"/>
  <c r="H25" i="86"/>
  <c r="H32" i="86"/>
  <c r="H50" i="86"/>
  <c r="H29" i="86"/>
  <c r="H27" i="86"/>
  <c r="H28" i="86"/>
  <c r="H34" i="86"/>
  <c r="H42" i="86"/>
  <c r="I11" i="78"/>
  <c r="H10" i="78"/>
  <c r="H27" i="85"/>
  <c r="I27" i="85" s="1"/>
  <c r="H38" i="85"/>
  <c r="I38" i="85" s="1"/>
  <c r="H30" i="85"/>
  <c r="I30" i="85" s="1"/>
  <c r="H24" i="85"/>
  <c r="I24" i="85" s="1"/>
  <c r="H37" i="85"/>
  <c r="I37" i="85" s="1"/>
  <c r="H23" i="85"/>
  <c r="I23" i="85" s="1"/>
  <c r="H29" i="85"/>
  <c r="I29" i="85" s="1"/>
  <c r="H35" i="85"/>
  <c r="I35" i="85" s="1"/>
  <c r="H34" i="85"/>
  <c r="I34" i="85" s="1"/>
  <c r="K34" i="85" s="1"/>
  <c r="I23" i="84"/>
  <c r="H35" i="84"/>
  <c r="I22" i="84"/>
  <c r="H34" i="84"/>
  <c r="C29" i="84"/>
  <c r="H29" i="84" s="1"/>
  <c r="I26" i="84"/>
  <c r="G28" i="84"/>
  <c r="G31" i="84"/>
  <c r="I29" i="84"/>
  <c r="D27" i="84"/>
  <c r="I25" i="84"/>
  <c r="H38" i="84"/>
  <c r="H37" i="84"/>
  <c r="I28" i="84"/>
  <c r="G30" i="84"/>
  <c r="H24" i="84"/>
  <c r="G36" i="84"/>
  <c r="I32" i="84"/>
  <c r="H20" i="84"/>
  <c r="H21" i="84"/>
  <c r="H15" i="79"/>
  <c r="H26" i="77"/>
  <c r="H20" i="77"/>
  <c r="H27" i="77"/>
  <c r="H25" i="79"/>
  <c r="H22" i="79"/>
  <c r="H17" i="79"/>
  <c r="H24" i="79"/>
  <c r="H23" i="79"/>
  <c r="H16" i="79"/>
  <c r="H26" i="79"/>
  <c r="H19" i="79"/>
  <c r="H18" i="79"/>
  <c r="H19" i="77"/>
  <c r="H17" i="77"/>
  <c r="H28" i="77"/>
  <c r="H18" i="77"/>
  <c r="H25" i="77"/>
  <c r="E26" i="72"/>
  <c r="F27" i="72"/>
  <c r="H23" i="74"/>
  <c r="I21" i="74" s="1"/>
  <c r="M23" i="74"/>
  <c r="Q18" i="74"/>
  <c r="H20" i="74"/>
  <c r="I20" i="74" s="1"/>
  <c r="H25" i="74"/>
  <c r="I23" i="74" s="1"/>
  <c r="N23" i="74"/>
  <c r="R23" i="74"/>
  <c r="M18" i="74"/>
  <c r="Q23" i="74"/>
  <c r="R31" i="74"/>
  <c r="H38" i="74"/>
  <c r="I32" i="74" s="1"/>
  <c r="H37" i="74"/>
  <c r="H35" i="74"/>
  <c r="H36" i="74"/>
  <c r="H32" i="74"/>
  <c r="I28" i="74" s="1"/>
  <c r="H17" i="74"/>
  <c r="H31" i="74"/>
  <c r="H18" i="74"/>
  <c r="I18" i="74" s="1"/>
  <c r="H30" i="74"/>
  <c r="H29" i="74"/>
  <c r="H24" i="74"/>
  <c r="H19" i="74"/>
  <c r="H26" i="74"/>
  <c r="I24" i="74" s="1"/>
  <c r="E18" i="72"/>
  <c r="F18" i="72"/>
  <c r="F19" i="72"/>
  <c r="F26" i="72"/>
  <c r="E19" i="72"/>
  <c r="E17" i="72"/>
  <c r="E20" i="72"/>
  <c r="F20" i="72"/>
  <c r="E27" i="72"/>
  <c r="R4" i="72"/>
  <c r="C20" i="72" s="1"/>
  <c r="Q3" i="72"/>
  <c r="D25" i="72" s="1"/>
  <c r="R3" i="72"/>
  <c r="C26" i="72" s="1"/>
  <c r="Q5" i="72"/>
  <c r="D27" i="72" s="1"/>
  <c r="R5" i="72"/>
  <c r="C28" i="72" s="1"/>
  <c r="H28" i="72" s="1"/>
  <c r="Q4" i="72"/>
  <c r="C19" i="72" s="1"/>
  <c r="Q2" i="72"/>
  <c r="C17" i="72" s="1"/>
  <c r="R2" i="72"/>
  <c r="D18" i="72" s="1"/>
  <c r="Q10" i="71"/>
  <c r="N10" i="71"/>
  <c r="F10" i="71"/>
  <c r="E14" i="71"/>
  <c r="F13" i="71"/>
  <c r="E10" i="71"/>
  <c r="F14" i="71"/>
  <c r="F9" i="71"/>
  <c r="R3" i="71"/>
  <c r="C14" i="71" s="1"/>
  <c r="Q3" i="71"/>
  <c r="D10" i="71" s="1"/>
  <c r="Q2" i="71"/>
  <c r="E9" i="71"/>
  <c r="R2" i="71"/>
  <c r="E13" i="71"/>
  <c r="X1" i="72"/>
  <c r="X4" i="72"/>
  <c r="X6" i="72"/>
  <c r="X2" i="72"/>
  <c r="X3" i="72"/>
  <c r="X5" i="72"/>
  <c r="X1" i="71"/>
  <c r="X4" i="71"/>
  <c r="X2" i="71"/>
  <c r="X3" i="71"/>
  <c r="H14" i="49"/>
  <c r="L9" i="64"/>
  <c r="G9" i="64"/>
  <c r="C9" i="64"/>
  <c r="D9" i="64"/>
  <c r="M9" i="64"/>
  <c r="Q9" i="64" s="1"/>
  <c r="N9" i="64"/>
  <c r="R9" i="64" s="1"/>
  <c r="O9" i="64"/>
  <c r="P9" i="64"/>
  <c r="C10" i="64"/>
  <c r="D10" i="64"/>
  <c r="G10" i="64"/>
  <c r="L10" i="64"/>
  <c r="G8" i="64"/>
  <c r="L8" i="64"/>
  <c r="D8" i="64"/>
  <c r="C8" i="64"/>
  <c r="L7" i="64"/>
  <c r="G7" i="64"/>
  <c r="D7" i="64"/>
  <c r="C7" i="64"/>
  <c r="L6" i="64"/>
  <c r="G6" i="64"/>
  <c r="D6" i="64"/>
  <c r="C6" i="64"/>
  <c r="L5" i="64"/>
  <c r="G5" i="64"/>
  <c r="D5" i="64"/>
  <c r="C5" i="64"/>
  <c r="L4" i="64"/>
  <c r="G4" i="64"/>
  <c r="D4" i="64"/>
  <c r="C4" i="64"/>
  <c r="L3" i="64"/>
  <c r="G3" i="64"/>
  <c r="D3" i="64"/>
  <c r="C3" i="64"/>
  <c r="L2" i="64"/>
  <c r="G2" i="64"/>
  <c r="D2" i="64"/>
  <c r="M8" i="64"/>
  <c r="Q8" i="64" s="1"/>
  <c r="N8" i="64"/>
  <c r="R8" i="64" s="1"/>
  <c r="O8" i="64"/>
  <c r="P8" i="64"/>
  <c r="M7" i="64"/>
  <c r="Q7" i="64" s="1"/>
  <c r="N7" i="64"/>
  <c r="R7" i="64" s="1"/>
  <c r="O7" i="64"/>
  <c r="P7" i="64"/>
  <c r="K17" i="64"/>
  <c r="K18" i="64"/>
  <c r="K19" i="64"/>
  <c r="P22" i="64"/>
  <c r="Q22" i="64" s="1"/>
  <c r="O22" i="64"/>
  <c r="M22" i="64"/>
  <c r="Q21" i="64"/>
  <c r="M21" i="64"/>
  <c r="K16" i="64"/>
  <c r="P15" i="64"/>
  <c r="R15" i="64" s="1"/>
  <c r="O15" i="64"/>
  <c r="N15" i="64" s="1"/>
  <c r="K15" i="64"/>
  <c r="K14" i="64"/>
  <c r="R10" i="64"/>
  <c r="Q10" i="64"/>
  <c r="P10" i="64"/>
  <c r="O10" i="64"/>
  <c r="N10" i="64"/>
  <c r="M10" i="64"/>
  <c r="P6" i="64"/>
  <c r="O6" i="64"/>
  <c r="N6" i="64"/>
  <c r="R6" i="64" s="1"/>
  <c r="M6" i="64"/>
  <c r="Q6" i="64" s="1"/>
  <c r="P5" i="64"/>
  <c r="O5" i="64"/>
  <c r="N5" i="64"/>
  <c r="R5" i="64" s="1"/>
  <c r="M5" i="64"/>
  <c r="Q5" i="64" s="1"/>
  <c r="P4" i="64"/>
  <c r="O4" i="64"/>
  <c r="N4" i="64"/>
  <c r="M4" i="64"/>
  <c r="Q4" i="64" s="1"/>
  <c r="P3" i="64"/>
  <c r="O3" i="64"/>
  <c r="N3" i="64"/>
  <c r="R3" i="64" s="1"/>
  <c r="M3" i="64"/>
  <c r="Q3" i="64" s="1"/>
  <c r="Q2" i="64"/>
  <c r="P2" i="64"/>
  <c r="O2" i="64"/>
  <c r="N2" i="64"/>
  <c r="R2" i="64" s="1"/>
  <c r="M2" i="64"/>
  <c r="C2" i="64"/>
  <c r="J35" i="57"/>
  <c r="J36" i="57"/>
  <c r="J37" i="57"/>
  <c r="J38" i="57"/>
  <c r="J34" i="57"/>
  <c r="K16" i="57"/>
  <c r="G16" i="57"/>
  <c r="D16" i="57"/>
  <c r="C16" i="57"/>
  <c r="K13" i="57"/>
  <c r="G13" i="57"/>
  <c r="D13" i="57"/>
  <c r="C13" i="57"/>
  <c r="K10" i="57"/>
  <c r="G10" i="57"/>
  <c r="D10" i="57"/>
  <c r="C10" i="57"/>
  <c r="K7" i="57"/>
  <c r="G7" i="57"/>
  <c r="D7" i="57"/>
  <c r="C7" i="57"/>
  <c r="K4" i="57"/>
  <c r="G4" i="57"/>
  <c r="D4" i="57"/>
  <c r="C4" i="57"/>
  <c r="L16" i="57"/>
  <c r="P16" i="57" s="1"/>
  <c r="M16" i="57"/>
  <c r="Q16" i="57" s="1"/>
  <c r="N16" i="57"/>
  <c r="O16" i="57"/>
  <c r="L13" i="57"/>
  <c r="P13" i="57" s="1"/>
  <c r="M13" i="57"/>
  <c r="Q13" i="57" s="1"/>
  <c r="N13" i="57"/>
  <c r="O13" i="57"/>
  <c r="L10" i="57"/>
  <c r="P10" i="57" s="1"/>
  <c r="M10" i="57"/>
  <c r="Q10" i="57" s="1"/>
  <c r="N10" i="57"/>
  <c r="O10" i="57"/>
  <c r="L7" i="57"/>
  <c r="P7" i="57" s="1"/>
  <c r="M7" i="57"/>
  <c r="Q7" i="57" s="1"/>
  <c r="N7" i="57"/>
  <c r="O7" i="57"/>
  <c r="L4" i="57"/>
  <c r="M4" i="57"/>
  <c r="N4" i="57"/>
  <c r="O4" i="57"/>
  <c r="J31" i="57"/>
  <c r="O39" i="57"/>
  <c r="P39" i="57" s="1"/>
  <c r="N39" i="57"/>
  <c r="L39" i="57" s="1"/>
  <c r="J30" i="57"/>
  <c r="J29" i="57"/>
  <c r="J28" i="57"/>
  <c r="J27" i="57"/>
  <c r="J24" i="57"/>
  <c r="J23" i="57"/>
  <c r="J22" i="57"/>
  <c r="O32" i="57"/>
  <c r="N32" i="57"/>
  <c r="J21" i="57"/>
  <c r="J20" i="57"/>
  <c r="O15" i="57"/>
  <c r="N15" i="57"/>
  <c r="M15" i="57"/>
  <c r="Q15" i="57" s="1"/>
  <c r="L15" i="57"/>
  <c r="P15" i="57" s="1"/>
  <c r="K15" i="57"/>
  <c r="G15" i="57"/>
  <c r="D15" i="57"/>
  <c r="C15" i="57"/>
  <c r="O14" i="57"/>
  <c r="N14" i="57"/>
  <c r="M14" i="57"/>
  <c r="Q14" i="57" s="1"/>
  <c r="L14" i="57"/>
  <c r="P14" i="57" s="1"/>
  <c r="K14" i="57"/>
  <c r="G14" i="57"/>
  <c r="D14" i="57"/>
  <c r="C14" i="57"/>
  <c r="O12" i="57"/>
  <c r="N12" i="57"/>
  <c r="M12" i="57"/>
  <c r="Q12" i="57" s="1"/>
  <c r="L12" i="57"/>
  <c r="P12" i="57" s="1"/>
  <c r="K12" i="57"/>
  <c r="G12" i="57"/>
  <c r="D12" i="57"/>
  <c r="C12" i="57"/>
  <c r="O11" i="57"/>
  <c r="N11" i="57"/>
  <c r="M11" i="57"/>
  <c r="Q11" i="57" s="1"/>
  <c r="L11" i="57"/>
  <c r="P11" i="57" s="1"/>
  <c r="K11" i="57"/>
  <c r="G11" i="57"/>
  <c r="D11" i="57"/>
  <c r="C11" i="57"/>
  <c r="O9" i="57"/>
  <c r="N9" i="57"/>
  <c r="M9" i="57"/>
  <c r="Q9" i="57" s="1"/>
  <c r="L9" i="57"/>
  <c r="P9" i="57" s="1"/>
  <c r="K9" i="57"/>
  <c r="G9" i="57"/>
  <c r="D9" i="57"/>
  <c r="C9" i="57"/>
  <c r="O8" i="57"/>
  <c r="N8" i="57"/>
  <c r="M8" i="57"/>
  <c r="Q8" i="57" s="1"/>
  <c r="L8" i="57"/>
  <c r="P8" i="57" s="1"/>
  <c r="K8" i="57"/>
  <c r="G8" i="57"/>
  <c r="D8" i="57"/>
  <c r="C8" i="57"/>
  <c r="O6" i="57"/>
  <c r="N6" i="57"/>
  <c r="M6" i="57"/>
  <c r="Q6" i="57" s="1"/>
  <c r="L6" i="57"/>
  <c r="P6" i="57" s="1"/>
  <c r="K6" i="57"/>
  <c r="G6" i="57"/>
  <c r="D6" i="57"/>
  <c r="C6" i="57"/>
  <c r="O5" i="57"/>
  <c r="N5" i="57"/>
  <c r="M5" i="57"/>
  <c r="Q5" i="57" s="1"/>
  <c r="L5" i="57"/>
  <c r="P5" i="57" s="1"/>
  <c r="K5" i="57"/>
  <c r="G5" i="57"/>
  <c r="D5" i="57"/>
  <c r="C5" i="57"/>
  <c r="O3" i="57"/>
  <c r="N3" i="57"/>
  <c r="M3" i="57"/>
  <c r="Q3" i="57" s="1"/>
  <c r="L3" i="57"/>
  <c r="P3" i="57" s="1"/>
  <c r="K3" i="57"/>
  <c r="G3" i="57"/>
  <c r="D3" i="57"/>
  <c r="C3" i="57"/>
  <c r="O2" i="57"/>
  <c r="N2" i="57"/>
  <c r="M2" i="57"/>
  <c r="Q2" i="57" s="1"/>
  <c r="L2" i="57"/>
  <c r="P2" i="57" s="1"/>
  <c r="K2" i="57"/>
  <c r="G2" i="57"/>
  <c r="D2" i="57"/>
  <c r="C2" i="57"/>
  <c r="R14" i="54"/>
  <c r="Q14" i="54"/>
  <c r="N14" i="54"/>
  <c r="M14" i="54"/>
  <c r="G26" i="54"/>
  <c r="G27" i="54"/>
  <c r="G28" i="54"/>
  <c r="G29" i="54"/>
  <c r="G23" i="54"/>
  <c r="G22" i="54"/>
  <c r="G21" i="54"/>
  <c r="G20" i="54"/>
  <c r="G15" i="54"/>
  <c r="G16" i="54"/>
  <c r="G17" i="54"/>
  <c r="G14" i="54"/>
  <c r="K25" i="54"/>
  <c r="K24" i="54"/>
  <c r="K23" i="54"/>
  <c r="Q22" i="54"/>
  <c r="P22" i="54"/>
  <c r="O22" i="54"/>
  <c r="M22" i="54" s="1"/>
  <c r="K22" i="54"/>
  <c r="K21" i="54"/>
  <c r="K20" i="54"/>
  <c r="K19" i="54"/>
  <c r="K18" i="54"/>
  <c r="K17" i="54"/>
  <c r="K16" i="54"/>
  <c r="P15" i="54"/>
  <c r="R15" i="54" s="1"/>
  <c r="O15" i="54"/>
  <c r="K15" i="54"/>
  <c r="K14" i="54"/>
  <c r="R10" i="54"/>
  <c r="P10" i="54"/>
  <c r="O10" i="54"/>
  <c r="N10" i="54"/>
  <c r="M10" i="54"/>
  <c r="Q10" i="54" s="1"/>
  <c r="P9" i="54"/>
  <c r="O9" i="54"/>
  <c r="N9" i="54"/>
  <c r="R9" i="54" s="1"/>
  <c r="M9" i="54"/>
  <c r="Q9" i="54" s="1"/>
  <c r="Q8" i="54"/>
  <c r="P8" i="54"/>
  <c r="O8" i="54"/>
  <c r="N8" i="54"/>
  <c r="R8" i="54" s="1"/>
  <c r="M8" i="54"/>
  <c r="R7" i="54"/>
  <c r="Q7" i="54"/>
  <c r="P7" i="54"/>
  <c r="O7" i="54"/>
  <c r="N7" i="54"/>
  <c r="M7" i="54"/>
  <c r="P6" i="54"/>
  <c r="O6" i="54"/>
  <c r="N6" i="54"/>
  <c r="R6" i="54" s="1"/>
  <c r="M6" i="54"/>
  <c r="Q6" i="54" s="1"/>
  <c r="Q5" i="54"/>
  <c r="P5" i="54"/>
  <c r="O5" i="54"/>
  <c r="N5" i="54"/>
  <c r="R5" i="54" s="1"/>
  <c r="M5" i="54"/>
  <c r="R4" i="54"/>
  <c r="Q4" i="54"/>
  <c r="P4" i="54"/>
  <c r="O4" i="54"/>
  <c r="N4" i="54"/>
  <c r="M4" i="54"/>
  <c r="P3" i="54"/>
  <c r="O3" i="54"/>
  <c r="N3" i="54"/>
  <c r="M3" i="54"/>
  <c r="Q3" i="54" s="1"/>
  <c r="Q2" i="54"/>
  <c r="P2" i="54"/>
  <c r="O2" i="54"/>
  <c r="N2" i="54"/>
  <c r="R2" i="54" s="1"/>
  <c r="M2" i="54"/>
  <c r="K30" i="48"/>
  <c r="K31" i="48"/>
  <c r="K32" i="48"/>
  <c r="K29" i="48"/>
  <c r="L13" i="48"/>
  <c r="G13" i="48"/>
  <c r="L9" i="48"/>
  <c r="G9" i="48"/>
  <c r="L5" i="48"/>
  <c r="G5" i="48"/>
  <c r="D13" i="48"/>
  <c r="D9" i="48"/>
  <c r="D5" i="48"/>
  <c r="C13" i="48"/>
  <c r="C9" i="48"/>
  <c r="C5" i="48"/>
  <c r="M13" i="48"/>
  <c r="N13" i="48"/>
  <c r="R13" i="48" s="1"/>
  <c r="O13" i="48"/>
  <c r="P13" i="48"/>
  <c r="M9" i="48"/>
  <c r="N9" i="48"/>
  <c r="R9" i="48" s="1"/>
  <c r="O9" i="48"/>
  <c r="P9" i="48"/>
  <c r="M5" i="48"/>
  <c r="N5" i="48"/>
  <c r="R5" i="48" s="1"/>
  <c r="O5" i="48"/>
  <c r="P5" i="48"/>
  <c r="C12" i="48"/>
  <c r="D12" i="48"/>
  <c r="G12" i="48"/>
  <c r="L12" i="48"/>
  <c r="M12" i="48"/>
  <c r="N12" i="48"/>
  <c r="R12" i="48" s="1"/>
  <c r="O12" i="48"/>
  <c r="P12" i="48"/>
  <c r="K28" i="48"/>
  <c r="K27" i="48"/>
  <c r="K26" i="48"/>
  <c r="P25" i="48"/>
  <c r="Q25" i="48" s="1"/>
  <c r="O25" i="48"/>
  <c r="M25" i="48" s="1"/>
  <c r="K25" i="48"/>
  <c r="K24" i="48"/>
  <c r="K23" i="48"/>
  <c r="K22" i="48"/>
  <c r="K21" i="48"/>
  <c r="K20" i="48"/>
  <c r="K19" i="48"/>
  <c r="P18" i="48"/>
  <c r="O18" i="48"/>
  <c r="K18" i="48"/>
  <c r="K17" i="48"/>
  <c r="P11" i="48"/>
  <c r="O11" i="48"/>
  <c r="N11" i="48"/>
  <c r="R11" i="48" s="1"/>
  <c r="M11" i="48"/>
  <c r="L11" i="48"/>
  <c r="G11" i="48"/>
  <c r="D11" i="48"/>
  <c r="C11" i="48"/>
  <c r="P10" i="48"/>
  <c r="O10" i="48"/>
  <c r="N10" i="48"/>
  <c r="R10" i="48" s="1"/>
  <c r="M10" i="48"/>
  <c r="L10" i="48"/>
  <c r="G10" i="48"/>
  <c r="D10" i="48"/>
  <c r="C10" i="48"/>
  <c r="P8" i="48"/>
  <c r="O8" i="48"/>
  <c r="N8" i="48"/>
  <c r="R8" i="48" s="1"/>
  <c r="M8" i="48"/>
  <c r="L8" i="48"/>
  <c r="G8" i="48"/>
  <c r="D8" i="48"/>
  <c r="C8" i="48"/>
  <c r="P7" i="48"/>
  <c r="O7" i="48"/>
  <c r="N7" i="48"/>
  <c r="R7" i="48" s="1"/>
  <c r="M7" i="48"/>
  <c r="L7" i="48"/>
  <c r="G7" i="48"/>
  <c r="D7" i="48"/>
  <c r="C7" i="48"/>
  <c r="P6" i="48"/>
  <c r="O6" i="48"/>
  <c r="N6" i="48"/>
  <c r="R6" i="48" s="1"/>
  <c r="M6" i="48"/>
  <c r="L6" i="48"/>
  <c r="G6" i="48"/>
  <c r="D6" i="48"/>
  <c r="C6" i="48"/>
  <c r="P4" i="48"/>
  <c r="O4" i="48"/>
  <c r="N4" i="48"/>
  <c r="R4" i="48" s="1"/>
  <c r="M4" i="48"/>
  <c r="L4" i="48"/>
  <c r="G4" i="48"/>
  <c r="D4" i="48"/>
  <c r="C4" i="48"/>
  <c r="P3" i="48"/>
  <c r="O3" i="48"/>
  <c r="N3" i="48"/>
  <c r="R3" i="48" s="1"/>
  <c r="M3" i="48"/>
  <c r="L3" i="48"/>
  <c r="G3" i="48"/>
  <c r="D3" i="48"/>
  <c r="C3" i="48"/>
  <c r="P2" i="48"/>
  <c r="O2" i="48"/>
  <c r="N2" i="48"/>
  <c r="M2" i="48"/>
  <c r="L2" i="48"/>
  <c r="G2" i="48"/>
  <c r="D2" i="48"/>
  <c r="C2" i="48"/>
  <c r="Q19" i="47"/>
  <c r="P19" i="47"/>
  <c r="O19" i="47"/>
  <c r="M19" i="47" s="1"/>
  <c r="K18" i="47"/>
  <c r="K17" i="47"/>
  <c r="K16" i="47"/>
  <c r="K15" i="47"/>
  <c r="K14" i="47"/>
  <c r="K13" i="47"/>
  <c r="P12" i="47"/>
  <c r="O12" i="47"/>
  <c r="K12" i="47"/>
  <c r="K11" i="47"/>
  <c r="P7" i="47"/>
  <c r="O7" i="47"/>
  <c r="N7" i="47"/>
  <c r="M7" i="47"/>
  <c r="L7" i="47"/>
  <c r="G7" i="47"/>
  <c r="D7" i="47"/>
  <c r="C7" i="47"/>
  <c r="P6" i="47"/>
  <c r="O6" i="47"/>
  <c r="N6" i="47"/>
  <c r="R6" i="47" s="1"/>
  <c r="M6" i="47"/>
  <c r="Q6" i="47" s="1"/>
  <c r="L6" i="47"/>
  <c r="G6" i="47"/>
  <c r="D6" i="47"/>
  <c r="C6" i="47"/>
  <c r="P5" i="47"/>
  <c r="F18" i="47" s="1"/>
  <c r="O5" i="47"/>
  <c r="N5" i="47"/>
  <c r="R5" i="47" s="1"/>
  <c r="M5" i="47"/>
  <c r="Q5" i="47" s="1"/>
  <c r="L5" i="47"/>
  <c r="G5" i="47"/>
  <c r="D5" i="47"/>
  <c r="C5" i="47"/>
  <c r="P4" i="47"/>
  <c r="O4" i="47"/>
  <c r="N4" i="47"/>
  <c r="R4" i="47" s="1"/>
  <c r="M4" i="47"/>
  <c r="Q4" i="47" s="1"/>
  <c r="L4" i="47"/>
  <c r="G4" i="47"/>
  <c r="D4" i="47"/>
  <c r="C4" i="47"/>
  <c r="P3" i="47"/>
  <c r="O3" i="47"/>
  <c r="N3" i="47"/>
  <c r="R3" i="47" s="1"/>
  <c r="M3" i="47"/>
  <c r="Q3" i="47" s="1"/>
  <c r="L3" i="47"/>
  <c r="G3" i="47"/>
  <c r="D3" i="47"/>
  <c r="C3" i="47"/>
  <c r="P2" i="47"/>
  <c r="O2" i="47"/>
  <c r="N2" i="47"/>
  <c r="M2" i="47"/>
  <c r="L2" i="47"/>
  <c r="G2" i="47"/>
  <c r="D2" i="47"/>
  <c r="C2" i="47"/>
  <c r="J24" i="45"/>
  <c r="P23" i="45"/>
  <c r="Q23" i="45" s="1"/>
  <c r="O23" i="45"/>
  <c r="M23" i="45" s="1"/>
  <c r="J23" i="45"/>
  <c r="J22" i="45"/>
  <c r="J21" i="45"/>
  <c r="J20" i="45"/>
  <c r="J19" i="45"/>
  <c r="J18" i="45"/>
  <c r="J17" i="45"/>
  <c r="P16" i="45"/>
  <c r="O16" i="45"/>
  <c r="J16" i="45"/>
  <c r="J15" i="45"/>
  <c r="P11" i="45"/>
  <c r="O11" i="45"/>
  <c r="N11" i="45"/>
  <c r="R11" i="45" s="1"/>
  <c r="M11" i="45"/>
  <c r="L11" i="45"/>
  <c r="G11" i="45"/>
  <c r="D11" i="45"/>
  <c r="C11" i="45"/>
  <c r="P10" i="45"/>
  <c r="O10" i="45"/>
  <c r="N10" i="45"/>
  <c r="R10" i="45" s="1"/>
  <c r="M10" i="45"/>
  <c r="L10" i="45"/>
  <c r="G10" i="45"/>
  <c r="D10" i="45"/>
  <c r="C10" i="45"/>
  <c r="P9" i="45"/>
  <c r="O9" i="45"/>
  <c r="F26" i="45" s="1"/>
  <c r="N9" i="45"/>
  <c r="R9" i="45" s="1"/>
  <c r="M9" i="45"/>
  <c r="L9" i="45"/>
  <c r="G9" i="45"/>
  <c r="D9" i="45"/>
  <c r="C9" i="45"/>
  <c r="P8" i="45"/>
  <c r="O8" i="45"/>
  <c r="F19" i="45" s="1"/>
  <c r="N8" i="45"/>
  <c r="R8" i="45" s="1"/>
  <c r="M8" i="45"/>
  <c r="L8" i="45"/>
  <c r="G8" i="45"/>
  <c r="D8" i="45"/>
  <c r="C8" i="45"/>
  <c r="P7" i="45"/>
  <c r="O7" i="45"/>
  <c r="F23" i="45" s="1"/>
  <c r="N7" i="45"/>
  <c r="R7" i="45" s="1"/>
  <c r="M7" i="45"/>
  <c r="L7" i="45"/>
  <c r="G7" i="45"/>
  <c r="D7" i="45"/>
  <c r="C7" i="45"/>
  <c r="P6" i="45"/>
  <c r="O6" i="45"/>
  <c r="F16" i="45" s="1"/>
  <c r="N6" i="45"/>
  <c r="R6" i="45" s="1"/>
  <c r="M6" i="45"/>
  <c r="L6" i="45"/>
  <c r="G6" i="45"/>
  <c r="D6" i="45"/>
  <c r="C6" i="45"/>
  <c r="P5" i="45"/>
  <c r="O5" i="45"/>
  <c r="N5" i="45"/>
  <c r="R5" i="45" s="1"/>
  <c r="M5" i="45"/>
  <c r="Q5" i="45" s="1"/>
  <c r="L5" i="45"/>
  <c r="G5" i="45"/>
  <c r="D5" i="45"/>
  <c r="C5" i="45"/>
  <c r="P4" i="45"/>
  <c r="O4" i="45"/>
  <c r="N4" i="45"/>
  <c r="R4" i="45" s="1"/>
  <c r="M4" i="45"/>
  <c r="Q4" i="45" s="1"/>
  <c r="L4" i="45"/>
  <c r="G4" i="45"/>
  <c r="D4" i="45"/>
  <c r="C4" i="45"/>
  <c r="P3" i="45"/>
  <c r="O3" i="45"/>
  <c r="N3" i="45"/>
  <c r="R3" i="45" s="1"/>
  <c r="M3" i="45"/>
  <c r="L3" i="45"/>
  <c r="G3" i="45"/>
  <c r="D3" i="45"/>
  <c r="C3" i="45"/>
  <c r="P2" i="45"/>
  <c r="O2" i="45"/>
  <c r="N2" i="45"/>
  <c r="M2" i="45"/>
  <c r="L2" i="45"/>
  <c r="G2" i="45"/>
  <c r="D2" i="45"/>
  <c r="C2" i="45"/>
  <c r="J28" i="129" l="1"/>
  <c r="L32" i="129" s="1"/>
  <c r="J21" i="128"/>
  <c r="L23" i="128" s="1"/>
  <c r="J15" i="130"/>
  <c r="J33" i="129"/>
  <c r="L41" i="129" s="1"/>
  <c r="J27" i="129"/>
  <c r="L31" i="129" s="1"/>
  <c r="J31" i="129"/>
  <c r="L39" i="129" s="1"/>
  <c r="J34" i="129"/>
  <c r="L42" i="129" s="1"/>
  <c r="J26" i="129"/>
  <c r="L26" i="129" s="1"/>
  <c r="J29" i="129"/>
  <c r="L33" i="129" s="1"/>
  <c r="J25" i="129"/>
  <c r="L25" i="129" s="1"/>
  <c r="J24" i="129"/>
  <c r="L24" i="129" s="1"/>
  <c r="J32" i="129"/>
  <c r="L40" i="129" s="1"/>
  <c r="J30" i="129"/>
  <c r="L34" i="129" s="1"/>
  <c r="J23" i="129"/>
  <c r="J38" i="129"/>
  <c r="J16" i="128"/>
  <c r="L16" i="128" s="1"/>
  <c r="J24" i="128"/>
  <c r="L26" i="128" s="1"/>
  <c r="J18" i="128"/>
  <c r="L18" i="128" s="1"/>
  <c r="J15" i="128"/>
  <c r="J19" i="128"/>
  <c r="L19" i="128" s="1"/>
  <c r="J20" i="128"/>
  <c r="L22" i="128" s="1"/>
  <c r="J23" i="128"/>
  <c r="L25" i="128" s="1"/>
  <c r="J17" i="128"/>
  <c r="L17" i="128" s="1"/>
  <c r="J22" i="128"/>
  <c r="L24" i="128" s="1"/>
  <c r="L15" i="130"/>
  <c r="J20" i="130"/>
  <c r="L22" i="130" s="1"/>
  <c r="J18" i="130"/>
  <c r="L18" i="130" s="1"/>
  <c r="J22" i="130"/>
  <c r="L24" i="130" s="1"/>
  <c r="J23" i="130"/>
  <c r="L25" i="130" s="1"/>
  <c r="J17" i="130"/>
  <c r="L17" i="130" s="1"/>
  <c r="J16" i="130"/>
  <c r="J21" i="130"/>
  <c r="L23" i="130" s="1"/>
  <c r="J24" i="130"/>
  <c r="L26" i="130" s="1"/>
  <c r="J19" i="130"/>
  <c r="L19" i="130" s="1"/>
  <c r="J17" i="127"/>
  <c r="J19" i="127"/>
  <c r="L19" i="127" s="1"/>
  <c r="J22" i="127"/>
  <c r="L24" i="127" s="1"/>
  <c r="J20" i="127"/>
  <c r="L20" i="127" s="1"/>
  <c r="J18" i="127"/>
  <c r="L18" i="127" s="1"/>
  <c r="J24" i="127"/>
  <c r="L26" i="127" s="1"/>
  <c r="J21" i="127"/>
  <c r="L23" i="127" s="1"/>
  <c r="J19" i="116"/>
  <c r="L21" i="116" s="1"/>
  <c r="J18" i="118"/>
  <c r="L20" i="118" s="1"/>
  <c r="J11" i="118"/>
  <c r="L11" i="118" s="1"/>
  <c r="J20" i="114"/>
  <c r="L20" i="114" s="1"/>
  <c r="J24" i="114"/>
  <c r="L28" i="114" s="1"/>
  <c r="J22" i="114"/>
  <c r="L26" i="114" s="1"/>
  <c r="J23" i="114"/>
  <c r="L27" i="114" s="1"/>
  <c r="J19" i="114"/>
  <c r="L19" i="114" s="1"/>
  <c r="J18" i="114"/>
  <c r="L18" i="114" s="1"/>
  <c r="J21" i="114"/>
  <c r="L25" i="114" s="1"/>
  <c r="J17" i="114"/>
  <c r="J16" i="116"/>
  <c r="L16" i="116" s="1"/>
  <c r="J24" i="116"/>
  <c r="L28" i="116" s="1"/>
  <c r="J23" i="116"/>
  <c r="L27" i="116" s="1"/>
  <c r="J25" i="116"/>
  <c r="L29" i="116" s="1"/>
  <c r="J18" i="116"/>
  <c r="L20" i="116" s="1"/>
  <c r="J17" i="116"/>
  <c r="L17" i="116" s="1"/>
  <c r="J15" i="116"/>
  <c r="L15" i="116" s="1"/>
  <c r="J22" i="116"/>
  <c r="L26" i="116" s="1"/>
  <c r="J20" i="116"/>
  <c r="L22" i="116" s="1"/>
  <c r="J14" i="116"/>
  <c r="J21" i="116"/>
  <c r="L23" i="116" s="1"/>
  <c r="J12" i="118"/>
  <c r="L12" i="118" s="1"/>
  <c r="J17" i="118"/>
  <c r="L19" i="118" s="1"/>
  <c r="J13" i="118"/>
  <c r="L13" i="118" s="1"/>
  <c r="J15" i="118"/>
  <c r="L17" i="118" s="1"/>
  <c r="J14" i="118"/>
  <c r="L14" i="118" s="1"/>
  <c r="J16" i="118"/>
  <c r="L18" i="118" s="1"/>
  <c r="J22" i="115"/>
  <c r="L26" i="115" s="1"/>
  <c r="J14" i="115"/>
  <c r="J15" i="115"/>
  <c r="L15" i="115" s="1"/>
  <c r="J18" i="115"/>
  <c r="L20" i="115" s="1"/>
  <c r="J20" i="115"/>
  <c r="L22" i="115" s="1"/>
  <c r="J16" i="115"/>
  <c r="L16" i="115" s="1"/>
  <c r="J21" i="115"/>
  <c r="L23" i="115" s="1"/>
  <c r="J24" i="115"/>
  <c r="L28" i="115" s="1"/>
  <c r="J23" i="115"/>
  <c r="L27" i="115" s="1"/>
  <c r="J17" i="115"/>
  <c r="L17" i="115" s="1"/>
  <c r="J19" i="115"/>
  <c r="L21" i="115" s="1"/>
  <c r="J22" i="110"/>
  <c r="L24" i="110" s="1"/>
  <c r="J21" i="110"/>
  <c r="L23" i="110" s="1"/>
  <c r="J17" i="110"/>
  <c r="L17" i="110" s="1"/>
  <c r="J16" i="110"/>
  <c r="L16" i="110" s="1"/>
  <c r="J15" i="110"/>
  <c r="J18" i="110"/>
  <c r="L18" i="110" s="1"/>
  <c r="J23" i="110"/>
  <c r="L25" i="110" s="1"/>
  <c r="J19" i="110"/>
  <c r="L19" i="110" s="1"/>
  <c r="J20" i="110"/>
  <c r="L22" i="110" s="1"/>
  <c r="J24" i="110"/>
  <c r="G46" i="87"/>
  <c r="I24" i="100"/>
  <c r="G28" i="100"/>
  <c r="I15" i="100"/>
  <c r="G15" i="100"/>
  <c r="I17" i="100"/>
  <c r="G17" i="100"/>
  <c r="I16" i="100"/>
  <c r="G16" i="100"/>
  <c r="I21" i="100"/>
  <c r="G23" i="100"/>
  <c r="I18" i="100"/>
  <c r="N27" i="100" s="1"/>
  <c r="G20" i="100"/>
  <c r="I19" i="100"/>
  <c r="G21" i="100"/>
  <c r="I22" i="100"/>
  <c r="G26" i="100"/>
  <c r="I23" i="100"/>
  <c r="G27" i="100"/>
  <c r="I14" i="100"/>
  <c r="G14" i="100"/>
  <c r="I25" i="100"/>
  <c r="G29" i="100"/>
  <c r="I20" i="100"/>
  <c r="J20" i="100" s="1"/>
  <c r="L22" i="100" s="1"/>
  <c r="G22" i="100"/>
  <c r="J18" i="103"/>
  <c r="L18" i="103" s="1"/>
  <c r="J23" i="103"/>
  <c r="L27" i="103" s="1"/>
  <c r="J20" i="103"/>
  <c r="L20" i="103" s="1"/>
  <c r="J17" i="103"/>
  <c r="J22" i="103"/>
  <c r="L26" i="103" s="1"/>
  <c r="J21" i="103"/>
  <c r="L25" i="103" s="1"/>
  <c r="J24" i="103"/>
  <c r="L28" i="103" s="1"/>
  <c r="L17" i="105"/>
  <c r="J24" i="105"/>
  <c r="L26" i="105" s="1"/>
  <c r="J20" i="105"/>
  <c r="L20" i="105" s="1"/>
  <c r="J18" i="105"/>
  <c r="J22" i="105"/>
  <c r="L24" i="105" s="1"/>
  <c r="I15" i="102"/>
  <c r="G17" i="102"/>
  <c r="I13" i="102"/>
  <c r="G13" i="102"/>
  <c r="I16" i="102"/>
  <c r="G18" i="102"/>
  <c r="I17" i="102"/>
  <c r="G19" i="102"/>
  <c r="I12" i="102"/>
  <c r="G12" i="102"/>
  <c r="I14" i="102"/>
  <c r="G14" i="102"/>
  <c r="I18" i="102"/>
  <c r="G20" i="102"/>
  <c r="I11" i="102"/>
  <c r="J11" i="102" s="1"/>
  <c r="G11" i="102"/>
  <c r="J18" i="104"/>
  <c r="L18" i="104" s="1"/>
  <c r="J21" i="104"/>
  <c r="L23" i="104" s="1"/>
  <c r="J24" i="104"/>
  <c r="L26" i="104" s="1"/>
  <c r="J17" i="104"/>
  <c r="J19" i="104"/>
  <c r="L19" i="104" s="1"/>
  <c r="J20" i="104"/>
  <c r="L20" i="104" s="1"/>
  <c r="J22" i="104"/>
  <c r="L24" i="104" s="1"/>
  <c r="J23" i="104"/>
  <c r="L25" i="104" s="1"/>
  <c r="T6" i="72"/>
  <c r="T5" i="72"/>
  <c r="I12" i="101"/>
  <c r="G12" i="101"/>
  <c r="I14" i="101"/>
  <c r="G14" i="101"/>
  <c r="I15" i="101"/>
  <c r="G17" i="101"/>
  <c r="I16" i="101"/>
  <c r="G18" i="101"/>
  <c r="I13" i="101"/>
  <c r="G13" i="101"/>
  <c r="I17" i="101"/>
  <c r="G19" i="101"/>
  <c r="I18" i="101"/>
  <c r="G20" i="101"/>
  <c r="I11" i="101"/>
  <c r="G11" i="101"/>
  <c r="F13" i="47"/>
  <c r="F19" i="47"/>
  <c r="I19" i="97"/>
  <c r="G21" i="97"/>
  <c r="I25" i="97"/>
  <c r="G29" i="97"/>
  <c r="I20" i="97"/>
  <c r="G22" i="97"/>
  <c r="I16" i="97"/>
  <c r="G16" i="97"/>
  <c r="I18" i="97"/>
  <c r="G20" i="97"/>
  <c r="I24" i="97"/>
  <c r="G28" i="97"/>
  <c r="I21" i="97"/>
  <c r="G23" i="97"/>
  <c r="I17" i="97"/>
  <c r="G17" i="97"/>
  <c r="I23" i="97"/>
  <c r="G27" i="97"/>
  <c r="I14" i="97"/>
  <c r="G14" i="97"/>
  <c r="I22" i="97"/>
  <c r="G26" i="97"/>
  <c r="I15" i="97"/>
  <c r="G15" i="97"/>
  <c r="F14" i="47"/>
  <c r="Q7" i="47"/>
  <c r="E20" i="47"/>
  <c r="E17" i="47"/>
  <c r="R7" i="47"/>
  <c r="E19" i="47"/>
  <c r="E18" i="47"/>
  <c r="F20" i="47"/>
  <c r="F17" i="47"/>
  <c r="E12" i="47"/>
  <c r="E11" i="47"/>
  <c r="R2" i="47"/>
  <c r="E14" i="47"/>
  <c r="E13" i="47"/>
  <c r="F12" i="47"/>
  <c r="F11" i="47"/>
  <c r="G43" i="87"/>
  <c r="G48" i="87"/>
  <c r="I38" i="94"/>
  <c r="G40" i="94"/>
  <c r="I39" i="94"/>
  <c r="G41" i="94"/>
  <c r="G29" i="94"/>
  <c r="I37" i="94"/>
  <c r="G39" i="94"/>
  <c r="G27" i="94"/>
  <c r="G38" i="94"/>
  <c r="I32" i="94"/>
  <c r="G32" i="94"/>
  <c r="I28" i="94"/>
  <c r="G28" i="94"/>
  <c r="I33" i="94"/>
  <c r="G35" i="94"/>
  <c r="I35" i="94"/>
  <c r="G37" i="94"/>
  <c r="I26" i="94"/>
  <c r="G26" i="94"/>
  <c r="I31" i="94"/>
  <c r="G31" i="94"/>
  <c r="I36" i="94"/>
  <c r="I34" i="94"/>
  <c r="G36" i="94"/>
  <c r="I22" i="93"/>
  <c r="G26" i="93"/>
  <c r="I18" i="93"/>
  <c r="G18" i="93"/>
  <c r="I17" i="93"/>
  <c r="G17" i="93"/>
  <c r="I24" i="93"/>
  <c r="G28" i="93"/>
  <c r="I20" i="93"/>
  <c r="G20" i="93"/>
  <c r="I23" i="93"/>
  <c r="G27" i="93"/>
  <c r="I21" i="93"/>
  <c r="G25" i="93"/>
  <c r="I19" i="93"/>
  <c r="G19" i="93"/>
  <c r="I27" i="87"/>
  <c r="G27" i="87"/>
  <c r="I41" i="87"/>
  <c r="J30" i="87" s="1"/>
  <c r="L32" i="87" s="1"/>
  <c r="G47" i="87"/>
  <c r="G29" i="87"/>
  <c r="G25" i="87"/>
  <c r="I33" i="87"/>
  <c r="G35" i="87"/>
  <c r="G32" i="87"/>
  <c r="I37" i="87"/>
  <c r="G41" i="87"/>
  <c r="I34" i="87"/>
  <c r="R38" i="87" s="1"/>
  <c r="G36" i="87"/>
  <c r="I35" i="87"/>
  <c r="G39" i="87"/>
  <c r="I28" i="87"/>
  <c r="G28" i="87"/>
  <c r="G42" i="87"/>
  <c r="I32" i="87"/>
  <c r="G34" i="87"/>
  <c r="G26" i="87"/>
  <c r="G40" i="87"/>
  <c r="I44" i="87"/>
  <c r="G50" i="87"/>
  <c r="I31" i="87"/>
  <c r="G33" i="87"/>
  <c r="I43" i="87"/>
  <c r="G49" i="87"/>
  <c r="I22" i="92"/>
  <c r="G26" i="92"/>
  <c r="I16" i="92"/>
  <c r="G16" i="92"/>
  <c r="I17" i="92"/>
  <c r="G17" i="92"/>
  <c r="I18" i="92"/>
  <c r="G20" i="92"/>
  <c r="I19" i="92"/>
  <c r="G21" i="92"/>
  <c r="I25" i="92"/>
  <c r="G29" i="92"/>
  <c r="I24" i="92"/>
  <c r="G28" i="92"/>
  <c r="I20" i="92"/>
  <c r="G22" i="92"/>
  <c r="I23" i="92"/>
  <c r="G27" i="92"/>
  <c r="I14" i="92"/>
  <c r="G14" i="92"/>
  <c r="I21" i="92"/>
  <c r="G23" i="92"/>
  <c r="I15" i="92"/>
  <c r="G15" i="92"/>
  <c r="F26" i="54"/>
  <c r="E20" i="54"/>
  <c r="F17" i="54"/>
  <c r="D27" i="54"/>
  <c r="D17" i="54"/>
  <c r="C21" i="54"/>
  <c r="E17" i="54"/>
  <c r="E16" i="54"/>
  <c r="E15" i="54"/>
  <c r="E14" i="54"/>
  <c r="E29" i="54"/>
  <c r="F29" i="54"/>
  <c r="F16" i="54"/>
  <c r="D28" i="54"/>
  <c r="D16" i="54"/>
  <c r="D21" i="54"/>
  <c r="F22" i="54"/>
  <c r="C16" i="54"/>
  <c r="E22" i="54"/>
  <c r="C27" i="54"/>
  <c r="E21" i="54"/>
  <c r="C14" i="54"/>
  <c r="E28" i="54"/>
  <c r="F28" i="54"/>
  <c r="F15" i="54"/>
  <c r="D29" i="54"/>
  <c r="D15" i="54"/>
  <c r="E26" i="54"/>
  <c r="F21" i="54"/>
  <c r="C17" i="54"/>
  <c r="F23" i="54"/>
  <c r="C15" i="54"/>
  <c r="F20" i="54"/>
  <c r="E27" i="54"/>
  <c r="F27" i="54"/>
  <c r="F14" i="54"/>
  <c r="D26" i="54"/>
  <c r="D14" i="54"/>
  <c r="C20" i="54"/>
  <c r="C29" i="54"/>
  <c r="E23" i="54"/>
  <c r="C28" i="54"/>
  <c r="D20" i="54"/>
  <c r="C26" i="54"/>
  <c r="G49" i="86"/>
  <c r="G35" i="86"/>
  <c r="G47" i="86"/>
  <c r="I34" i="86"/>
  <c r="G36" i="86"/>
  <c r="I39" i="86"/>
  <c r="G43" i="86"/>
  <c r="I27" i="86"/>
  <c r="G27" i="86"/>
  <c r="I29" i="86"/>
  <c r="G29" i="86"/>
  <c r="G26" i="86"/>
  <c r="I32" i="86"/>
  <c r="G34" i="86"/>
  <c r="I44" i="86"/>
  <c r="G50" i="86"/>
  <c r="I30" i="86"/>
  <c r="G32" i="86"/>
  <c r="I31" i="86"/>
  <c r="G33" i="86"/>
  <c r="I25" i="86"/>
  <c r="G25" i="86"/>
  <c r="I42" i="86"/>
  <c r="G48" i="86"/>
  <c r="I37" i="86"/>
  <c r="G41" i="86"/>
  <c r="I28" i="86"/>
  <c r="G28" i="86"/>
  <c r="I38" i="86"/>
  <c r="G42" i="86"/>
  <c r="G40" i="86"/>
  <c r="I40" i="86"/>
  <c r="G46" i="86"/>
  <c r="G39" i="86"/>
  <c r="I17" i="77"/>
  <c r="G17" i="77"/>
  <c r="I19" i="77"/>
  <c r="G19" i="77"/>
  <c r="I23" i="77"/>
  <c r="J23" i="77" s="1"/>
  <c r="G27" i="77"/>
  <c r="I20" i="77"/>
  <c r="J18" i="77" s="1"/>
  <c r="G20" i="77"/>
  <c r="I22" i="77"/>
  <c r="G26" i="77"/>
  <c r="I18" i="77"/>
  <c r="J22" i="77" s="1"/>
  <c r="G18" i="77"/>
  <c r="I24" i="77"/>
  <c r="G28" i="77"/>
  <c r="I21" i="77"/>
  <c r="G25" i="77"/>
  <c r="Q17" i="77" s="1"/>
  <c r="I10" i="78"/>
  <c r="G14" i="78"/>
  <c r="G9" i="78"/>
  <c r="G10" i="78"/>
  <c r="G13" i="78"/>
  <c r="K37" i="85"/>
  <c r="K24" i="85"/>
  <c r="K35" i="85"/>
  <c r="K30" i="85"/>
  <c r="K21" i="85"/>
  <c r="K29" i="85"/>
  <c r="K23" i="85"/>
  <c r="K27" i="85"/>
  <c r="K20" i="85"/>
  <c r="K22" i="85"/>
  <c r="K28" i="85"/>
  <c r="K38" i="85"/>
  <c r="K31" i="85"/>
  <c r="K36" i="85"/>
  <c r="I18" i="79"/>
  <c r="G18" i="79"/>
  <c r="I19" i="79"/>
  <c r="G19" i="79"/>
  <c r="I26" i="79"/>
  <c r="G26" i="79"/>
  <c r="I24" i="79"/>
  <c r="I15" i="79"/>
  <c r="G15" i="79"/>
  <c r="I23" i="79"/>
  <c r="G23" i="79"/>
  <c r="I17" i="79"/>
  <c r="G17" i="79"/>
  <c r="I22" i="79"/>
  <c r="G22" i="79"/>
  <c r="I16" i="79"/>
  <c r="G16" i="79"/>
  <c r="I25" i="79"/>
  <c r="G25" i="79"/>
  <c r="G24" i="84"/>
  <c r="I24" i="84"/>
  <c r="G37" i="84"/>
  <c r="I33" i="84"/>
  <c r="G21" i="84"/>
  <c r="I21" i="84"/>
  <c r="G38" i="84"/>
  <c r="I34" i="84"/>
  <c r="G29" i="84"/>
  <c r="I27" i="84"/>
  <c r="K25" i="84" s="1"/>
  <c r="G27" i="84"/>
  <c r="I30" i="84"/>
  <c r="G34" i="84"/>
  <c r="I20" i="84"/>
  <c r="G20" i="84"/>
  <c r="G22" i="84"/>
  <c r="I31" i="84"/>
  <c r="K31" i="84" s="1"/>
  <c r="G35" i="84"/>
  <c r="G23" i="84"/>
  <c r="F38" i="57"/>
  <c r="F36" i="57"/>
  <c r="F34" i="57"/>
  <c r="F30" i="57"/>
  <c r="F28" i="57"/>
  <c r="F24" i="57"/>
  <c r="E21" i="57"/>
  <c r="D21" i="57"/>
  <c r="F31" i="57"/>
  <c r="E22" i="57"/>
  <c r="E38" i="57"/>
  <c r="E36" i="57"/>
  <c r="E34" i="57"/>
  <c r="E30" i="57"/>
  <c r="E28" i="57"/>
  <c r="F23" i="57"/>
  <c r="E20" i="57"/>
  <c r="C21" i="57"/>
  <c r="D38" i="57"/>
  <c r="D30" i="57"/>
  <c r="D28" i="57"/>
  <c r="F22" i="57"/>
  <c r="D24" i="57"/>
  <c r="D20" i="57"/>
  <c r="C38" i="57"/>
  <c r="C30" i="57"/>
  <c r="C28" i="57"/>
  <c r="F21" i="57"/>
  <c r="C24" i="57"/>
  <c r="C20" i="57"/>
  <c r="F37" i="57"/>
  <c r="F29" i="57"/>
  <c r="F20" i="57"/>
  <c r="D23" i="57"/>
  <c r="E37" i="57"/>
  <c r="E35" i="57"/>
  <c r="E31" i="57"/>
  <c r="E29" i="57"/>
  <c r="E27" i="57"/>
  <c r="E24" i="57"/>
  <c r="C23" i="57"/>
  <c r="D31" i="57"/>
  <c r="D29" i="57"/>
  <c r="D27" i="57"/>
  <c r="C27" i="57"/>
  <c r="F35" i="57"/>
  <c r="D22" i="57"/>
  <c r="C31" i="57"/>
  <c r="C22" i="57"/>
  <c r="F27" i="57"/>
  <c r="E23" i="57"/>
  <c r="C29" i="57"/>
  <c r="Q7" i="45"/>
  <c r="E23" i="45"/>
  <c r="Q11" i="45"/>
  <c r="D24" i="45" s="1"/>
  <c r="E24" i="45"/>
  <c r="Q9" i="45"/>
  <c r="D26" i="45" s="1"/>
  <c r="E26" i="45"/>
  <c r="E22" i="45"/>
  <c r="E25" i="45"/>
  <c r="F22" i="45"/>
  <c r="F25" i="45"/>
  <c r="F24" i="45"/>
  <c r="F17" i="45"/>
  <c r="C24" i="45"/>
  <c r="Q6" i="45"/>
  <c r="E16" i="45"/>
  <c r="Q10" i="45"/>
  <c r="E17" i="45"/>
  <c r="E18" i="45"/>
  <c r="E15" i="45"/>
  <c r="Q8" i="45"/>
  <c r="E19" i="45"/>
  <c r="D23" i="45"/>
  <c r="C23" i="45"/>
  <c r="F18" i="45"/>
  <c r="F15" i="45"/>
  <c r="J21" i="77"/>
  <c r="J24" i="77"/>
  <c r="D20" i="72"/>
  <c r="C27" i="72"/>
  <c r="H27" i="72" s="1"/>
  <c r="H26" i="72"/>
  <c r="I22" i="72" s="1"/>
  <c r="G19" i="74"/>
  <c r="G17" i="74"/>
  <c r="G35" i="74"/>
  <c r="G24" i="74"/>
  <c r="G36" i="74"/>
  <c r="I30" i="74"/>
  <c r="I17" i="74"/>
  <c r="G37" i="74"/>
  <c r="I29" i="74"/>
  <c r="I31" i="74"/>
  <c r="G38" i="74"/>
  <c r="G30" i="74"/>
  <c r="G25" i="74"/>
  <c r="I19" i="74"/>
  <c r="G23" i="74"/>
  <c r="G20" i="74"/>
  <c r="G18" i="74"/>
  <c r="G32" i="74"/>
  <c r="G29" i="74"/>
  <c r="G31" i="74"/>
  <c r="I22" i="74"/>
  <c r="I26" i="74"/>
  <c r="G26" i="74"/>
  <c r="I25" i="74"/>
  <c r="I27" i="74"/>
  <c r="F19" i="48"/>
  <c r="F31" i="48"/>
  <c r="F20" i="48"/>
  <c r="F26" i="48"/>
  <c r="F25" i="48"/>
  <c r="E19" i="48"/>
  <c r="F37" i="48"/>
  <c r="Q9" i="48"/>
  <c r="E38" i="48"/>
  <c r="Q11" i="48"/>
  <c r="E25" i="48"/>
  <c r="F36" i="48"/>
  <c r="F35" i="48"/>
  <c r="F17" i="48"/>
  <c r="F18" i="48"/>
  <c r="F24" i="48"/>
  <c r="F23" i="48"/>
  <c r="F29" i="48"/>
  <c r="F30" i="48"/>
  <c r="Q12" i="48"/>
  <c r="E31" i="48"/>
  <c r="Q5" i="48"/>
  <c r="E36" i="48"/>
  <c r="E35" i="48"/>
  <c r="Q13" i="48"/>
  <c r="E37" i="48"/>
  <c r="E18" i="48"/>
  <c r="E17" i="48"/>
  <c r="E24" i="48"/>
  <c r="E23" i="48"/>
  <c r="Q4" i="48"/>
  <c r="E29" i="48"/>
  <c r="E30" i="48"/>
  <c r="Q6" i="48"/>
  <c r="C30" i="48" s="1"/>
  <c r="E20" i="48"/>
  <c r="Q7" i="48"/>
  <c r="D26" i="48" s="1"/>
  <c r="E26" i="48"/>
  <c r="Q8" i="48"/>
  <c r="C38" i="48" s="1"/>
  <c r="E32" i="48"/>
  <c r="F32" i="48"/>
  <c r="F38" i="48"/>
  <c r="D38" i="48"/>
  <c r="C26" i="48"/>
  <c r="D30" i="48"/>
  <c r="Q2" i="48"/>
  <c r="D36" i="48" s="1"/>
  <c r="C25" i="72"/>
  <c r="H25" i="72" s="1"/>
  <c r="I21" i="72" s="1"/>
  <c r="D26" i="72"/>
  <c r="I24" i="72"/>
  <c r="D28" i="72"/>
  <c r="D19" i="72"/>
  <c r="D17" i="72"/>
  <c r="C18" i="72"/>
  <c r="H18" i="72" s="1"/>
  <c r="H12" i="71"/>
  <c r="I12" i="71" s="1"/>
  <c r="T5" i="71"/>
  <c r="T6" i="71"/>
  <c r="C10" i="71"/>
  <c r="H10" i="71" s="1"/>
  <c r="D14" i="71"/>
  <c r="C13" i="71"/>
  <c r="H11" i="71" s="1"/>
  <c r="I11" i="71" s="1"/>
  <c r="D13" i="71"/>
  <c r="D9" i="71"/>
  <c r="C9" i="71"/>
  <c r="H9" i="71" s="1"/>
  <c r="I9" i="71" s="1"/>
  <c r="H17" i="72"/>
  <c r="H19" i="72"/>
  <c r="H20" i="72"/>
  <c r="D79" i="49"/>
  <c r="Q2" i="47"/>
  <c r="F17" i="64"/>
  <c r="F16" i="64"/>
  <c r="D17" i="64"/>
  <c r="C18" i="64"/>
  <c r="D18" i="64"/>
  <c r="F18" i="64"/>
  <c r="E16" i="64"/>
  <c r="F15" i="64"/>
  <c r="C17" i="64"/>
  <c r="E15" i="64"/>
  <c r="E17" i="64"/>
  <c r="E18" i="64"/>
  <c r="F19" i="64"/>
  <c r="R4" i="64"/>
  <c r="C19" i="64"/>
  <c r="D14" i="64"/>
  <c r="E14" i="64"/>
  <c r="F14" i="64"/>
  <c r="D19" i="64"/>
  <c r="E19" i="64"/>
  <c r="C14" i="64"/>
  <c r="X5" i="64"/>
  <c r="X6" i="64"/>
  <c r="X1" i="64"/>
  <c r="X4" i="64"/>
  <c r="X3" i="64"/>
  <c r="X2" i="64"/>
  <c r="T4" i="64"/>
  <c r="T3" i="64"/>
  <c r="M15" i="64"/>
  <c r="Q15" i="64"/>
  <c r="D112" i="49"/>
  <c r="L38" i="57"/>
  <c r="S3" i="57" s="1"/>
  <c r="P38" i="57"/>
  <c r="Q4" i="57"/>
  <c r="D35" i="57" s="1"/>
  <c r="P4" i="57"/>
  <c r="C37" i="57" s="1"/>
  <c r="Q15" i="54"/>
  <c r="T3" i="54"/>
  <c r="R3" i="54"/>
  <c r="D22" i="54" s="1"/>
  <c r="T3" i="48"/>
  <c r="R2" i="48"/>
  <c r="Q10" i="48"/>
  <c r="Q3" i="48"/>
  <c r="R2" i="45"/>
  <c r="M16" i="45"/>
  <c r="N16" i="45"/>
  <c r="Q2" i="45"/>
  <c r="Q3" i="45"/>
  <c r="T11" i="128" l="1" a="1"/>
  <c r="T11" i="128" s="1"/>
  <c r="T12" i="128" a="1"/>
  <c r="T12" i="128" s="1"/>
  <c r="T12" i="130" a="1"/>
  <c r="T12" i="130" s="1"/>
  <c r="T11" i="130" a="1"/>
  <c r="T11" i="130" s="1"/>
  <c r="R23" i="129" a="1"/>
  <c r="R23" i="129" s="1"/>
  <c r="Q29" i="129" s="1"/>
  <c r="T4" i="129" s="1"/>
  <c r="Q23" i="129" a="1"/>
  <c r="Q23" i="129" s="1"/>
  <c r="M29" i="129" s="1"/>
  <c r="T3" i="129" s="1"/>
  <c r="N23" i="129" a="1"/>
  <c r="N23" i="129" s="1"/>
  <c r="T6" i="129" s="1"/>
  <c r="M23" i="129" a="1"/>
  <c r="M23" i="129" s="1"/>
  <c r="T5" i="129" s="1"/>
  <c r="T14" i="129" a="1"/>
  <c r="T14" i="129" s="1"/>
  <c r="T13" i="129" a="1"/>
  <c r="T13" i="129" s="1"/>
  <c r="T9" i="129" a="1"/>
  <c r="T9" i="129" s="1"/>
  <c r="T8" i="129" a="1"/>
  <c r="T8" i="129" s="1"/>
  <c r="T7" i="129" a="1"/>
  <c r="T7" i="129" s="1"/>
  <c r="T12" i="129" a="1"/>
  <c r="T12" i="129" s="1"/>
  <c r="L23" i="129"/>
  <c r="Q15" i="128" a="1"/>
  <c r="Q15" i="128" s="1"/>
  <c r="T9" i="128" s="1"/>
  <c r="N20" i="128" a="1"/>
  <c r="N20" i="128" s="1"/>
  <c r="R26" i="128" s="1"/>
  <c r="R15" i="128" a="1"/>
  <c r="R15" i="128" s="1"/>
  <c r="T10" i="128" s="1"/>
  <c r="M15" i="128" a="1"/>
  <c r="M15" i="128" s="1"/>
  <c r="M26" i="128" s="1"/>
  <c r="Q20" i="128" a="1"/>
  <c r="Q20" i="128" s="1"/>
  <c r="T7" i="128" s="1"/>
  <c r="M20" i="128" a="1"/>
  <c r="M20" i="128" s="1"/>
  <c r="Q26" i="128" s="1"/>
  <c r="N15" i="128" a="1"/>
  <c r="N15" i="128" s="1"/>
  <c r="N26" i="128" s="1"/>
  <c r="L15" i="128"/>
  <c r="R20" i="128" a="1"/>
  <c r="R20" i="128" s="1"/>
  <c r="T8" i="128" s="1"/>
  <c r="L16" i="130"/>
  <c r="N20" i="130" a="1"/>
  <c r="N20" i="130" s="1"/>
  <c r="R26" i="130" s="1"/>
  <c r="Q15" i="130" a="1"/>
  <c r="Q15" i="130" s="1"/>
  <c r="M26" i="130" s="1"/>
  <c r="Q20" i="130" a="1"/>
  <c r="Q20" i="130" s="1"/>
  <c r="T9" i="130" s="1"/>
  <c r="R20" i="130" a="1"/>
  <c r="R20" i="130" s="1"/>
  <c r="T10" i="130" s="1"/>
  <c r="M20" i="130" a="1"/>
  <c r="M20" i="130" s="1"/>
  <c r="Q26" i="130" s="1"/>
  <c r="N15" i="130" a="1"/>
  <c r="N15" i="130" s="1"/>
  <c r="T8" i="130" s="1"/>
  <c r="R15" i="130" a="1"/>
  <c r="R15" i="130" s="1"/>
  <c r="N26" i="130" s="1"/>
  <c r="M15" i="130" a="1"/>
  <c r="M15" i="130" s="1"/>
  <c r="T7" i="130" s="1"/>
  <c r="Q17" i="127" a="1"/>
  <c r="Q17" i="127" s="1"/>
  <c r="Q21" i="127" a="1"/>
  <c r="Q21" i="127" s="1"/>
  <c r="M29" i="127" a="1"/>
  <c r="M29" i="127" s="1"/>
  <c r="L17" i="127"/>
  <c r="M25" i="127" a="1"/>
  <c r="M25" i="127" s="1"/>
  <c r="M17" i="127" a="1"/>
  <c r="M17" i="127" s="1"/>
  <c r="Q29" i="127" a="1"/>
  <c r="Q29" i="127" s="1"/>
  <c r="M21" i="127" a="1"/>
  <c r="M21" i="127" s="1"/>
  <c r="Q25" i="127" a="1"/>
  <c r="Q25" i="127" s="1"/>
  <c r="N17" i="114" a="1"/>
  <c r="N17" i="114" s="1"/>
  <c r="Q23" i="114" s="1"/>
  <c r="T4" i="114" s="1"/>
  <c r="M17" i="114" a="1"/>
  <c r="M17" i="114" s="1"/>
  <c r="M23" i="114" s="1"/>
  <c r="T3" i="114" s="1"/>
  <c r="R17" i="114" a="1"/>
  <c r="R17" i="114" s="1"/>
  <c r="T6" i="114" s="1"/>
  <c r="Q17" i="114" a="1"/>
  <c r="Q17" i="114" s="1"/>
  <c r="T5" i="114" s="1"/>
  <c r="T7" i="114" a="1"/>
  <c r="T7" i="114" s="1"/>
  <c r="T10" i="114" a="1"/>
  <c r="T10" i="114" s="1"/>
  <c r="T9" i="114" a="1"/>
  <c r="T9" i="114" s="1"/>
  <c r="T8" i="114" a="1"/>
  <c r="T8" i="114" s="1"/>
  <c r="L17" i="114"/>
  <c r="L14" i="116"/>
  <c r="R19" i="116" a="1"/>
  <c r="R19" i="116" s="1"/>
  <c r="R25" i="116" s="1"/>
  <c r="T13" i="116" a="1"/>
  <c r="T13" i="116" s="1"/>
  <c r="T12" i="116" a="1"/>
  <c r="T12" i="116" s="1"/>
  <c r="Q14" i="116" a="1"/>
  <c r="Q14" i="116" s="1"/>
  <c r="T9" i="116" s="1"/>
  <c r="T11" i="116" a="1"/>
  <c r="T11" i="116" s="1"/>
  <c r="R14" i="116" a="1"/>
  <c r="R14" i="116" s="1"/>
  <c r="T10" i="116" s="1"/>
  <c r="Q19" i="116" a="1"/>
  <c r="Q19" i="116" s="1"/>
  <c r="Q25" i="116" s="1"/>
  <c r="M14" i="116" a="1"/>
  <c r="M14" i="116" s="1"/>
  <c r="M25" i="116" s="1"/>
  <c r="N14" i="116" a="1"/>
  <c r="N14" i="116" s="1"/>
  <c r="N25" i="116" s="1"/>
  <c r="N19" i="116" a="1"/>
  <c r="N19" i="116" s="1"/>
  <c r="T8" i="116" s="1"/>
  <c r="T14" i="116" a="1"/>
  <c r="T14" i="116" s="1"/>
  <c r="M19" i="116" a="1"/>
  <c r="M19" i="116" s="1"/>
  <c r="T7" i="116" s="1"/>
  <c r="R11" i="118" a="1"/>
  <c r="R11" i="118" s="1"/>
  <c r="T10" i="118" s="1"/>
  <c r="Q11" i="118" a="1"/>
  <c r="Q11" i="118" s="1"/>
  <c r="T9" i="118" s="1"/>
  <c r="M11" i="118" a="1"/>
  <c r="M11" i="118" s="1"/>
  <c r="M22" i="118" s="1"/>
  <c r="Q16" i="118" a="1"/>
  <c r="Q16" i="118" s="1"/>
  <c r="Q22" i="118" s="1"/>
  <c r="R16" i="118" a="1"/>
  <c r="R16" i="118" s="1"/>
  <c r="R22" i="118" s="1"/>
  <c r="N11" i="118" a="1"/>
  <c r="N11" i="118" s="1"/>
  <c r="N22" i="118" s="1"/>
  <c r="N16" i="118" a="1"/>
  <c r="N16" i="118" s="1"/>
  <c r="T8" i="118" s="1"/>
  <c r="M16" i="118" a="1"/>
  <c r="M16" i="118" s="1"/>
  <c r="T7" i="118" s="1"/>
  <c r="L14" i="115"/>
  <c r="N14" i="115" a="1"/>
  <c r="N14" i="115" s="1"/>
  <c r="T8" i="115" s="1"/>
  <c r="M14" i="115" a="1"/>
  <c r="M14" i="115" s="1"/>
  <c r="T7" i="115" s="1"/>
  <c r="T12" i="115" a="1"/>
  <c r="T12" i="115" s="1"/>
  <c r="T13" i="115" a="1"/>
  <c r="T13" i="115" s="1"/>
  <c r="R19" i="115" a="1"/>
  <c r="R19" i="115" s="1"/>
  <c r="T10" i="115" s="1"/>
  <c r="Q14" i="115" a="1"/>
  <c r="Q14" i="115" s="1"/>
  <c r="M25" i="115" s="1"/>
  <c r="M27" i="115" s="1"/>
  <c r="R14" i="115" a="1"/>
  <c r="R14" i="115" s="1"/>
  <c r="N25" i="115" s="1"/>
  <c r="N27" i="115" s="1"/>
  <c r="T11" i="115" a="1"/>
  <c r="T11" i="115" s="1"/>
  <c r="T14" i="115" a="1"/>
  <c r="T14" i="115" s="1"/>
  <c r="M19" i="115" a="1"/>
  <c r="M19" i="115" s="1"/>
  <c r="Q25" i="115" s="1"/>
  <c r="L15" i="110"/>
  <c r="R15" i="110" a="1"/>
  <c r="R15" i="110" s="1"/>
  <c r="Q20" i="110" a="1"/>
  <c r="Q20" i="110" s="1"/>
  <c r="Q15" i="110" a="1"/>
  <c r="Q15" i="110" s="1"/>
  <c r="M20" i="110" a="1"/>
  <c r="M20" i="110" s="1"/>
  <c r="N15" i="110" a="1"/>
  <c r="N15" i="110" s="1"/>
  <c r="R20" i="110" a="1"/>
  <c r="R20" i="110" s="1"/>
  <c r="M15" i="110" a="1"/>
  <c r="M15" i="110" s="1"/>
  <c r="N20" i="110" a="1"/>
  <c r="N20" i="110" s="1"/>
  <c r="L26" i="110"/>
  <c r="J29" i="87"/>
  <c r="L29" i="87" s="1"/>
  <c r="J26" i="87"/>
  <c r="L26" i="87" s="1"/>
  <c r="J25" i="100"/>
  <c r="L29" i="100" s="1"/>
  <c r="J14" i="100"/>
  <c r="J23" i="100"/>
  <c r="L27" i="100" s="1"/>
  <c r="J22" i="100"/>
  <c r="L26" i="100" s="1"/>
  <c r="J19" i="100"/>
  <c r="L21" i="100" s="1"/>
  <c r="J18" i="100"/>
  <c r="L20" i="100" s="1"/>
  <c r="J21" i="100"/>
  <c r="L23" i="100" s="1"/>
  <c r="J16" i="100"/>
  <c r="L16" i="100" s="1"/>
  <c r="J17" i="100"/>
  <c r="L17" i="100" s="1"/>
  <c r="J15" i="100"/>
  <c r="L15" i="100" s="1"/>
  <c r="J24" i="100"/>
  <c r="L28" i="100" s="1"/>
  <c r="R17" i="103" a="1"/>
  <c r="R17" i="103" s="1"/>
  <c r="Q17" i="103" a="1"/>
  <c r="Q17" i="103" s="1"/>
  <c r="N17" i="103" a="1"/>
  <c r="N17" i="103" s="1"/>
  <c r="M17" i="103" a="1"/>
  <c r="M17" i="103" s="1"/>
  <c r="T7" i="103" a="1"/>
  <c r="T7" i="103" s="1"/>
  <c r="T10" i="103" a="1"/>
  <c r="T10" i="103" s="1"/>
  <c r="T9" i="103" a="1"/>
  <c r="T9" i="103" s="1"/>
  <c r="T8" i="103" a="1"/>
  <c r="T8" i="103" s="1"/>
  <c r="L17" i="103"/>
  <c r="L18" i="105"/>
  <c r="Q17" i="105" a="1"/>
  <c r="Q17" i="105" s="1"/>
  <c r="M29" i="105" a="1"/>
  <c r="M29" i="105" s="1"/>
  <c r="Q29" i="105" a="1"/>
  <c r="Q29" i="105" s="1"/>
  <c r="M17" i="105" a="1"/>
  <c r="M17" i="105" s="1"/>
  <c r="M21" i="105" a="1"/>
  <c r="M21" i="105" s="1"/>
  <c r="Q25" i="105" a="1"/>
  <c r="Q25" i="105" s="1"/>
  <c r="Q21" i="105" a="1"/>
  <c r="Q21" i="105" s="1"/>
  <c r="M25" i="105" a="1"/>
  <c r="M25" i="105" s="1"/>
  <c r="L11" i="102"/>
  <c r="J18" i="102"/>
  <c r="L20" i="102" s="1"/>
  <c r="J14" i="102"/>
  <c r="L14" i="102" s="1"/>
  <c r="J12" i="102"/>
  <c r="J17" i="102"/>
  <c r="L19" i="102" s="1"/>
  <c r="J16" i="102"/>
  <c r="L18" i="102" s="1"/>
  <c r="J13" i="102"/>
  <c r="L13" i="102" s="1"/>
  <c r="J15" i="102"/>
  <c r="L17" i="102" s="1"/>
  <c r="M25" i="104" a="1"/>
  <c r="M25" i="104" s="1"/>
  <c r="Q21" i="104" a="1"/>
  <c r="Q21" i="104" s="1"/>
  <c r="M38" i="104" s="1"/>
  <c r="Q17" i="104" a="1"/>
  <c r="Q17" i="104" s="1"/>
  <c r="M29" i="104" a="1"/>
  <c r="M29" i="104" s="1"/>
  <c r="Q34" i="104" s="1"/>
  <c r="M43" i="104" s="1"/>
  <c r="M21" i="104" a="1"/>
  <c r="M21" i="104" s="1"/>
  <c r="Q25" i="104" a="1"/>
  <c r="Q25" i="104" s="1"/>
  <c r="Q38" i="104" s="1"/>
  <c r="Q43" i="104" s="1"/>
  <c r="Q29" i="104" a="1"/>
  <c r="Q29" i="104" s="1"/>
  <c r="L17" i="104"/>
  <c r="M17" i="104" a="1"/>
  <c r="M17" i="104" s="1"/>
  <c r="J11" i="101"/>
  <c r="L11" i="101" s="1"/>
  <c r="J16" i="101"/>
  <c r="L18" i="101" s="1"/>
  <c r="J17" i="101"/>
  <c r="L19" i="101" s="1"/>
  <c r="J14" i="101"/>
  <c r="L14" i="101" s="1"/>
  <c r="J18" i="101"/>
  <c r="L20" i="101" s="1"/>
  <c r="J15" i="101"/>
  <c r="L17" i="101" s="1"/>
  <c r="J13" i="101"/>
  <c r="L13" i="101" s="1"/>
  <c r="J12" i="101"/>
  <c r="L12" i="101" s="1"/>
  <c r="J23" i="97"/>
  <c r="L27" i="97" s="1"/>
  <c r="J18" i="97"/>
  <c r="L20" i="97" s="1"/>
  <c r="J15" i="97"/>
  <c r="L15" i="97" s="1"/>
  <c r="J16" i="97"/>
  <c r="L16" i="97" s="1"/>
  <c r="J17" i="97"/>
  <c r="L17" i="97" s="1"/>
  <c r="J22" i="97"/>
  <c r="L26" i="97" s="1"/>
  <c r="J20" i="97"/>
  <c r="L22" i="97" s="1"/>
  <c r="J21" i="97"/>
  <c r="L23" i="97" s="1"/>
  <c r="J14" i="97"/>
  <c r="J25" i="97"/>
  <c r="L29" i="97" s="1"/>
  <c r="J24" i="97"/>
  <c r="L28" i="97" s="1"/>
  <c r="J19" i="97"/>
  <c r="L21" i="97" s="1"/>
  <c r="C19" i="47"/>
  <c r="H19" i="47" s="1"/>
  <c r="D19" i="47"/>
  <c r="D18" i="47"/>
  <c r="C18" i="47"/>
  <c r="H18" i="47" s="1"/>
  <c r="D20" i="47"/>
  <c r="D17" i="47"/>
  <c r="C20" i="47"/>
  <c r="H20" i="47" s="1"/>
  <c r="C17" i="47"/>
  <c r="H17" i="47" s="1"/>
  <c r="D14" i="47"/>
  <c r="C13" i="47"/>
  <c r="H13" i="47" s="1"/>
  <c r="D13" i="47"/>
  <c r="C14" i="47"/>
  <c r="H14" i="47" s="1"/>
  <c r="I14" i="47" s="1"/>
  <c r="D12" i="47"/>
  <c r="C11" i="47"/>
  <c r="H11" i="47" s="1"/>
  <c r="D11" i="47"/>
  <c r="C12" i="47"/>
  <c r="H12" i="47" s="1"/>
  <c r="I12" i="47" s="1"/>
  <c r="J35" i="94"/>
  <c r="L37" i="94" s="1"/>
  <c r="J36" i="94"/>
  <c r="L38" i="94" s="1"/>
  <c r="J19" i="93"/>
  <c r="L19" i="93" s="1"/>
  <c r="J24" i="93"/>
  <c r="L28" i="93" s="1"/>
  <c r="J32" i="87"/>
  <c r="L34" i="87" s="1"/>
  <c r="J33" i="87"/>
  <c r="L35" i="87" s="1"/>
  <c r="J31" i="94"/>
  <c r="L31" i="94" s="1"/>
  <c r="J28" i="94"/>
  <c r="L28" i="94" s="1"/>
  <c r="J30" i="94"/>
  <c r="L30" i="94" s="1"/>
  <c r="J26" i="94"/>
  <c r="J39" i="94"/>
  <c r="L41" i="94" s="1"/>
  <c r="J33" i="94"/>
  <c r="J27" i="94"/>
  <c r="L27" i="94" s="1"/>
  <c r="J29" i="94"/>
  <c r="L29" i="94" s="1"/>
  <c r="J32" i="94"/>
  <c r="L32" i="94" s="1"/>
  <c r="J37" i="94"/>
  <c r="L39" i="94" s="1"/>
  <c r="J34" i="94"/>
  <c r="L36" i="94" s="1"/>
  <c r="J38" i="94"/>
  <c r="L40" i="94" s="1"/>
  <c r="J17" i="93"/>
  <c r="J23" i="93"/>
  <c r="L27" i="93" s="1"/>
  <c r="J18" i="93"/>
  <c r="L18" i="93" s="1"/>
  <c r="J21" i="93"/>
  <c r="L25" i="93" s="1"/>
  <c r="J20" i="93"/>
  <c r="L20" i="93" s="1"/>
  <c r="J22" i="93"/>
  <c r="L26" i="93" s="1"/>
  <c r="J39" i="87"/>
  <c r="L43" i="87" s="1"/>
  <c r="J36" i="87"/>
  <c r="L40" i="87" s="1"/>
  <c r="J44" i="87"/>
  <c r="L50" i="87" s="1"/>
  <c r="J28" i="87"/>
  <c r="L28" i="87" s="1"/>
  <c r="J41" i="87"/>
  <c r="L47" i="87" s="1"/>
  <c r="J37" i="87"/>
  <c r="L41" i="87" s="1"/>
  <c r="J31" i="87"/>
  <c r="L33" i="87" s="1"/>
  <c r="J40" i="87"/>
  <c r="L46" i="87" s="1"/>
  <c r="J43" i="87"/>
  <c r="L49" i="87" s="1"/>
  <c r="J35" i="87"/>
  <c r="L39" i="87" s="1"/>
  <c r="J27" i="87"/>
  <c r="L27" i="87" s="1"/>
  <c r="J34" i="87"/>
  <c r="L36" i="87" s="1"/>
  <c r="J38" i="87"/>
  <c r="L42" i="87" s="1"/>
  <c r="J25" i="87"/>
  <c r="J42" i="87"/>
  <c r="L48" i="87" s="1"/>
  <c r="J23" i="92"/>
  <c r="L27" i="92" s="1"/>
  <c r="J19" i="92"/>
  <c r="L21" i="92" s="1"/>
  <c r="J15" i="92"/>
  <c r="L15" i="92" s="1"/>
  <c r="J18" i="92"/>
  <c r="L20" i="92" s="1"/>
  <c r="J20" i="92"/>
  <c r="L22" i="92" s="1"/>
  <c r="J21" i="92"/>
  <c r="L23" i="92" s="1"/>
  <c r="J17" i="92"/>
  <c r="L17" i="92" s="1"/>
  <c r="J24" i="92"/>
  <c r="L28" i="92" s="1"/>
  <c r="J14" i="92"/>
  <c r="J25" i="92"/>
  <c r="L29" i="92" s="1"/>
  <c r="J16" i="92"/>
  <c r="L16" i="92" s="1"/>
  <c r="J22" i="92"/>
  <c r="L26" i="92" s="1"/>
  <c r="D23" i="54"/>
  <c r="C23" i="54"/>
  <c r="H23" i="54" s="1"/>
  <c r="C22" i="54"/>
  <c r="H22" i="54" s="1"/>
  <c r="H14" i="54"/>
  <c r="I14" i="54" s="1"/>
  <c r="H28" i="54"/>
  <c r="I24" i="54" s="1"/>
  <c r="H29" i="54"/>
  <c r="I25" i="54" s="1"/>
  <c r="J36" i="86"/>
  <c r="L40" i="86" s="1"/>
  <c r="J38" i="86"/>
  <c r="L44" i="86" s="1"/>
  <c r="J25" i="86"/>
  <c r="J29" i="86"/>
  <c r="L31" i="86" s="1"/>
  <c r="J31" i="86"/>
  <c r="L33" i="86" s="1"/>
  <c r="J37" i="86"/>
  <c r="L43" i="86" s="1"/>
  <c r="J30" i="86"/>
  <c r="L32" i="86" s="1"/>
  <c r="J32" i="86"/>
  <c r="L34" i="86" s="1"/>
  <c r="J39" i="86"/>
  <c r="L45" i="86" s="1"/>
  <c r="J35" i="86"/>
  <c r="L39" i="86" s="1"/>
  <c r="J41" i="86"/>
  <c r="J40" i="86"/>
  <c r="L46" i="86" s="1"/>
  <c r="J26" i="86"/>
  <c r="L26" i="86" s="1"/>
  <c r="J43" i="86"/>
  <c r="J33" i="86"/>
  <c r="L37" i="86" s="1"/>
  <c r="J27" i="86"/>
  <c r="L27" i="86" s="1"/>
  <c r="J42" i="86"/>
  <c r="J34" i="86"/>
  <c r="L38" i="86" s="1"/>
  <c r="L25" i="86"/>
  <c r="J28" i="86"/>
  <c r="L28" i="86" s="1"/>
  <c r="J44" i="86"/>
  <c r="S4" i="57"/>
  <c r="J17" i="77"/>
  <c r="J20" i="77"/>
  <c r="J19" i="77"/>
  <c r="T10" i="77" s="1" a="1"/>
  <c r="T10" i="77" s="1"/>
  <c r="M17" i="77"/>
  <c r="J11" i="78"/>
  <c r="J10" i="78"/>
  <c r="J9" i="78"/>
  <c r="J12" i="78"/>
  <c r="K22" i="79"/>
  <c r="K15" i="79"/>
  <c r="K23" i="79"/>
  <c r="K25" i="79"/>
  <c r="K17" i="79"/>
  <c r="K19" i="79"/>
  <c r="K16" i="79"/>
  <c r="Q28" i="79"/>
  <c r="M28" i="79"/>
  <c r="K18" i="79"/>
  <c r="K26" i="79"/>
  <c r="L26" i="79"/>
  <c r="P28" i="79"/>
  <c r="K30" i="84"/>
  <c r="K20" i="84"/>
  <c r="K21" i="84"/>
  <c r="K26" i="84"/>
  <c r="K33" i="84"/>
  <c r="K22" i="84"/>
  <c r="K27" i="84"/>
  <c r="K32" i="84"/>
  <c r="K34" i="84"/>
  <c r="K24" i="84"/>
  <c r="K29" i="84"/>
  <c r="K28" i="84"/>
  <c r="K23" i="84"/>
  <c r="C34" i="57"/>
  <c r="H34" i="57" s="1"/>
  <c r="D34" i="57"/>
  <c r="D36" i="57"/>
  <c r="D37" i="57"/>
  <c r="C36" i="57"/>
  <c r="H36" i="57" s="1"/>
  <c r="C35" i="57"/>
  <c r="H35" i="57" s="1"/>
  <c r="C26" i="45"/>
  <c r="D22" i="45"/>
  <c r="D25" i="45"/>
  <c r="C25" i="45"/>
  <c r="C22" i="45"/>
  <c r="C19" i="45"/>
  <c r="D19" i="45"/>
  <c r="C16" i="45"/>
  <c r="H16" i="45" s="1"/>
  <c r="I16" i="45" s="1"/>
  <c r="C17" i="45"/>
  <c r="H17" i="45" s="1"/>
  <c r="D17" i="45"/>
  <c r="D16" i="45"/>
  <c r="C18" i="45"/>
  <c r="H18" i="45" s="1"/>
  <c r="D18" i="45"/>
  <c r="D15" i="45"/>
  <c r="C15" i="45"/>
  <c r="H15" i="45" s="1"/>
  <c r="T5" i="77" a="1"/>
  <c r="T5" i="77" s="1"/>
  <c r="T9" i="77" a="1"/>
  <c r="T9" i="77" s="1"/>
  <c r="T7" i="77" a="1"/>
  <c r="T7" i="77" s="1"/>
  <c r="T6" i="77" a="1"/>
  <c r="T6" i="77" s="1"/>
  <c r="J24" i="74"/>
  <c r="L26" i="74" s="1"/>
  <c r="J28" i="74"/>
  <c r="L32" i="74" s="1"/>
  <c r="J29" i="74"/>
  <c r="L35" i="74" s="1"/>
  <c r="J30" i="74"/>
  <c r="L36" i="74" s="1"/>
  <c r="J22" i="74"/>
  <c r="L24" i="74" s="1"/>
  <c r="J17" i="74"/>
  <c r="J23" i="74"/>
  <c r="L25" i="74" s="1"/>
  <c r="J20" i="74"/>
  <c r="L20" i="74" s="1"/>
  <c r="J27" i="74"/>
  <c r="L31" i="74" s="1"/>
  <c r="J32" i="74"/>
  <c r="L38" i="74" s="1"/>
  <c r="R30" i="74"/>
  <c r="R32" i="74" s="1"/>
  <c r="J25" i="74"/>
  <c r="L29" i="74" s="1"/>
  <c r="J19" i="74"/>
  <c r="L19" i="74" s="1"/>
  <c r="J21" i="74"/>
  <c r="L23" i="74" s="1"/>
  <c r="J26" i="74"/>
  <c r="L30" i="74" s="1"/>
  <c r="J31" i="74"/>
  <c r="L37" i="74" s="1"/>
  <c r="J18" i="74"/>
  <c r="L18" i="74" s="1"/>
  <c r="N31" i="74"/>
  <c r="N30" i="74" s="1"/>
  <c r="N32" i="74" s="1"/>
  <c r="Q31" i="74"/>
  <c r="Q30" i="74" s="1"/>
  <c r="Q32" i="74" s="1"/>
  <c r="C25" i="48"/>
  <c r="D37" i="48"/>
  <c r="C36" i="48"/>
  <c r="H36" i="48" s="1"/>
  <c r="C31" i="48"/>
  <c r="H31" i="48" s="1"/>
  <c r="C37" i="48"/>
  <c r="H37" i="48" s="1"/>
  <c r="D29" i="48"/>
  <c r="D25" i="48"/>
  <c r="D31" i="48"/>
  <c r="C29" i="48"/>
  <c r="H29" i="48" s="1"/>
  <c r="C32" i="48"/>
  <c r="H32" i="48" s="1"/>
  <c r="C35" i="48"/>
  <c r="H35" i="48" s="1"/>
  <c r="D32" i="48"/>
  <c r="D35" i="48"/>
  <c r="C23" i="48"/>
  <c r="H23" i="48" s="1"/>
  <c r="D24" i="48"/>
  <c r="D23" i="48"/>
  <c r="C24" i="48"/>
  <c r="H24" i="48" s="1"/>
  <c r="D20" i="48"/>
  <c r="C20" i="48"/>
  <c r="H20" i="48" s="1"/>
  <c r="D19" i="48"/>
  <c r="C19" i="48"/>
  <c r="H19" i="48" s="1"/>
  <c r="D17" i="48"/>
  <c r="C17" i="48"/>
  <c r="H17" i="48" s="1"/>
  <c r="D18" i="48"/>
  <c r="C18" i="48"/>
  <c r="H18" i="48" s="1"/>
  <c r="G17" i="72"/>
  <c r="I19" i="72"/>
  <c r="J19" i="72" s="1"/>
  <c r="G19" i="72"/>
  <c r="I23" i="72"/>
  <c r="G27" i="72"/>
  <c r="G26" i="72"/>
  <c r="I18" i="72"/>
  <c r="G18" i="72"/>
  <c r="G28" i="72"/>
  <c r="I20" i="72"/>
  <c r="J20" i="72" s="1"/>
  <c r="G20" i="72"/>
  <c r="G25" i="72"/>
  <c r="I17" i="72"/>
  <c r="J24" i="72" s="1"/>
  <c r="G13" i="71"/>
  <c r="G14" i="71"/>
  <c r="G10" i="71"/>
  <c r="G9" i="71"/>
  <c r="I10" i="71"/>
  <c r="H38" i="48"/>
  <c r="C16" i="64"/>
  <c r="H16" i="64" s="1"/>
  <c r="D15" i="64"/>
  <c r="C15" i="64"/>
  <c r="H15" i="64" s="1"/>
  <c r="D16" i="64"/>
  <c r="H18" i="64"/>
  <c r="H19" i="64"/>
  <c r="H17" i="64"/>
  <c r="H14" i="64"/>
  <c r="T6" i="64"/>
  <c r="T5" i="64"/>
  <c r="F101" i="49"/>
  <c r="H37" i="57"/>
  <c r="H38" i="57"/>
  <c r="H29" i="57"/>
  <c r="H24" i="57"/>
  <c r="H23" i="57"/>
  <c r="H31" i="57"/>
  <c r="H22" i="57"/>
  <c r="H27" i="57"/>
  <c r="H20" i="57"/>
  <c r="H30" i="57"/>
  <c r="H21" i="57"/>
  <c r="H28" i="57"/>
  <c r="H27" i="54"/>
  <c r="I23" i="54" s="1"/>
  <c r="H26" i="54"/>
  <c r="I22" i="54" s="1"/>
  <c r="H21" i="54"/>
  <c r="H15" i="54"/>
  <c r="H17" i="54"/>
  <c r="I17" i="54" s="1"/>
  <c r="H16" i="54"/>
  <c r="H20" i="54"/>
  <c r="F79" i="49"/>
  <c r="D4" i="49"/>
  <c r="D38" i="49"/>
  <c r="H30" i="48"/>
  <c r="H26" i="48"/>
  <c r="H25" i="48"/>
  <c r="H19" i="45"/>
  <c r="I19" i="45" s="1"/>
  <c r="H26" i="45"/>
  <c r="H24" i="45"/>
  <c r="H23" i="45"/>
  <c r="L17" i="74" l="1"/>
  <c r="R22" i="74" a="1"/>
  <c r="R22" i="74" s="1"/>
  <c r="R24" i="74" s="1"/>
  <c r="N17" i="74" a="1"/>
  <c r="N17" i="74" s="1"/>
  <c r="N19" i="74" s="1"/>
  <c r="Q22" i="74" a="1"/>
  <c r="Q22" i="74" s="1"/>
  <c r="Q24" i="74" s="1"/>
  <c r="M17" i="74" a="1"/>
  <c r="M17" i="74" s="1"/>
  <c r="M19" i="74" s="1"/>
  <c r="N22" i="74" a="1"/>
  <c r="N22" i="74" s="1"/>
  <c r="N24" i="74" s="1"/>
  <c r="M22" i="74" a="1"/>
  <c r="M22" i="74" s="1"/>
  <c r="M24" i="74" s="1"/>
  <c r="R17" i="74" a="1"/>
  <c r="R17" i="74" s="1"/>
  <c r="R19" i="74" s="1"/>
  <c r="Q17" i="74" a="1"/>
  <c r="Q17" i="74" s="1"/>
  <c r="Q19" i="74" s="1"/>
  <c r="G110" i="49"/>
  <c r="G116" i="49"/>
  <c r="G113" i="49"/>
  <c r="G112" i="49"/>
  <c r="G111" i="49"/>
  <c r="G117" i="49"/>
  <c r="G115" i="49"/>
  <c r="G114" i="49"/>
  <c r="G121" i="49"/>
  <c r="G120" i="49"/>
  <c r="N28" i="128"/>
  <c r="Q33" i="128"/>
  <c r="T4" i="128" s="1"/>
  <c r="Q28" i="128"/>
  <c r="T5" i="128"/>
  <c r="R28" i="128"/>
  <c r="T6" i="128"/>
  <c r="M28" i="128"/>
  <c r="M33" i="128"/>
  <c r="T3" i="128" s="1"/>
  <c r="Q28" i="130"/>
  <c r="M33" i="130"/>
  <c r="T4" i="130" s="1"/>
  <c r="M28" i="130"/>
  <c r="T5" i="130"/>
  <c r="N28" i="130"/>
  <c r="T6" i="130"/>
  <c r="R28" i="130"/>
  <c r="Q33" i="130"/>
  <c r="T3" i="130" s="1"/>
  <c r="N27" i="116"/>
  <c r="Q32" i="116"/>
  <c r="T3" i="116" s="1"/>
  <c r="R27" i="116"/>
  <c r="T6" i="116"/>
  <c r="M27" i="116"/>
  <c r="M32" i="116"/>
  <c r="T4" i="116" s="1"/>
  <c r="Q27" i="116"/>
  <c r="T5" i="116"/>
  <c r="N24" i="118"/>
  <c r="Q29" i="118"/>
  <c r="T3" i="118" s="1"/>
  <c r="R24" i="118"/>
  <c r="T6" i="118"/>
  <c r="Q24" i="118"/>
  <c r="T5" i="118"/>
  <c r="M24" i="118"/>
  <c r="M29" i="118"/>
  <c r="T4" i="118" s="1"/>
  <c r="M26" i="115"/>
  <c r="N26" i="115"/>
  <c r="Q27" i="115"/>
  <c r="M32" i="115"/>
  <c r="T3" i="115" s="1"/>
  <c r="L28" i="79"/>
  <c r="L33" i="79"/>
  <c r="S3" i="79" s="1"/>
  <c r="P27" i="79"/>
  <c r="Q27" i="79"/>
  <c r="L14" i="100"/>
  <c r="M14" i="100" a="1"/>
  <c r="M14" i="100" s="1"/>
  <c r="T7" i="100" s="1"/>
  <c r="T14" i="100" a="1"/>
  <c r="T14" i="100" s="1"/>
  <c r="T11" i="100" a="1"/>
  <c r="T11" i="100" s="1"/>
  <c r="Q19" i="100" a="1"/>
  <c r="Q19" i="100" s="1"/>
  <c r="Q25" i="100" s="1"/>
  <c r="R19" i="100" a="1"/>
  <c r="R19" i="100" s="1"/>
  <c r="R25" i="100" s="1"/>
  <c r="T13" i="100" a="1"/>
  <c r="T13" i="100" s="1"/>
  <c r="Q14" i="100" a="1"/>
  <c r="Q14" i="100" s="1"/>
  <c r="M25" i="100" s="1"/>
  <c r="M27" i="100" s="1"/>
  <c r="M19" i="100" a="1"/>
  <c r="M19" i="100" s="1"/>
  <c r="T9" i="100" s="1"/>
  <c r="T12" i="100" a="1"/>
  <c r="T12" i="100" s="1"/>
  <c r="N14" i="100" a="1"/>
  <c r="N14" i="100" s="1"/>
  <c r="T8" i="100" s="1"/>
  <c r="N19" i="100" a="1"/>
  <c r="N19" i="100" s="1"/>
  <c r="T10" i="100" s="1"/>
  <c r="L12" i="102"/>
  <c r="R16" i="102" a="1"/>
  <c r="R16" i="102" s="1"/>
  <c r="R22" i="102" s="1"/>
  <c r="R24" i="102" s="1"/>
  <c r="M11" i="102" a="1"/>
  <c r="M11" i="102" s="1"/>
  <c r="M22" i="102" s="1"/>
  <c r="M24" i="102" s="1"/>
  <c r="N11" i="102" a="1"/>
  <c r="N11" i="102" s="1"/>
  <c r="N22" i="102" s="1"/>
  <c r="N24" i="102" s="1"/>
  <c r="M16" i="102" a="1"/>
  <c r="M16" i="102" s="1"/>
  <c r="T7" i="102" s="1"/>
  <c r="R11" i="102" a="1"/>
  <c r="R11" i="102" s="1"/>
  <c r="T10" i="102" s="1"/>
  <c r="Q16" i="102" a="1"/>
  <c r="Q16" i="102" s="1"/>
  <c r="Q22" i="102" s="1"/>
  <c r="Q24" i="102" s="1"/>
  <c r="Q11" i="102" a="1"/>
  <c r="Q11" i="102" s="1"/>
  <c r="T9" i="102" s="1"/>
  <c r="N16" i="102" a="1"/>
  <c r="N16" i="102" s="1"/>
  <c r="T8" i="102" s="1"/>
  <c r="M34" i="104"/>
  <c r="M48" i="104" s="1"/>
  <c r="J17" i="72"/>
  <c r="J21" i="72"/>
  <c r="J18" i="72"/>
  <c r="J23" i="72"/>
  <c r="J22" i="72"/>
  <c r="L26" i="72" s="1"/>
  <c r="L18" i="72"/>
  <c r="Q16" i="101" a="1"/>
  <c r="Q16" i="101" s="1"/>
  <c r="N11" i="101" a="1"/>
  <c r="N11" i="101" s="1"/>
  <c r="M11" i="101" a="1"/>
  <c r="M11" i="101" s="1"/>
  <c r="R11" i="101" a="1"/>
  <c r="R11" i="101" s="1"/>
  <c r="N19" i="97" a="1"/>
  <c r="N19" i="97" s="1"/>
  <c r="N14" i="97" a="1"/>
  <c r="N14" i="97" s="1"/>
  <c r="M19" i="97" a="1"/>
  <c r="M19" i="97" s="1"/>
  <c r="L14" i="97"/>
  <c r="Q19" i="97" a="1"/>
  <c r="Q19" i="97" s="1"/>
  <c r="R19" i="97" a="1"/>
  <c r="R19" i="97" s="1"/>
  <c r="T13" i="97" a="1"/>
  <c r="T13" i="97" s="1"/>
  <c r="N27" i="97"/>
  <c r="R14" i="97" a="1"/>
  <c r="R14" i="97" s="1"/>
  <c r="Q14" i="97" a="1"/>
  <c r="Q14" i="97" s="1"/>
  <c r="T12" i="97" a="1"/>
  <c r="T12" i="97" s="1"/>
  <c r="Q27" i="97"/>
  <c r="M27" i="97"/>
  <c r="T14" i="97" a="1"/>
  <c r="T14" i="97" s="1"/>
  <c r="T11" i="97" a="1"/>
  <c r="T11" i="97" s="1"/>
  <c r="R27" i="97"/>
  <c r="G14" i="47"/>
  <c r="G13" i="47"/>
  <c r="R17" i="93" a="1"/>
  <c r="R17" i="93" s="1"/>
  <c r="N28" i="93" s="1"/>
  <c r="U16" i="94" a="1"/>
  <c r="U16" i="94" s="1"/>
  <c r="U8" i="94" a="1"/>
  <c r="U8" i="94" s="1"/>
  <c r="U13" i="94" a="1"/>
  <c r="U13" i="94" s="1"/>
  <c r="U12" i="94" a="1"/>
  <c r="U12" i="94" s="1"/>
  <c r="U15" i="94" a="1"/>
  <c r="U15" i="94" s="1"/>
  <c r="U7" i="94" a="1"/>
  <c r="U7" i="94" s="1"/>
  <c r="U10" i="94" a="1"/>
  <c r="U10" i="94" s="1"/>
  <c r="U9" i="94" a="1"/>
  <c r="U9" i="94" s="1"/>
  <c r="U14" i="94" a="1"/>
  <c r="U14" i="94" s="1"/>
  <c r="U11" i="94" a="1"/>
  <c r="U11" i="94" s="1"/>
  <c r="N26" i="94" a="1"/>
  <c r="N26" i="94" s="1"/>
  <c r="M26" i="94" a="1"/>
  <c r="M26" i="94" s="1"/>
  <c r="L26" i="94"/>
  <c r="L35" i="94"/>
  <c r="M17" i="93" a="1"/>
  <c r="M17" i="93" s="1"/>
  <c r="T7" i="93" s="1"/>
  <c r="L17" i="93"/>
  <c r="Q22" i="93" a="1"/>
  <c r="Q22" i="93" s="1"/>
  <c r="T9" i="93" s="1"/>
  <c r="N22" i="93" a="1"/>
  <c r="N22" i="93" s="1"/>
  <c r="R28" i="93" s="1"/>
  <c r="M22" i="93" a="1"/>
  <c r="M22" i="93" s="1"/>
  <c r="Q28" i="93" s="1"/>
  <c r="Q17" i="93" a="1"/>
  <c r="Q17" i="93" s="1"/>
  <c r="M28" i="93" s="1"/>
  <c r="N17" i="93" a="1"/>
  <c r="N17" i="93" s="1"/>
  <c r="T8" i="93" s="1"/>
  <c r="R22" i="93" a="1"/>
  <c r="R22" i="93" s="1"/>
  <c r="T10" i="93" s="1"/>
  <c r="T22" i="87" a="1"/>
  <c r="T22" i="87" s="1"/>
  <c r="T18" i="87" a="1"/>
  <c r="T18" i="87" s="1"/>
  <c r="T21" i="87" a="1"/>
  <c r="T21" i="87" s="1"/>
  <c r="T17" i="87" a="1"/>
  <c r="T17" i="87" s="1"/>
  <c r="T13" i="87" a="1"/>
  <c r="T13" i="87" s="1"/>
  <c r="T14" i="87" a="1"/>
  <c r="T14" i="87" s="1"/>
  <c r="T12" i="87" a="1"/>
  <c r="T12" i="87" s="1"/>
  <c r="T15" i="87" a="1"/>
  <c r="T15" i="87" s="1"/>
  <c r="T20" i="87" a="1"/>
  <c r="T20" i="87" s="1"/>
  <c r="T16" i="87" a="1"/>
  <c r="T16" i="87" s="1"/>
  <c r="T19" i="87" a="1"/>
  <c r="T19" i="87" s="1"/>
  <c r="Q30" i="87" a="1"/>
  <c r="Q30" i="87" s="1"/>
  <c r="N25" i="87" a="1"/>
  <c r="N25" i="87" s="1"/>
  <c r="M25" i="87" a="1"/>
  <c r="M25" i="87" s="1"/>
  <c r="N30" i="87" a="1"/>
  <c r="N30" i="87" s="1"/>
  <c r="Q27" i="87"/>
  <c r="R32" i="87"/>
  <c r="M30" i="87" a="1"/>
  <c r="M30" i="87" s="1"/>
  <c r="M32" i="87" s="1"/>
  <c r="R27" i="87"/>
  <c r="L25" i="87"/>
  <c r="T14" i="92" a="1"/>
  <c r="T14" i="92" s="1"/>
  <c r="T13" i="92" a="1"/>
  <c r="T13" i="92" s="1"/>
  <c r="T12" i="92" a="1"/>
  <c r="T12" i="92" s="1"/>
  <c r="T11" i="92" a="1"/>
  <c r="T11" i="92" s="1"/>
  <c r="L14" i="92"/>
  <c r="R14" i="92" a="1"/>
  <c r="R14" i="92" s="1"/>
  <c r="T10" i="92" s="1"/>
  <c r="N14" i="92" a="1"/>
  <c r="N14" i="92" s="1"/>
  <c r="M19" i="92" a="1"/>
  <c r="M19" i="92" s="1"/>
  <c r="Q27" i="92" s="1"/>
  <c r="M14" i="92" a="1"/>
  <c r="M14" i="92" s="1"/>
  <c r="Q19" i="92" a="1"/>
  <c r="Q19" i="92" s="1"/>
  <c r="Q14" i="92" a="1"/>
  <c r="Q14" i="92" s="1"/>
  <c r="T9" i="92" s="1"/>
  <c r="N19" i="92" a="1"/>
  <c r="N19" i="92" s="1"/>
  <c r="R27" i="92" s="1"/>
  <c r="R19" i="92" a="1"/>
  <c r="R19" i="92" s="1"/>
  <c r="I11" i="47"/>
  <c r="T21" i="86" a="1"/>
  <c r="T21" i="86" s="1"/>
  <c r="Q30" i="86" a="1"/>
  <c r="Q30" i="86" s="1"/>
  <c r="Q32" i="86" s="1"/>
  <c r="T11" i="86" a="1"/>
  <c r="T11" i="86" s="1"/>
  <c r="T16" i="86" a="1"/>
  <c r="T16" i="86" s="1"/>
  <c r="R30" i="86" a="1"/>
  <c r="R30" i="86" s="1"/>
  <c r="R32" i="86" s="1"/>
  <c r="N30" i="86" a="1"/>
  <c r="N30" i="86" s="1"/>
  <c r="T20" i="86" a="1"/>
  <c r="T20" i="86" s="1"/>
  <c r="M25" i="86" a="1"/>
  <c r="M25" i="86" s="1"/>
  <c r="R25" i="86" a="1"/>
  <c r="R25" i="86" s="1"/>
  <c r="T22" i="86" a="1"/>
  <c r="T22" i="86" s="1"/>
  <c r="T12" i="86" a="1"/>
  <c r="T12" i="86" s="1"/>
  <c r="T15" i="86" a="1"/>
  <c r="T15" i="86" s="1"/>
  <c r="Q25" i="86" a="1"/>
  <c r="Q25" i="86" s="1"/>
  <c r="T18" i="86" a="1"/>
  <c r="T18" i="86" s="1"/>
  <c r="T14" i="86" a="1"/>
  <c r="T14" i="86" s="1"/>
  <c r="N25" i="86" a="1"/>
  <c r="N25" i="86" s="1"/>
  <c r="T13" i="86" a="1"/>
  <c r="T13" i="86" s="1"/>
  <c r="M30" i="86" a="1"/>
  <c r="M30" i="86" s="1"/>
  <c r="M32" i="86" s="1"/>
  <c r="T17" i="86" a="1"/>
  <c r="T17" i="86" s="1"/>
  <c r="T19" i="86" a="1"/>
  <c r="T19" i="86" s="1"/>
  <c r="T8" i="77" a="1"/>
  <c r="T8" i="77" s="1"/>
  <c r="L15" i="79" a="1"/>
  <c r="L15" i="79" s="1"/>
  <c r="S11" i="79" a="1"/>
  <c r="S11" i="79" s="1"/>
  <c r="S12" i="79" a="1"/>
  <c r="S12" i="79" s="1"/>
  <c r="G23" i="57"/>
  <c r="G31" i="57"/>
  <c r="I34" i="57"/>
  <c r="G34" i="57"/>
  <c r="G22" i="57"/>
  <c r="G24" i="57"/>
  <c r="G30" i="57"/>
  <c r="G35" i="57"/>
  <c r="G28" i="57"/>
  <c r="G21" i="57"/>
  <c r="I20" i="57"/>
  <c r="G20" i="57"/>
  <c r="G36" i="57"/>
  <c r="G29" i="57"/>
  <c r="G38" i="57"/>
  <c r="G37" i="57"/>
  <c r="G27" i="57"/>
  <c r="M20" i="84"/>
  <c r="M22" i="84" s="1"/>
  <c r="S17" i="84" a="1"/>
  <c r="S17" i="84" s="1"/>
  <c r="S14" i="84" a="1"/>
  <c r="S14" i="84" s="1"/>
  <c r="L20" i="84"/>
  <c r="Q20" i="84"/>
  <c r="Q22" i="84" s="1"/>
  <c r="S15" i="84" a="1"/>
  <c r="S15" i="84" s="1"/>
  <c r="S13" i="84" a="1"/>
  <c r="S13" i="84" s="1"/>
  <c r="S11" i="84" a="1"/>
  <c r="S11" i="84" s="1"/>
  <c r="S12" i="84" a="1"/>
  <c r="S12" i="84" s="1"/>
  <c r="P20" i="84"/>
  <c r="P22" i="84" s="1"/>
  <c r="S16" i="84" a="1"/>
  <c r="S16" i="84" s="1"/>
  <c r="I28" i="57"/>
  <c r="I27" i="57"/>
  <c r="I29" i="57"/>
  <c r="I30" i="57"/>
  <c r="I31" i="57"/>
  <c r="L27" i="72"/>
  <c r="L25" i="72"/>
  <c r="L20" i="72"/>
  <c r="L19" i="72"/>
  <c r="L28" i="72"/>
  <c r="T24" i="74" a="1"/>
  <c r="T24" i="74" s="1"/>
  <c r="N18" i="74"/>
  <c r="T18" i="74" a="1"/>
  <c r="T18" i="74" s="1"/>
  <c r="T14" i="74" a="1"/>
  <c r="T14" i="74" s="1"/>
  <c r="T13" i="74" a="1"/>
  <c r="T13" i="74" s="1"/>
  <c r="T17" i="74" a="1"/>
  <c r="T17" i="74" s="1"/>
  <c r="T16" i="74" a="1"/>
  <c r="T16" i="74" s="1"/>
  <c r="T12" i="74" a="1"/>
  <c r="T12" i="74" s="1"/>
  <c r="T15" i="74" a="1"/>
  <c r="T15" i="74" s="1"/>
  <c r="T11" i="74" a="1"/>
  <c r="T11" i="74" s="1"/>
  <c r="G32" i="48"/>
  <c r="G25" i="48"/>
  <c r="G35" i="48"/>
  <c r="G37" i="48"/>
  <c r="I32" i="48"/>
  <c r="G38" i="48"/>
  <c r="G29" i="48"/>
  <c r="Q17" i="48" s="1"/>
  <c r="Q20" i="48" s="1"/>
  <c r="I30" i="48"/>
  <c r="G36" i="48"/>
  <c r="G31" i="48"/>
  <c r="G30" i="48"/>
  <c r="G23" i="48"/>
  <c r="G26" i="48"/>
  <c r="G24" i="48"/>
  <c r="G20" i="48"/>
  <c r="G19" i="48"/>
  <c r="G18" i="48"/>
  <c r="G17" i="48"/>
  <c r="J12" i="71"/>
  <c r="J10" i="71"/>
  <c r="J9" i="71"/>
  <c r="J11" i="71"/>
  <c r="G17" i="47"/>
  <c r="G11" i="47"/>
  <c r="G12" i="47"/>
  <c r="G20" i="47"/>
  <c r="I16" i="47"/>
  <c r="G18" i="47"/>
  <c r="G19" i="47"/>
  <c r="I26" i="48"/>
  <c r="I28" i="48"/>
  <c r="I25" i="48"/>
  <c r="I27" i="48"/>
  <c r="I18" i="48"/>
  <c r="I17" i="48"/>
  <c r="I23" i="48"/>
  <c r="I21" i="48"/>
  <c r="I22" i="48"/>
  <c r="I24" i="48"/>
  <c r="I29" i="48"/>
  <c r="I31" i="48"/>
  <c r="I24" i="45"/>
  <c r="I16" i="64"/>
  <c r="G16" i="64"/>
  <c r="G14" i="64"/>
  <c r="I15" i="64"/>
  <c r="G15" i="64"/>
  <c r="G17" i="64"/>
  <c r="G19" i="64"/>
  <c r="G18" i="64"/>
  <c r="I17" i="64"/>
  <c r="I19" i="64"/>
  <c r="I14" i="64"/>
  <c r="I18" i="64"/>
  <c r="I35" i="57"/>
  <c r="I38" i="57"/>
  <c r="I37" i="57"/>
  <c r="I36" i="57"/>
  <c r="I24" i="57"/>
  <c r="I21" i="57"/>
  <c r="I22" i="57"/>
  <c r="I23" i="57"/>
  <c r="I15" i="54"/>
  <c r="I19" i="54"/>
  <c r="I16" i="54"/>
  <c r="I20" i="54"/>
  <c r="I18" i="54"/>
  <c r="I21" i="54"/>
  <c r="I19" i="48"/>
  <c r="I20" i="48"/>
  <c r="I18" i="47"/>
  <c r="I15" i="47"/>
  <c r="I17" i="47"/>
  <c r="I13" i="47"/>
  <c r="I15" i="45"/>
  <c r="I21" i="45"/>
  <c r="I22" i="45"/>
  <c r="I18" i="45"/>
  <c r="H25" i="45"/>
  <c r="I17" i="45"/>
  <c r="H22" i="45"/>
  <c r="G80" i="49" l="1"/>
  <c r="H80" i="49" s="1"/>
  <c r="J80" i="49" s="1"/>
  <c r="G84" i="49"/>
  <c r="G81" i="49"/>
  <c r="G88" i="49"/>
  <c r="G85" i="49"/>
  <c r="G91" i="49"/>
  <c r="G82" i="49"/>
  <c r="G92" i="49"/>
  <c r="G87" i="49"/>
  <c r="G94" i="49"/>
  <c r="G79" i="49"/>
  <c r="H79" i="49" s="1"/>
  <c r="G86" i="49"/>
  <c r="G95" i="49"/>
  <c r="G83" i="49"/>
  <c r="H83" i="49" s="1"/>
  <c r="J83" i="49" s="1"/>
  <c r="G89" i="49"/>
  <c r="G76" i="49"/>
  <c r="G67" i="49"/>
  <c r="G63" i="49"/>
  <c r="H63" i="49" s="1"/>
  <c r="J63" i="49" s="1"/>
  <c r="G75" i="49"/>
  <c r="G74" i="49"/>
  <c r="G66" i="49"/>
  <c r="G64" i="49"/>
  <c r="H64" i="49" s="1"/>
  <c r="J64" i="49" s="1"/>
  <c r="G70" i="49"/>
  <c r="G72" i="49"/>
  <c r="G62" i="49"/>
  <c r="G68" i="49"/>
  <c r="G61" i="49"/>
  <c r="G65" i="49"/>
  <c r="H65" i="49" s="1"/>
  <c r="J65" i="49" s="1"/>
  <c r="G71" i="49"/>
  <c r="E44" i="49"/>
  <c r="F44" i="49" s="1"/>
  <c r="J44" i="49" s="1"/>
  <c r="E40" i="49"/>
  <c r="F40" i="49" s="1"/>
  <c r="E50" i="49"/>
  <c r="F50" i="49" s="1"/>
  <c r="E57" i="49"/>
  <c r="F57" i="49" s="1"/>
  <c r="J57" i="49" s="1"/>
  <c r="E38" i="49"/>
  <c r="F38" i="49" s="1"/>
  <c r="E47" i="49"/>
  <c r="F47" i="49" s="1"/>
  <c r="E42" i="49"/>
  <c r="F42" i="49" s="1"/>
  <c r="E41" i="49"/>
  <c r="F41" i="49" s="1"/>
  <c r="E53" i="49"/>
  <c r="F53" i="49" s="1"/>
  <c r="E58" i="49"/>
  <c r="F58" i="49" s="1"/>
  <c r="J58" i="49" s="1"/>
  <c r="E54" i="49"/>
  <c r="F54" i="49" s="1"/>
  <c r="J54" i="49" s="1"/>
  <c r="E48" i="49"/>
  <c r="F48" i="49" s="1"/>
  <c r="J48" i="49" s="1"/>
  <c r="E55" i="49"/>
  <c r="F55" i="49" s="1"/>
  <c r="J55" i="49" s="1"/>
  <c r="E45" i="49"/>
  <c r="F45" i="49" s="1"/>
  <c r="E39" i="49"/>
  <c r="F39" i="49" s="1"/>
  <c r="E43" i="49"/>
  <c r="F43" i="49" s="1"/>
  <c r="E52" i="49"/>
  <c r="F52" i="49" s="1"/>
  <c r="J52" i="49" s="1"/>
  <c r="E46" i="49"/>
  <c r="F46" i="49" s="1"/>
  <c r="E49" i="49"/>
  <c r="F49" i="49" s="1"/>
  <c r="E56" i="49"/>
  <c r="F56" i="49" s="1"/>
  <c r="J56" i="49" s="1"/>
  <c r="E51" i="49"/>
  <c r="F51" i="49" s="1"/>
  <c r="J51" i="49" s="1"/>
  <c r="E29" i="49"/>
  <c r="F29" i="49" s="1"/>
  <c r="E31" i="49"/>
  <c r="F31" i="49" s="1"/>
  <c r="E23" i="49"/>
  <c r="F23" i="49" s="1"/>
  <c r="E30" i="49"/>
  <c r="F30" i="49" s="1"/>
  <c r="E34" i="49"/>
  <c r="F34" i="49" s="1"/>
  <c r="E25" i="49"/>
  <c r="F25" i="49" s="1"/>
  <c r="E33" i="49"/>
  <c r="F33" i="49" s="1"/>
  <c r="E24" i="49"/>
  <c r="F24" i="49" s="1"/>
  <c r="E35" i="49"/>
  <c r="F35" i="49" s="1"/>
  <c r="E27" i="49"/>
  <c r="F27" i="49" s="1"/>
  <c r="E26" i="49"/>
  <c r="F26" i="49" s="1"/>
  <c r="E28" i="49"/>
  <c r="F28" i="49" s="1"/>
  <c r="T5" i="115"/>
  <c r="T6" i="115"/>
  <c r="N30" i="93"/>
  <c r="T6" i="93"/>
  <c r="M30" i="93"/>
  <c r="T5" i="93"/>
  <c r="Q30" i="93"/>
  <c r="M34" i="93"/>
  <c r="T4" i="93" s="1"/>
  <c r="R30" i="93"/>
  <c r="Q34" i="93"/>
  <c r="T3" i="93" s="1"/>
  <c r="M26" i="100"/>
  <c r="N26" i="100"/>
  <c r="R27" i="100"/>
  <c r="Q32" i="100"/>
  <c r="T3" i="100" s="1"/>
  <c r="Q27" i="100"/>
  <c r="M32" i="100"/>
  <c r="T4" i="100" s="1"/>
  <c r="S6" i="79"/>
  <c r="S5" i="79"/>
  <c r="M27" i="87"/>
  <c r="M36" i="87"/>
  <c r="N27" i="87"/>
  <c r="T25" i="87" s="1" a="1"/>
  <c r="T25" i="87" s="1"/>
  <c r="N33" i="87" s="1"/>
  <c r="N36" i="87"/>
  <c r="V32" i="87" a="1"/>
  <c r="V32" i="87" s="1"/>
  <c r="M31" i="87" s="1"/>
  <c r="N32" i="87"/>
  <c r="V35" i="87" a="1"/>
  <c r="V35" i="87" s="1"/>
  <c r="Q32" i="87"/>
  <c r="Q36" i="87"/>
  <c r="Q39" i="87" s="1"/>
  <c r="Q38" i="87" s="1"/>
  <c r="T32" i="87" a="1"/>
  <c r="T32" i="87" s="1"/>
  <c r="R26" i="87" s="1"/>
  <c r="R17" i="72" a="1"/>
  <c r="R17" i="72" s="1"/>
  <c r="Q17" i="72" a="1"/>
  <c r="Q17" i="72" s="1"/>
  <c r="N17" i="72" a="1"/>
  <c r="N17" i="72" s="1"/>
  <c r="M17" i="72" a="1"/>
  <c r="M17" i="72" s="1"/>
  <c r="L17" i="72"/>
  <c r="N25" i="92"/>
  <c r="N27" i="92" s="1"/>
  <c r="M25" i="92"/>
  <c r="M27" i="92" s="1"/>
  <c r="Q11" i="47" a="1"/>
  <c r="Q11" i="47" s="1"/>
  <c r="Q13" i="47" s="1"/>
  <c r="M11" i="47" a="1"/>
  <c r="M11" i="47" s="1"/>
  <c r="M13" i="47" s="1"/>
  <c r="R12" i="47" s="1"/>
  <c r="R11" i="47" a="1"/>
  <c r="R11" i="47" s="1"/>
  <c r="N11" i="47" a="1"/>
  <c r="N11" i="47" s="1"/>
  <c r="N13" i="47" s="1"/>
  <c r="J25" i="54"/>
  <c r="N32" i="86"/>
  <c r="V35" i="86" a="1"/>
  <c r="V35" i="86" s="1"/>
  <c r="N27" i="86"/>
  <c r="M27" i="86"/>
  <c r="M36" i="86"/>
  <c r="Q27" i="86"/>
  <c r="Q39" i="86"/>
  <c r="Q38" i="86" s="1"/>
  <c r="T35" i="86" a="1"/>
  <c r="T35" i="86" s="1"/>
  <c r="V32" i="86" a="1"/>
  <c r="V32" i="86" s="1"/>
  <c r="R27" i="86"/>
  <c r="R39" i="86"/>
  <c r="R38" i="86" s="1"/>
  <c r="K27" i="57"/>
  <c r="K35" i="57"/>
  <c r="K22" i="57"/>
  <c r="S9" i="84"/>
  <c r="S7" i="84"/>
  <c r="L22" i="84"/>
  <c r="S10" i="84"/>
  <c r="S8" i="84"/>
  <c r="G25" i="45"/>
  <c r="G23" i="45"/>
  <c r="G26" i="45"/>
  <c r="G22" i="45"/>
  <c r="G24" i="45"/>
  <c r="T9" i="72" a="1"/>
  <c r="T9" i="72" s="1"/>
  <c r="T10" i="72" a="1"/>
  <c r="T10" i="72" s="1"/>
  <c r="T8" i="72" a="1"/>
  <c r="T8" i="72" s="1"/>
  <c r="T7" i="72" a="1"/>
  <c r="T7" i="72" s="1"/>
  <c r="T26" i="74" a="1"/>
  <c r="T26" i="74" s="1"/>
  <c r="T25" i="74" a="1"/>
  <c r="T25" i="74" s="1"/>
  <c r="N20" i="74" s="1"/>
  <c r="M31" i="74"/>
  <c r="M30" i="74" s="1"/>
  <c r="M32" i="74" s="1"/>
  <c r="V26" i="74" a="1"/>
  <c r="V26" i="74" s="1"/>
  <c r="R17" i="48"/>
  <c r="R20" i="48" s="1"/>
  <c r="R19" i="48" s="1"/>
  <c r="N17" i="48"/>
  <c r="N20" i="48" s="1"/>
  <c r="N19" i="48" s="1"/>
  <c r="M17" i="48"/>
  <c r="M20" i="48" s="1"/>
  <c r="M19" i="48" s="1"/>
  <c r="Q19" i="48"/>
  <c r="J21" i="48"/>
  <c r="J20" i="48"/>
  <c r="J17" i="48"/>
  <c r="J25" i="48"/>
  <c r="J26" i="48"/>
  <c r="J31" i="48"/>
  <c r="J32" i="48"/>
  <c r="J29" i="48"/>
  <c r="J19" i="48"/>
  <c r="J23" i="48"/>
  <c r="J28" i="48"/>
  <c r="J24" i="48"/>
  <c r="J30" i="48"/>
  <c r="J27" i="48"/>
  <c r="J22" i="48"/>
  <c r="J18" i="48"/>
  <c r="J19" i="64"/>
  <c r="J16" i="64"/>
  <c r="J14" i="64"/>
  <c r="J15" i="64"/>
  <c r="J17" i="64"/>
  <c r="N14" i="64"/>
  <c r="N16" i="64" s="1"/>
  <c r="M14" i="64"/>
  <c r="Q14" i="64"/>
  <c r="Q16" i="64" s="1"/>
  <c r="R14" i="64"/>
  <c r="R16" i="64" s="1"/>
  <c r="J18" i="64"/>
  <c r="K38" i="57"/>
  <c r="K21" i="57"/>
  <c r="K36" i="57"/>
  <c r="K20" i="57"/>
  <c r="K31" i="57"/>
  <c r="K34" i="57"/>
  <c r="K29" i="57"/>
  <c r="K24" i="57"/>
  <c r="K28" i="57"/>
  <c r="K23" i="57"/>
  <c r="K37" i="57"/>
  <c r="J19" i="54"/>
  <c r="J17" i="54"/>
  <c r="J23" i="54"/>
  <c r="J14" i="54"/>
  <c r="J21" i="54"/>
  <c r="J15" i="54"/>
  <c r="J22" i="54"/>
  <c r="J20" i="54"/>
  <c r="J24" i="54"/>
  <c r="J18" i="54"/>
  <c r="J16" i="54"/>
  <c r="J15" i="47"/>
  <c r="J13" i="47"/>
  <c r="J14" i="47"/>
  <c r="J16" i="47"/>
  <c r="J11" i="47"/>
  <c r="J17" i="47"/>
  <c r="J18" i="47"/>
  <c r="M18" i="47"/>
  <c r="T3" i="47" s="1"/>
  <c r="I23" i="45"/>
  <c r="I20" i="45"/>
  <c r="Q15" i="45"/>
  <c r="Q17" i="45" s="1"/>
  <c r="M15" i="45"/>
  <c r="T6" i="100" l="1"/>
  <c r="T5" i="100"/>
  <c r="N31" i="87"/>
  <c r="V34" i="87" s="1" a="1"/>
  <c r="V34" i="87" s="1"/>
  <c r="R37" i="87"/>
  <c r="Q37" i="87"/>
  <c r="M39" i="87"/>
  <c r="M38" i="87" s="1"/>
  <c r="M43" i="87"/>
  <c r="T3" i="87" s="1"/>
  <c r="N39" i="87"/>
  <c r="N38" i="87" s="1"/>
  <c r="N40" i="87" s="1"/>
  <c r="Q43" i="87"/>
  <c r="T4" i="87" s="1"/>
  <c r="Q26" i="87"/>
  <c r="T34" i="87" s="1" a="1"/>
  <c r="T34" i="87" s="1"/>
  <c r="T10" i="47" a="1"/>
  <c r="T10" i="47" s="1"/>
  <c r="T8" i="47" a="1"/>
  <c r="T8" i="47" s="1"/>
  <c r="T9" i="47" a="1"/>
  <c r="T9" i="47" s="1"/>
  <c r="T7" i="47" a="1"/>
  <c r="T7" i="47" s="1"/>
  <c r="R33" i="87"/>
  <c r="R28" i="87"/>
  <c r="Q33" i="87"/>
  <c r="N28" i="87"/>
  <c r="M33" i="87"/>
  <c r="M28" i="87"/>
  <c r="Q28" i="87"/>
  <c r="M39" i="86"/>
  <c r="M38" i="86" s="1"/>
  <c r="M43" i="86"/>
  <c r="R37" i="86"/>
  <c r="Q37" i="86"/>
  <c r="N39" i="86"/>
  <c r="N38" i="86" s="1"/>
  <c r="M40" i="86" s="1"/>
  <c r="Q43" i="86"/>
  <c r="T25" i="86" a="1"/>
  <c r="T25" i="86" s="1"/>
  <c r="Q33" i="86" s="1"/>
  <c r="Q40" i="86"/>
  <c r="T32" i="86" a="1"/>
  <c r="T32" i="86" s="1"/>
  <c r="R40" i="86"/>
  <c r="L20" i="57" a="1"/>
  <c r="L20" i="57" s="1"/>
  <c r="P31" i="57" s="1"/>
  <c r="P33" i="57" s="1"/>
  <c r="S17" i="57" a="1"/>
  <c r="S17" i="57" s="1"/>
  <c r="S15" i="57" a="1"/>
  <c r="S15" i="57" s="1"/>
  <c r="S13" i="57" a="1"/>
  <c r="S13" i="57" s="1"/>
  <c r="S16" i="57" a="1"/>
  <c r="S16" i="57" s="1"/>
  <c r="S12" i="57" a="1"/>
  <c r="S12" i="57" s="1"/>
  <c r="S14" i="57" a="1"/>
  <c r="S14" i="57" s="1"/>
  <c r="S11" i="57" a="1"/>
  <c r="S11" i="57" s="1"/>
  <c r="K17" i="45"/>
  <c r="K24" i="45"/>
  <c r="K16" i="45"/>
  <c r="K23" i="45"/>
  <c r="K22" i="45"/>
  <c r="K20" i="45"/>
  <c r="K19" i="45"/>
  <c r="K15" i="45"/>
  <c r="K21" i="45"/>
  <c r="K18" i="45"/>
  <c r="T10" i="74" a="1"/>
  <c r="T10" i="74" s="1"/>
  <c r="T9" i="74" a="1"/>
  <c r="T9" i="74" s="1"/>
  <c r="T7" i="74" a="1"/>
  <c r="T7" i="74" s="1"/>
  <c r="T8" i="74" a="1"/>
  <c r="T8" i="74" s="1"/>
  <c r="M25" i="74"/>
  <c r="N29" i="74"/>
  <c r="M29" i="74"/>
  <c r="Q20" i="74"/>
  <c r="R20" i="74"/>
  <c r="R25" i="74"/>
  <c r="Q25" i="74"/>
  <c r="N25" i="74"/>
  <c r="M20" i="74"/>
  <c r="Q18" i="48"/>
  <c r="R18" i="48"/>
  <c r="T18" i="48" a="1"/>
  <c r="T18" i="48" s="1"/>
  <c r="T10" i="48" a="1"/>
  <c r="T10" i="48" s="1"/>
  <c r="T17" i="48" a="1"/>
  <c r="T17" i="48" s="1"/>
  <c r="T9" i="48" a="1"/>
  <c r="T9" i="48" s="1"/>
  <c r="T16" i="48" a="1"/>
  <c r="T16" i="48" s="1"/>
  <c r="T8" i="48" a="1"/>
  <c r="T8" i="48" s="1"/>
  <c r="T11" i="48" a="1"/>
  <c r="T11" i="48" s="1"/>
  <c r="T14" i="48" a="1"/>
  <c r="T14" i="48" s="1"/>
  <c r="T12" i="48" a="1"/>
  <c r="T12" i="48" s="1"/>
  <c r="T15" i="48" a="1"/>
  <c r="T15" i="48" s="1"/>
  <c r="T13" i="48" a="1"/>
  <c r="T13" i="48" s="1"/>
  <c r="T7" i="48" a="1"/>
  <c r="T7" i="48" s="1"/>
  <c r="Q21" i="48"/>
  <c r="N21" i="48"/>
  <c r="M21" i="48"/>
  <c r="R21" i="48"/>
  <c r="H8" i="49"/>
  <c r="M16" i="64"/>
  <c r="T7" i="64"/>
  <c r="T8" i="64"/>
  <c r="H101" i="49"/>
  <c r="Q33" i="57"/>
  <c r="M33" i="57"/>
  <c r="R16" i="54"/>
  <c r="Q21" i="54"/>
  <c r="N16" i="54"/>
  <c r="N12" i="47"/>
  <c r="M12" i="47"/>
  <c r="R13" i="47"/>
  <c r="Q12" i="47" s="1"/>
  <c r="Q18" i="47"/>
  <c r="T4" i="47" s="1"/>
  <c r="M17" i="45"/>
  <c r="M22" i="45"/>
  <c r="T3" i="45" s="1"/>
  <c r="N15" i="45"/>
  <c r="R15" i="45"/>
  <c r="T6" i="87" l="1"/>
  <c r="T5" i="87"/>
  <c r="M40" i="87"/>
  <c r="R40" i="87"/>
  <c r="Q40" i="87"/>
  <c r="T9" i="87" a="1"/>
  <c r="T9" i="87" s="1"/>
  <c r="T10" i="87" a="1"/>
  <c r="T10" i="87" s="1"/>
  <c r="T7" i="87" a="1"/>
  <c r="T7" i="87" s="1"/>
  <c r="T8" i="87" a="1"/>
  <c r="T8" i="87" s="1"/>
  <c r="N33" i="86"/>
  <c r="R33" i="86"/>
  <c r="Q28" i="86"/>
  <c r="N40" i="86"/>
  <c r="T5" i="86"/>
  <c r="T6" i="86"/>
  <c r="M31" i="86"/>
  <c r="M26" i="86"/>
  <c r="N26" i="86"/>
  <c r="M33" i="86"/>
  <c r="R28" i="86"/>
  <c r="N28" i="86"/>
  <c r="N31" i="86"/>
  <c r="M28" i="86"/>
  <c r="R26" i="86"/>
  <c r="Q26" i="86"/>
  <c r="T34" i="86" s="1" a="1"/>
  <c r="T34" i="86" s="1"/>
  <c r="V34" i="86" a="1"/>
  <c r="V34" i="86" s="1"/>
  <c r="Q32" i="57"/>
  <c r="P32" i="57"/>
  <c r="T12" i="45" a="1"/>
  <c r="T12" i="45" s="1"/>
  <c r="T9" i="45" a="1"/>
  <c r="T9" i="45" s="1"/>
  <c r="T7" i="45" a="1"/>
  <c r="T7" i="45" s="1"/>
  <c r="T11" i="45" a="1"/>
  <c r="T11" i="45" s="1"/>
  <c r="T10" i="45" a="1"/>
  <c r="T10" i="45" s="1"/>
  <c r="T8" i="45" a="1"/>
  <c r="T8" i="45" s="1"/>
  <c r="T6" i="74"/>
  <c r="T5" i="74"/>
  <c r="H29" i="49"/>
  <c r="H24" i="49"/>
  <c r="H35" i="49"/>
  <c r="J35" i="49" s="1"/>
  <c r="H33" i="49"/>
  <c r="H40" i="49"/>
  <c r="H39" i="49"/>
  <c r="Q24" i="48"/>
  <c r="H62" i="49"/>
  <c r="H66" i="49"/>
  <c r="H72" i="49"/>
  <c r="H71" i="49"/>
  <c r="H67" i="49"/>
  <c r="H61" i="49"/>
  <c r="H75" i="49"/>
  <c r="H76" i="49"/>
  <c r="H68" i="49"/>
  <c r="H74" i="49"/>
  <c r="H70" i="49"/>
  <c r="L33" i="57"/>
  <c r="S10" i="57"/>
  <c r="S9" i="57"/>
  <c r="M32" i="57"/>
  <c r="L32" i="57"/>
  <c r="M16" i="54"/>
  <c r="Q16" i="54"/>
  <c r="M21" i="54"/>
  <c r="T4" i="54" s="1"/>
  <c r="D23" i="49"/>
  <c r="M24" i="48"/>
  <c r="T4" i="48" s="1"/>
  <c r="T6" i="47"/>
  <c r="T5" i="47"/>
  <c r="R16" i="45"/>
  <c r="R17" i="45"/>
  <c r="N17" i="45"/>
  <c r="Q22" i="45"/>
  <c r="T4" i="45" s="1"/>
  <c r="Q16" i="45"/>
  <c r="T9" i="86" l="1" a="1"/>
  <c r="T9" i="86" s="1"/>
  <c r="T8" i="86" a="1"/>
  <c r="T8" i="86" s="1"/>
  <c r="T10" i="86" a="1"/>
  <c r="T10" i="86" s="1"/>
  <c r="T7" i="86" a="1"/>
  <c r="T7" i="86" s="1"/>
  <c r="J4" i="49"/>
  <c r="J8" i="49"/>
  <c r="H30" i="49"/>
  <c r="H28" i="49"/>
  <c r="H25" i="49"/>
  <c r="H23" i="49"/>
  <c r="J23" i="49" s="1"/>
  <c r="H26" i="49"/>
  <c r="H31" i="49"/>
  <c r="H34" i="49"/>
  <c r="H27" i="49"/>
  <c r="H81" i="49"/>
  <c r="J81" i="49" s="1"/>
  <c r="H86" i="49"/>
  <c r="J86" i="49" s="1"/>
  <c r="H82" i="49"/>
  <c r="J82" i="49" s="1"/>
  <c r="H112" i="49"/>
  <c r="J71" i="49"/>
  <c r="J70" i="49"/>
  <c r="S5" i="57"/>
  <c r="S6" i="57"/>
  <c r="N15" i="54"/>
  <c r="M15" i="54"/>
  <c r="J39" i="49"/>
  <c r="J40" i="49"/>
  <c r="M18" i="48"/>
  <c r="N18" i="48"/>
  <c r="T6" i="45"/>
  <c r="T5" i="45"/>
  <c r="J14" i="49" l="1"/>
  <c r="H50" i="49"/>
  <c r="J50" i="49" s="1"/>
  <c r="H43" i="49"/>
  <c r="J43" i="49" s="1"/>
  <c r="H46" i="49"/>
  <c r="J46" i="49" s="1"/>
  <c r="H47" i="49"/>
  <c r="J47" i="49" s="1"/>
  <c r="H41" i="49"/>
  <c r="J41" i="49" s="1"/>
  <c r="H38" i="49"/>
  <c r="J38" i="49" s="1"/>
  <c r="H42" i="49"/>
  <c r="J42" i="49" s="1"/>
  <c r="H53" i="49"/>
  <c r="J53" i="49" s="1"/>
  <c r="H45" i="49"/>
  <c r="J45" i="49" s="1"/>
  <c r="H49" i="49"/>
  <c r="J49" i="49" s="1"/>
  <c r="H18" i="49"/>
  <c r="J18" i="49" s="1"/>
  <c r="H17" i="49"/>
  <c r="J17" i="49" s="1"/>
  <c r="H7" i="49"/>
  <c r="J7" i="49" s="1"/>
  <c r="H19" i="49"/>
  <c r="J19" i="49" s="1"/>
  <c r="H13" i="49"/>
  <c r="J13" i="49" s="1"/>
  <c r="H11" i="49"/>
  <c r="J11" i="49" s="1"/>
  <c r="H3" i="49"/>
  <c r="J3" i="49" s="1"/>
  <c r="H12" i="49"/>
  <c r="J12" i="49" s="1"/>
  <c r="H6" i="49"/>
  <c r="J6" i="49" s="1"/>
  <c r="H5" i="49"/>
  <c r="J5" i="49" s="1"/>
  <c r="H20" i="49"/>
  <c r="J20" i="49" s="1"/>
  <c r="H16" i="49"/>
  <c r="H99" i="49"/>
  <c r="H104" i="49"/>
  <c r="H98" i="49"/>
  <c r="D101" i="49"/>
  <c r="J101" i="49" s="1"/>
  <c r="J76" i="49"/>
  <c r="J66" i="49"/>
  <c r="J67" i="49"/>
  <c r="J72" i="49"/>
  <c r="J62" i="49"/>
  <c r="J75" i="49"/>
  <c r="J61" i="49"/>
  <c r="J68" i="49"/>
  <c r="J74" i="49"/>
  <c r="T5" i="54"/>
  <c r="T6" i="54"/>
  <c r="J24" i="49"/>
  <c r="J26" i="49"/>
  <c r="J29" i="49"/>
  <c r="T5" i="48"/>
  <c r="T6" i="48"/>
  <c r="I75" i="49" l="1"/>
  <c r="I62" i="49"/>
  <c r="I72" i="49"/>
  <c r="I66" i="49"/>
  <c r="I68" i="49"/>
  <c r="I67" i="49"/>
  <c r="I71" i="49"/>
  <c r="I73" i="49"/>
  <c r="I64" i="49"/>
  <c r="I63" i="49"/>
  <c r="I44" i="49"/>
  <c r="I41" i="49"/>
  <c r="I56" i="49"/>
  <c r="I58" i="49"/>
  <c r="I57" i="49"/>
  <c r="I43" i="49"/>
  <c r="I50" i="49"/>
  <c r="I47" i="49"/>
  <c r="I46" i="49"/>
  <c r="I48" i="49"/>
  <c r="I55" i="49"/>
  <c r="I45" i="49"/>
  <c r="I51" i="49"/>
  <c r="I42" i="49"/>
  <c r="I52" i="49"/>
  <c r="I40" i="49"/>
  <c r="I54" i="49"/>
  <c r="I39" i="49"/>
  <c r="I61" i="49"/>
  <c r="I38" i="49"/>
  <c r="J28" i="49"/>
  <c r="J16" i="49"/>
  <c r="I16" i="49" s="1"/>
  <c r="J34" i="49"/>
  <c r="J25" i="49"/>
  <c r="J33" i="49"/>
  <c r="J27" i="49"/>
  <c r="J31" i="49"/>
  <c r="J30" i="49"/>
  <c r="J99" i="49"/>
  <c r="J98" i="49"/>
  <c r="J104" i="49"/>
  <c r="H117" i="49"/>
  <c r="H116" i="49"/>
  <c r="H113" i="49"/>
  <c r="H115" i="49"/>
  <c r="H114" i="49"/>
  <c r="H110" i="49"/>
  <c r="J110" i="49" s="1"/>
  <c r="H121" i="49"/>
  <c r="H120" i="49"/>
  <c r="H111" i="49"/>
  <c r="F112" i="49"/>
  <c r="J112" i="49" s="1"/>
  <c r="I102" i="49" l="1"/>
  <c r="I103" i="49"/>
  <c r="I100" i="49"/>
  <c r="I105" i="49"/>
  <c r="I107" i="49"/>
  <c r="I106" i="49"/>
  <c r="I104" i="49"/>
  <c r="I32" i="49"/>
  <c r="I9" i="49"/>
  <c r="I10" i="49"/>
  <c r="I98" i="49"/>
  <c r="I14" i="49"/>
  <c r="I30" i="49"/>
  <c r="I25" i="49"/>
  <c r="I31" i="49"/>
  <c r="I24" i="49"/>
  <c r="I28" i="49"/>
  <c r="I35" i="49"/>
  <c r="I23" i="49"/>
  <c r="I33" i="49"/>
  <c r="I29" i="49"/>
  <c r="I8" i="49"/>
  <c r="I6" i="49"/>
  <c r="I3" i="49"/>
  <c r="I5" i="49"/>
  <c r="I4" i="49"/>
  <c r="I7" i="49"/>
  <c r="I11" i="49"/>
  <c r="I13" i="49"/>
  <c r="I19" i="49"/>
  <c r="I20" i="49"/>
  <c r="I17" i="49"/>
  <c r="J116" i="49"/>
  <c r="J121" i="49"/>
  <c r="J117" i="49"/>
  <c r="J113" i="49"/>
  <c r="J114" i="49"/>
  <c r="J120" i="49"/>
  <c r="J111" i="49"/>
  <c r="J115" i="49"/>
  <c r="I34" i="49"/>
  <c r="I121" i="49" l="1"/>
  <c r="I119" i="49"/>
  <c r="I124" i="49"/>
  <c r="I123" i="49"/>
  <c r="I118" i="49"/>
  <c r="I122" i="49"/>
  <c r="I125" i="49"/>
  <c r="I114" i="49"/>
  <c r="I120" i="49"/>
  <c r="I117" i="49"/>
  <c r="I113" i="49"/>
  <c r="I116" i="49"/>
  <c r="I110" i="49"/>
  <c r="I111" i="49"/>
  <c r="I115" i="49"/>
  <c r="H95" i="49" l="1"/>
  <c r="J95" i="49" s="1"/>
  <c r="H94" i="49"/>
  <c r="J94" i="49" s="1"/>
  <c r="H92" i="49"/>
  <c r="J92" i="49" s="1"/>
  <c r="H89" i="49"/>
  <c r="J89" i="49" s="1"/>
  <c r="H88" i="49"/>
  <c r="J88" i="49" s="1"/>
  <c r="J79" i="49"/>
  <c r="H87" i="49"/>
  <c r="J87" i="49" s="1"/>
  <c r="H84" i="49"/>
  <c r="J84" i="49" s="1"/>
  <c r="H91" i="49"/>
  <c r="J91" i="49" s="1"/>
  <c r="H85" i="49"/>
  <c r="J85" i="49" s="1"/>
  <c r="I87" i="49" l="1"/>
  <c r="I82" i="49"/>
  <c r="I84" i="49"/>
  <c r="I83" i="49"/>
  <c r="I80" i="49"/>
  <c r="I86" i="49"/>
  <c r="I88" i="49"/>
  <c r="I94" i="49"/>
  <c r="I85" i="49"/>
  <c r="I91" i="49"/>
  <c r="I95" i="49"/>
  <c r="I79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tc={C18C4621-E1C5-4A49-B8B7-6A1B85ED6331}</author>
    <author>tc={3193D5F0-DE91-2B41-9F05-33FDA94B01EE}</author>
    <author>tc={A5994F22-25F0-5F49-ABC6-DF2AE95A30F2}</author>
    <author>tc={C82F048A-A63A-DC40-9529-97BCF3526136}</author>
    <author>tc={5A545768-D36F-2041-9A00-BAA90AE8EAE8}</author>
    <author>tc={32A6EEF8-D53B-994D-ACD8-234330208C51}</author>
    <author>tc={38477CF4-16A2-C44D-930A-9821CE56FC5F}</author>
    <author>tc={20E3301F-8192-9648-A623-C0E13E23B934}</author>
    <author>tc={BAE191AD-1041-C647-8034-7F1E49D790F2}</author>
    <author>tc={538CB0F2-F27F-9E43-BC66-3481EF59D51E}</author>
    <author>tc={572FB397-2165-8E4B-8516-0C68418B4A83}</author>
    <author>tc={67679AA6-D6B7-4544-93D4-5A2B1FEF45B8}</author>
    <author>tc={7BDD7CD6-0965-A841-8F87-FC7E696A21D4}</author>
    <author>tc={1B9BF0B7-A20D-7A4C-95D7-246EA72EAC9E}</author>
    <author>tc={A7304CB9-31D3-224C-A6F8-08C57D37B6E2}</author>
    <author>tc={2906B927-EED6-C64E-AEC3-3C8600AD01EF}</author>
    <author>tc={E59B66D2-A07B-EA40-A480-5909981DEB7E}</author>
    <author>tc={290CB633-387F-1640-AC19-BD8179933A07}</author>
    <author>tc={2086C05B-A9D6-D24A-AA07-A6752A1868FC}</author>
    <author>tc={46CFDC3E-6C09-E24B-AF72-79FA16BBBD1F}</author>
  </authors>
  <commentList>
    <comment ref="I12" authorId="0" shapeId="0" xr:uid="{C18C4621-E1C5-4A49-B8B7-6A1B85ED6331}">
      <text>
        <t>[Threaded comment]
Your version of Excel allows you to read this threaded comment; however, any edits to it will get removed if the file is opened in a newer version of Excel. Learn more: https://go.microsoft.com/fwlink/?linkid=870924
Comment:
    Desempate por confronto direto.</t>
      </text>
    </comment>
    <comment ref="I15" authorId="1" shapeId="0" xr:uid="{3193D5F0-DE91-2B41-9F05-33FDA94B01EE}">
      <text>
        <t>[Threaded comment]
Your version of Excel allows you to read this threaded comment; however, any edits to it will get removed if the file is opened in a newer version of Excel. Learn more: https://go.microsoft.com/fwlink/?linkid=870924
Comment:
    desempate por maior numero de atletas no stage.</t>
      </text>
    </comment>
    <comment ref="I18" authorId="2" shapeId="0" xr:uid="{A5994F22-25F0-5F49-ABC6-DF2AE95A30F2}">
      <text>
        <t>[Threaded comment]
Your version of Excel allows you to read this threaded comment; however, any edits to it will get removed if the file is opened in a newer version of Excel. Learn more: https://go.microsoft.com/fwlink/?linkid=870924
Comment:
    Desempate por maiores numeros de stages jogados.</t>
      </text>
    </comment>
    <comment ref="I25" authorId="3" shapeId="0" xr:uid="{C82F048A-A63A-DC40-9529-97BCF3526136}">
      <text>
        <t>[Threaded comment]
Your version of Excel allows you to read this threaded comment; however, any edits to it will get removed if the file is opened in a newer version of Excel. Learn more: https://go.microsoft.com/fwlink/?linkid=870924
Comment:
    desempate por melhor colocação conquistada</t>
      </text>
    </comment>
    <comment ref="B43" authorId="4" shapeId="0" xr:uid="{5A545768-D36F-2041-9A00-BAA90AE8EAE8}">
      <text>
        <t>[Threaded comment]
Your version of Excel allows you to read this threaded comment; however, any edits to it will get removed if the file is opened in a newer version of Excel. Learn more: https://go.microsoft.com/fwlink/?linkid=870924
Comment:
    É o mesmo Rafael que jogou os dois stages?</t>
      </text>
    </comment>
    <comment ref="I49" authorId="5" shapeId="0" xr:uid="{32A6EEF8-D53B-994D-ACD8-234330208C51}">
      <text>
        <t>[Threaded comment]
Your version of Excel allows you to read this threaded comment; however, any edits to it will get removed if the file is opened in a newer version of Excel. Learn more: https://go.microsoft.com/fwlink/?linkid=870924
Comment:
    Desempate por mais stages jogados.</t>
      </text>
    </comment>
    <comment ref="I53" authorId="6" shapeId="0" xr:uid="{38477CF4-16A2-C44D-930A-9821CE5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Desempate por mais stages jogados.</t>
      </text>
    </comment>
    <comment ref="I65" authorId="7" shapeId="0" xr:uid="{20E3301F-8192-9648-A623-C0E13E23B934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Critério de desempate: Melhor colocação em stages.</t>
      </text>
    </comment>
    <comment ref="I69" authorId="8" shapeId="0" xr:uid="{BAE191AD-1041-C647-8034-7F1E49D790F2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Critério de desempate: Maior numero de stage jogados e maior # de atletas em stage jogado.</t>
      </text>
    </comment>
    <comment ref="I70" authorId="9" shapeId="0" xr:uid="{538CB0F2-F27F-9E43-BC66-3481EF59D51E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Critério de desempate: Maior numero de stage jogados e maior # de atletas em stage jogado.</t>
      </text>
    </comment>
    <comment ref="I74" authorId="10" shapeId="0" xr:uid="{572FB397-2165-8E4B-8516-0C68418B4A83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critério de desempate: maior # de atletas em stage jogado.</t>
      </text>
    </comment>
    <comment ref="I76" authorId="11" shapeId="0" xr:uid="{67679AA6-D6B7-4544-93D4-5A2B1FEF45B8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critério de desempate: stage jogado sem assistencia de cavalo.</t>
      </text>
    </comment>
    <comment ref="I81" authorId="12" shapeId="0" xr:uid="{7BDD7CD6-0965-A841-8F87-FC7E696A21D4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Critério de desempate: melhor colocação dentre os stages jogados.</t>
      </text>
    </comment>
    <comment ref="I89" authorId="13" shapeId="0" xr:uid="{1B9BF0B7-A20D-7A4C-95D7-246EA72EAC9E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Critério de desempate: maior # de stages jogados e maior # de atletas em stage jogado.</t>
      </text>
    </comment>
    <comment ref="I90" authorId="14" shapeId="0" xr:uid="{A7304CB9-31D3-224C-A6F8-08C57D37B6E2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Critério de desempate: maior # de stages jogados e maior # de atletas em stage jogado.</t>
      </text>
    </comment>
    <comment ref="I92" authorId="15" shapeId="0" xr:uid="{2906B927-EED6-C64E-AEC3-3C8600AD01EF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Critério de desempate: maior # de atletas por stage jogado e melhor colocação dos atletas na fase de grupo.</t>
      </text>
    </comment>
    <comment ref="I93" authorId="16" shapeId="0" xr:uid="{E59B66D2-A07B-EA40-A480-5909981DEB7E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Critério de desempate: maior # de atletas por stage jogado e melhor colocação dos atletas na fase de grupo.</t>
      </text>
    </comment>
    <comment ref="I99" authorId="17" shapeId="0" xr:uid="{290CB633-387F-1640-AC19-BD8179933A07}">
      <text>
        <t>[Threaded comment]
Your version of Excel allows you to read this threaded comment; however, any edits to it will get removed if the file is opened in a newer version of Excel. Learn more: https://go.microsoft.com/fwlink/?linkid=870924
Comment:
    Desempate por melhor colocação.</t>
      </text>
    </comment>
    <comment ref="I101" authorId="18" shapeId="0" xr:uid="{2086C05B-A9D6-D24A-AA07-A6752A1868F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Desempate por maior numero de atletas por stage.</t>
      </text>
    </comment>
    <comment ref="I112" authorId="19" shapeId="0" xr:uid="{46CFDC3E-6C09-E24B-AF72-79FA16BBBD1F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Criterio de desempate: Mais stages jogados.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tc={BE3D20ED-FCBF-2241-AE1A-A5573C0E82CF}</author>
  </authors>
  <commentList>
    <comment ref="Q25" authorId="0" shapeId="0" xr:uid="{BE3D20ED-FCBF-2241-AE1A-A5573C0E82CF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 input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tc={AE607173-6884-444B-A6EA-24E62A9710C8}</author>
  </authors>
  <commentList>
    <comment ref="B19" authorId="0" shapeId="0" xr:uid="{AE607173-6884-444B-A6EA-24E62A9710C8}">
      <text>
        <t>[Threaded comment]
Your version of Excel allows you to read this threaded comment; however, any edits to it will get removed if the file is opened in a newer version of Excel. Learn more: https://go.microsoft.com/fwlink/?linkid=870924
Comment:
    3rd place ranking geral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tc={DEB70B13-8CD7-B94A-89FD-0713F3A57E76}</author>
  </authors>
  <commentList>
    <comment ref="B18" authorId="0" shapeId="0" xr:uid="{DEB70B13-8CD7-B94A-89FD-0713F3A57E76}">
      <text>
        <t>[Threaded comment]
Your version of Excel allows you to read this threaded comment; however, any edits to it will get removed if the file is opened in a newer version of Excel. Learn more: https://go.microsoft.com/fwlink/?linkid=870924
Comment:
    Foi embora… e adicionamos Pablo no lugar.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Zahn</author>
  </authors>
  <commentList>
    <comment ref="R14" authorId="0" shapeId="0" xr:uid="{3E112015-AAE1-C74B-ACB1-74AF2A601722}">
      <text>
        <r>
          <rPr>
            <b/>
            <sz val="10"/>
            <color rgb="FF000000"/>
            <rFont val="Tahoma"/>
            <family val="2"/>
          </rPr>
          <t>Thomas Zahn: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era para ser o joackim, mas ele desistiu de jogar.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tc={EDD90C32-F9B9-484D-B511-289FDEA8E0D4}</author>
    <author>tc={16B86EB8-8D15-DB47-B900-5E622150020B}</author>
  </authors>
  <commentList>
    <comment ref="T10" authorId="0" shapeId="0" xr:uid="{EDD90C32-F9B9-484D-B511-289FDEA8E0D4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Criterio de desempate: o segundo colocado estava no grupo do Walter.</t>
      </text>
    </comment>
    <comment ref="T11" authorId="1" shapeId="0" xr:uid="{16B86EB8-8D15-DB47-B900-5E622150020B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Criterio de desempate: o segundo colocado estava no grupo do Walter.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Tabelas 2024.xlsx!Atheletes" type="102" refreshedVersion="8" minRefreshableVersion="5">
    <extLst>
      <ext xmlns:x15="http://schemas.microsoft.com/office/spreadsheetml/2010/11/main" uri="{DE250136-89BD-433C-8126-D09CA5730AF9}">
        <x15:connection id="Atheletes">
          <x15:rangePr sourceName="_xlcn.WorksheetConnection_Tabelas2024.xlsxAtheletes"/>
        </x15:connection>
      </ext>
    </extLst>
  </connection>
  <connection id="3" xr16:uid="{00000000-0015-0000-FFFF-FFFF02000000}" name="WorksheetConnection_Tabelas 2024.xlsx!Results" type="102" refreshedVersion="8" minRefreshableVersion="5">
    <extLst>
      <ext xmlns:x15="http://schemas.microsoft.com/office/spreadsheetml/2010/11/main" uri="{DE250136-89BD-433C-8126-D09CA5730AF9}">
        <x15:connection id="Results" autoDelete="1">
          <x15:rangePr sourceName="_xlcn.WorksheetConnection_Tabelas2024.xlsxResult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<sst xmlns="http://schemas.openxmlformats.org/spreadsheetml/2006/main" count="6867" uniqueCount="947">
  <si>
    <t>DIVISION</t>
  </si>
  <si>
    <t>Athelete</t>
  </si>
  <si>
    <t>Stage 1</t>
  </si>
  <si>
    <t>Points</t>
  </si>
  <si>
    <t>Stage 2</t>
  </si>
  <si>
    <t>Points2</t>
  </si>
  <si>
    <t>Stage 3</t>
  </si>
  <si>
    <t>Points3</t>
  </si>
  <si>
    <t>Rank</t>
  </si>
  <si>
    <t>Total</t>
  </si>
  <si>
    <t>LA LIGA - STAGE PHASE</t>
  </si>
  <si>
    <t>MALE
A</t>
  </si>
  <si>
    <t>João Barreto</t>
  </si>
  <si>
    <t>Critério de desempate:</t>
  </si>
  <si>
    <t>Points per Rank</t>
  </si>
  <si>
    <t>Bruno Soares</t>
  </si>
  <si>
    <t>1- Número de vitórias</t>
  </si>
  <si>
    <t>Bruno Montini</t>
  </si>
  <si>
    <t>2- Saldo pontos</t>
  </si>
  <si>
    <t>1st</t>
  </si>
  <si>
    <t>Thyago Henrique</t>
  </si>
  <si>
    <t>3- Pontos marcados</t>
  </si>
  <si>
    <t>2nd</t>
  </si>
  <si>
    <t>Pedro Nagib</t>
  </si>
  <si>
    <t xml:space="preserve">4- Menos pontos sofridos </t>
  </si>
  <si>
    <t>3rd</t>
  </si>
  <si>
    <t>Eduardo Ferreira</t>
  </si>
  <si>
    <t xml:space="preserve">5- Confronto direto </t>
  </si>
  <si>
    <t>4th</t>
  </si>
  <si>
    <t>Gerardo Torres</t>
  </si>
  <si>
    <t>6- Maior saldo no confronto direto</t>
  </si>
  <si>
    <t>5th</t>
  </si>
  <si>
    <t>Victor Alemão</t>
  </si>
  <si>
    <t>7- Mais pontos marcados no confronto direto</t>
  </si>
  <si>
    <t>6th</t>
  </si>
  <si>
    <t>Thomas Zahn</t>
  </si>
  <si>
    <t>8- Menos pontos sofridos no confronto direto</t>
  </si>
  <si>
    <t>7th</t>
  </si>
  <si>
    <t>Renan Guiot</t>
  </si>
  <si>
    <t>10th</t>
  </si>
  <si>
    <t>9- Sorteio (1ºao4º) Empate (5º&amp;6º)</t>
  </si>
  <si>
    <t>8th</t>
  </si>
  <si>
    <t>Gabriel Bugao</t>
  </si>
  <si>
    <t>10- Atleta em grupo mais dificil (grupo do campeao, i.e.)</t>
  </si>
  <si>
    <t>9th</t>
  </si>
  <si>
    <t>David Aitkens</t>
  </si>
  <si>
    <t>Jose Hermano</t>
  </si>
  <si>
    <t>13th</t>
  </si>
  <si>
    <t>LA LIGA - GENERAL</t>
  </si>
  <si>
    <t>11th</t>
  </si>
  <si>
    <t>Guilherme Nascimento</t>
  </si>
  <si>
    <t>12th</t>
  </si>
  <si>
    <t>Gabriel Velloso</t>
  </si>
  <si>
    <t>1- Maior quantidade de Stages jogados</t>
  </si>
  <si>
    <t>Daniel Gaspar</t>
  </si>
  <si>
    <t>16th</t>
  </si>
  <si>
    <t>2- Melhores colocações conquistadas</t>
  </si>
  <si>
    <t>14th</t>
  </si>
  <si>
    <t>Alex Abrantes</t>
  </si>
  <si>
    <t>3-  Stage de confronto direto</t>
  </si>
  <si>
    <t>15th</t>
  </si>
  <si>
    <t>Bernardo Trotta</t>
  </si>
  <si>
    <t>4- Stage com maiores # de atletas</t>
  </si>
  <si>
    <t>FEMALE 
A</t>
  </si>
  <si>
    <t>Gabriela</t>
  </si>
  <si>
    <t>Fiorella</t>
  </si>
  <si>
    <t>Roberta G.</t>
  </si>
  <si>
    <t>Bella</t>
  </si>
  <si>
    <t>Giovanna</t>
  </si>
  <si>
    <t>Janelle</t>
  </si>
  <si>
    <t>Talita</t>
  </si>
  <si>
    <t>Priscila</t>
  </si>
  <si>
    <t>Julia C.</t>
  </si>
  <si>
    <t>Natalia</t>
  </si>
  <si>
    <t>Paula F.</t>
  </si>
  <si>
    <t>Beesan</t>
  </si>
  <si>
    <t>Maria Luisa</t>
  </si>
  <si>
    <t>MALE
B</t>
  </si>
  <si>
    <t>Matheus L.</t>
  </si>
  <si>
    <t>Marcelo</t>
  </si>
  <si>
    <t>Luiz Zuneda</t>
  </si>
  <si>
    <t>Bebeto</t>
  </si>
  <si>
    <t>Luka</t>
  </si>
  <si>
    <t>Rafael</t>
  </si>
  <si>
    <t>Cauã</t>
  </si>
  <si>
    <t>Pedro Itajai</t>
  </si>
  <si>
    <t>Zak</t>
  </si>
  <si>
    <t>Matheus T.</t>
  </si>
  <si>
    <t>Amit H.</t>
  </si>
  <si>
    <t>Jerry</t>
  </si>
  <si>
    <t>Felipe Romanelli</t>
  </si>
  <si>
    <t>Bruno C.</t>
  </si>
  <si>
    <t>Tizoc</t>
  </si>
  <si>
    <t>Guti</t>
  </si>
  <si>
    <t>Deko (Couto)</t>
  </si>
  <si>
    <t>Leozinho</t>
  </si>
  <si>
    <t>Jovan</t>
  </si>
  <si>
    <t>Fernando Fabricio (Furby)</t>
  </si>
  <si>
    <t>Rannyere</t>
  </si>
  <si>
    <t>FEMALE
B</t>
  </si>
  <si>
    <t>Stephanie</t>
  </si>
  <si>
    <t>Marie</t>
  </si>
  <si>
    <t>Bia Bertolini</t>
  </si>
  <si>
    <t>Huçana</t>
  </si>
  <si>
    <t>Paula</t>
  </si>
  <si>
    <t>Nati</t>
  </si>
  <si>
    <t>Mariana Meireles</t>
  </si>
  <si>
    <t>Laura</t>
  </si>
  <si>
    <t>Natalie</t>
  </si>
  <si>
    <t>Michelly</t>
  </si>
  <si>
    <t>Mariana Venâncio</t>
  </si>
  <si>
    <t>Paula Constantino</t>
  </si>
  <si>
    <t>Carol</t>
  </si>
  <si>
    <t>Savanna</t>
  </si>
  <si>
    <t>Mariana Freitas</t>
  </si>
  <si>
    <t>Priscilla Jung</t>
  </si>
  <si>
    <t>MALE
C</t>
  </si>
  <si>
    <t>Andrew</t>
  </si>
  <si>
    <t>Raileno</t>
  </si>
  <si>
    <t>Piu</t>
  </si>
  <si>
    <t>Marco</t>
  </si>
  <si>
    <t>Bo Nielsen</t>
  </si>
  <si>
    <t>David</t>
  </si>
  <si>
    <t>Shahar</t>
  </si>
  <si>
    <t>Pablo</t>
  </si>
  <si>
    <t>Alex</t>
  </si>
  <si>
    <t>Teixeira</t>
  </si>
  <si>
    <t>Gabriel</t>
  </si>
  <si>
    <t>Tiago</t>
  </si>
  <si>
    <t>Carlitos</t>
  </si>
  <si>
    <t>Jackson</t>
  </si>
  <si>
    <t>Mariano</t>
  </si>
  <si>
    <t>Pedro</t>
  </si>
  <si>
    <t>Igor</t>
  </si>
  <si>
    <t>FEMALE
C</t>
  </si>
  <si>
    <t>Melissa</t>
  </si>
  <si>
    <t>Fabiola</t>
  </si>
  <si>
    <t>Kiki</t>
  </si>
  <si>
    <t>Talia</t>
  </si>
  <si>
    <t>Larissa</t>
  </si>
  <si>
    <t>Luciana Costa</t>
  </si>
  <si>
    <t>Bia</t>
  </si>
  <si>
    <t>Luiza</t>
  </si>
  <si>
    <t>Bruna</t>
  </si>
  <si>
    <t>MALE
D</t>
  </si>
  <si>
    <t>Walter</t>
  </si>
  <si>
    <t>Thor</t>
  </si>
  <si>
    <t>Ricardo</t>
  </si>
  <si>
    <t>Shiv</t>
  </si>
  <si>
    <t>Ryan</t>
  </si>
  <si>
    <t>Amilcar</t>
  </si>
  <si>
    <t>Ozzy</t>
  </si>
  <si>
    <t>Jorge</t>
  </si>
  <si>
    <t>Evan</t>
  </si>
  <si>
    <t>Matheus</t>
  </si>
  <si>
    <t>Ian</t>
  </si>
  <si>
    <t>Edgar</t>
  </si>
  <si>
    <t>Rodrigo</t>
  </si>
  <si>
    <t>Nikko</t>
  </si>
  <si>
    <t>Mark</t>
  </si>
  <si>
    <t>MALE A
STAGE 1
GROUP PHASE</t>
  </si>
  <si>
    <t>GROUP</t>
  </si>
  <si>
    <t>ATHLETE 1</t>
  </si>
  <si>
    <t>ATHLETE 2</t>
  </si>
  <si>
    <t>SCORE 1</t>
  </si>
  <si>
    <t>SCORE 2</t>
  </si>
  <si>
    <t>ATHLETE 3</t>
  </si>
  <si>
    <t>X</t>
  </si>
  <si>
    <t>Y</t>
  </si>
  <si>
    <t>Z</t>
  </si>
  <si>
    <t>ATHLETE 4</t>
  </si>
  <si>
    <t>SALDO 12</t>
  </si>
  <si>
    <t>SALDO 34</t>
  </si>
  <si>
    <t>PM 12</t>
  </si>
  <si>
    <t>PM 34</t>
  </si>
  <si>
    <t>RESULT 12</t>
  </si>
  <si>
    <t>RESULT 34</t>
  </si>
  <si>
    <t>MALE A - STAGE 1</t>
  </si>
  <si>
    <t>A</t>
  </si>
  <si>
    <t>Athlete</t>
  </si>
  <si>
    <t>B</t>
  </si>
  <si>
    <t>C</t>
  </si>
  <si>
    <t>GROUP PHASE</t>
  </si>
  <si>
    <t>QUARTAS</t>
  </si>
  <si>
    <t>Group</t>
  </si>
  <si>
    <t xml:space="preserve">Atheletes </t>
  </si>
  <si>
    <t>WIN</t>
  </si>
  <si>
    <t>LOSE</t>
  </si>
  <si>
    <t>Saldo</t>
  </si>
  <si>
    <t>PM</t>
  </si>
  <si>
    <t>Rank Support</t>
  </si>
  <si>
    <t>Joint rank sys.</t>
  </si>
  <si>
    <t>Overall Rank</t>
  </si>
  <si>
    <t>Athelete 1</t>
  </si>
  <si>
    <t>Athelete 2</t>
  </si>
  <si>
    <t>SCORE</t>
  </si>
  <si>
    <t>Athelete 3</t>
  </si>
  <si>
    <t>Athelete 4</t>
  </si>
  <si>
    <t>Support indexes for ranking system.</t>
  </si>
  <si>
    <t>SEMI-FINAL</t>
  </si>
  <si>
    <t>FINAL</t>
  </si>
  <si>
    <t>MALE A
STAGE 2
GROUP PHASE</t>
  </si>
  <si>
    <t>MALE A - STAGE 2</t>
  </si>
  <si>
    <t>Athletes</t>
  </si>
  <si>
    <t>Rank support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</si>
  <si>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</si>
  <si>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</si>
  <si>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</si>
  <si>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</si>
  <si>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</si>
  <si>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</si>
  <si>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</si>
  <si>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</si>
  <si>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</si>
  <si>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</si>
  <si>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Arthur Minota</t>
  </si>
  <si>
    <t>C3</t>
  </si>
  <si>
    <t>C4</t>
  </si>
  <si>
    <t>Updated:</t>
  </si>
  <si>
    <t>FEMALE A
STAGE 1
GROUP PHASE</t>
  </si>
  <si>
    <t>FEMALE A - STAGE 1</t>
  </si>
  <si>
    <t>FEMALE A
STAGE 2
GROUP PHASE</t>
  </si>
  <si>
    <t>FEMALE A - STAGE 2</t>
  </si>
  <si>
    <t>MALE B
STAGE 1
GROUP PHASE</t>
  </si>
  <si>
    <t>MALE B - STAGE 1</t>
  </si>
  <si>
    <t>D</t>
  </si>
  <si>
    <t>17th</t>
  </si>
  <si>
    <t>18th</t>
  </si>
  <si>
    <t>19th</t>
  </si>
  <si>
    <t>20th</t>
  </si>
  <si>
    <t>A5</t>
  </si>
  <si>
    <t>B5</t>
  </si>
  <si>
    <t>C5</t>
  </si>
  <si>
    <t>D1</t>
  </si>
  <si>
    <t>D2</t>
  </si>
  <si>
    <t>D3</t>
  </si>
  <si>
    <t>D4</t>
  </si>
  <si>
    <t>D5</t>
  </si>
  <si>
    <t>Regras:</t>
  </si>
  <si>
    <t>:primeiro no ranking geral escolhe sua dupla para as quartas.. Depois o segundo, depois o terceiro, e assim sucessivamente.</t>
  </si>
  <si>
    <t>:definir como será formada as quartas. Primeira equipe formada vs segunda equipe formada, ja sendo em teoria as duplas mais fortes? Primeira equipe formada, contra ultima equipe formada, dando vantagem?</t>
  </si>
  <si>
    <t>MALE B
STAGE 2
GROUP PHASE</t>
  </si>
  <si>
    <t>MALE B - STAGE 2</t>
  </si>
  <si>
    <t>FEMALE B
STAGE 1
GROUP PHASE</t>
  </si>
  <si>
    <t>FEMALE B - STAGE 1</t>
  </si>
  <si>
    <t>A6</t>
  </si>
  <si>
    <t>Reference</t>
  </si>
  <si>
    <t>EA1</t>
  </si>
  <si>
    <t>Paula Faria*</t>
  </si>
  <si>
    <t>n/a</t>
  </si>
  <si>
    <t>EA2</t>
  </si>
  <si>
    <t>Gabriela Cordeiro*</t>
  </si>
  <si>
    <t>EB1</t>
  </si>
  <si>
    <t>Júlia Bonfanti*</t>
  </si>
  <si>
    <t>EB2</t>
  </si>
  <si>
    <t>Beesan*</t>
  </si>
  <si>
    <t>formulas</t>
  </si>
  <si>
    <t>FEMALE B
STAGE 2
GROUP PHASE</t>
  </si>
  <si>
    <t>FEMALE B - STAGE 2</t>
  </si>
  <si>
    <t>FEMALE B
STAGE 3
GROUP PHASE</t>
  </si>
  <si>
    <t>FEMALE B - STAGE 3</t>
  </si>
  <si>
    <t xml:space="preserve">Athletes </t>
  </si>
  <si>
    <t>MALE C
STAGE 1
GROUP PHASE</t>
  </si>
  <si>
    <t>MALE C - STAGE 1</t>
  </si>
  <si>
    <t>MALE C
STAGE 2
GROUP PHASE</t>
  </si>
  <si>
    <t>MALE C - STAGE 2</t>
  </si>
  <si>
    <t>Joackim</t>
  </si>
  <si>
    <t>Male C
STAGE 3
GROUP PHASE</t>
  </si>
  <si>
    <t>MALE C - STAGE 3</t>
  </si>
  <si>
    <t>FEMALE C
STAGE 1
GROUP PHASE</t>
  </si>
  <si>
    <t>FEMALE C - STAGE 1</t>
  </si>
  <si>
    <t>GROUP PHASE (vs version)</t>
  </si>
  <si>
    <t>3rd/4th</t>
  </si>
  <si>
    <t>Bruno Conterville</t>
  </si>
  <si>
    <t>Pedro Itajaí</t>
  </si>
  <si>
    <t>FEMALE C
STAGE 2
GROUP PHASE</t>
  </si>
  <si>
    <t>FEMALE C - STAGE 2</t>
  </si>
  <si>
    <t>General Rank</t>
  </si>
  <si>
    <t>HA1</t>
  </si>
  <si>
    <t>HA2</t>
  </si>
  <si>
    <t>HB1</t>
  </si>
  <si>
    <t>HB2</t>
  </si>
  <si>
    <t>MALE D
STAGE 1
GROUP PHASE</t>
  </si>
  <si>
    <t>MALE D - STAGE 1</t>
  </si>
  <si>
    <t>MALE D
STAGE 2
GROUP PHASE</t>
  </si>
  <si>
    <t>MALE D - STAGE 2</t>
  </si>
  <si>
    <t>MALE D
STAGE 3
GROUP PHASE</t>
  </si>
  <si>
    <t>MALE D - STAGE 3</t>
  </si>
  <si>
    <t>Horse</t>
  </si>
  <si>
    <t>HC1</t>
  </si>
  <si>
    <t>HC2</t>
  </si>
  <si>
    <t>UNLIKELY DUOS
STAGE 1
GROUP PHASE</t>
  </si>
  <si>
    <t>Column2</t>
  </si>
  <si>
    <t>Column1</t>
  </si>
  <si>
    <t>DIV # - STAGE #</t>
  </si>
  <si>
    <t>not updated formula.</t>
  </si>
  <si>
    <t>Team</t>
  </si>
  <si>
    <t>Team 1</t>
  </si>
  <si>
    <t>Team 2</t>
  </si>
  <si>
    <t>Fiorella &amp; Rafa</t>
  </si>
  <si>
    <t>Chacon &amp; bella</t>
  </si>
  <si>
    <t>Dani and Luka</t>
  </si>
  <si>
    <t>x</t>
  </si>
  <si>
    <t>Hermano &amp; Guti</t>
  </si>
  <si>
    <t>Beesan &amp; Pedro</t>
  </si>
  <si>
    <t>Roberta Goulart &amp; João Barreto</t>
  </si>
  <si>
    <t>Gerardo &amp; Marcelo</t>
  </si>
  <si>
    <t>Matheus &amp; Guina</t>
  </si>
  <si>
    <t>3rd and 4th</t>
  </si>
  <si>
    <t>FOOTTABLE
#1
GROUP PHASE</t>
  </si>
  <si>
    <t>SCORE 3</t>
  </si>
  <si>
    <t>FOOTTABLE #1</t>
  </si>
  <si>
    <t>Kylie</t>
  </si>
  <si>
    <t>Will</t>
  </si>
  <si>
    <t>Rebecca</t>
  </si>
  <si>
    <t>Tabata</t>
  </si>
  <si>
    <t>Chris</t>
  </si>
  <si>
    <t>A7</t>
  </si>
  <si>
    <t>Mariana Meirelles</t>
  </si>
  <si>
    <t>Mariana Venancio</t>
  </si>
  <si>
    <t>B6</t>
  </si>
  <si>
    <t>B7</t>
  </si>
  <si>
    <t>DIVISION #
STAGE #
GROUP PHASE</t>
  </si>
  <si>
    <t>DIVISION # - STAGE #</t>
  </si>
  <si>
    <t>H</t>
  </si>
  <si>
    <t>H1</t>
  </si>
  <si>
    <t>H2</t>
  </si>
  <si>
    <t>update:</t>
  </si>
  <si>
    <t>DIV #
STAGE #
GROUP PHASE</t>
  </si>
  <si>
    <t>COMPET.
STAGE #
GROUP PHASE</t>
  </si>
  <si>
    <t>consertar formula para puxar os 3 primeiros colocados + terceiro melhor geral.</t>
  </si>
  <si>
    <t>MIX
STAGE 1
GROUP PHASE</t>
  </si>
  <si>
    <t>MIX - STAGE 1</t>
  </si>
  <si>
    <t>Bibi &amp; Tizoc</t>
  </si>
  <si>
    <t>Gabi LA &amp; Caua</t>
  </si>
  <si>
    <t>Fiorella &amp; Guina</t>
  </si>
  <si>
    <t>Roberta &amp; João</t>
  </si>
  <si>
    <t>Bruno C. &amp; Ju</t>
  </si>
  <si>
    <t>Janelle &amp; Pedro I.</t>
  </si>
  <si>
    <t>Malu &amp; Arthur</t>
  </si>
  <si>
    <t>Gabriela C. &amp; Thyago</t>
  </si>
  <si>
    <t>MALE A
STAGE 3
GROUP PHASE</t>
  </si>
  <si>
    <t>MALE A - STAGE 3</t>
  </si>
  <si>
    <t>FEMALE A
STAGE 3
GROUP PHASE</t>
  </si>
  <si>
    <t>FEMALE A - STAGE 3</t>
  </si>
  <si>
    <t>Malu</t>
  </si>
  <si>
    <t>Julia</t>
  </si>
  <si>
    <t>Juliane</t>
  </si>
  <si>
    <t>Gabi Silva</t>
  </si>
  <si>
    <t>Giovana</t>
  </si>
  <si>
    <t>Jessica</t>
  </si>
  <si>
    <t>Gabi Cordeiro</t>
  </si>
  <si>
    <t>MALE B
STAGE 3
GROUP PHASE</t>
  </si>
  <si>
    <t>MALE B - STAGE 3</t>
  </si>
  <si>
    <t>Luiz</t>
  </si>
  <si>
    <t>Lucas</t>
  </si>
  <si>
    <t>Felipe R.</t>
  </si>
  <si>
    <t>Harrinho</t>
  </si>
  <si>
    <t>Zuna</t>
  </si>
  <si>
    <t>Pedro It.</t>
  </si>
  <si>
    <t>Caua</t>
  </si>
  <si>
    <t>Joao</t>
  </si>
  <si>
    <t>Jerry Ruiz</t>
  </si>
  <si>
    <t>Rafa</t>
  </si>
  <si>
    <t>FEMALE C
STAGE 3
GROUP PHASE</t>
  </si>
  <si>
    <t>FEMALE C - STAGE 3</t>
  </si>
  <si>
    <t>Ana</t>
  </si>
  <si>
    <t>Michele</t>
  </si>
  <si>
    <t>MIXED DOUBLE
(Silver)
STAGE 1
GROUP PHASE</t>
  </si>
  <si>
    <t>Mari / Shahar</t>
  </si>
  <si>
    <t>Huçana / Bo</t>
  </si>
  <si>
    <t>Stephanie / Andrew</t>
  </si>
  <si>
    <t>Mari M. / Ricardo</t>
  </si>
  <si>
    <t>Piu / Carol</t>
  </si>
  <si>
    <t>Ana / Alex</t>
  </si>
  <si>
    <t>Natalie / Marcos</t>
  </si>
  <si>
    <t>Bia / Evan</t>
  </si>
  <si>
    <t>COURT 1</t>
  </si>
  <si>
    <t>REFERENCE</t>
  </si>
  <si>
    <t>GAME #</t>
  </si>
  <si>
    <t>TIME</t>
  </si>
  <si>
    <t>STATUS</t>
  </si>
  <si>
    <t>TEAM 1</t>
  </si>
  <si>
    <t>TEAM 2</t>
  </si>
  <si>
    <t>SERVE SEQUENCE</t>
  </si>
  <si>
    <t>MIX</t>
  </si>
  <si>
    <t>______/______/______/______</t>
  </si>
  <si>
    <t>MA</t>
  </si>
  <si>
    <t>MB</t>
  </si>
  <si>
    <t>BREAK</t>
  </si>
  <si>
    <t>ALL COURTS WILL ENTER BREAK FOR MEDIA TEAM TO TAKE PICTURES</t>
  </si>
  <si>
    <t>FA</t>
  </si>
  <si>
    <t>Quarter MB</t>
  </si>
  <si>
    <t>Quarter MA</t>
  </si>
  <si>
    <t>Semi MB</t>
  </si>
  <si>
    <t>Semi MA</t>
  </si>
  <si>
    <t>Semi FA</t>
  </si>
  <si>
    <t>FINAL MIX</t>
  </si>
  <si>
    <t>FINAL MB</t>
  </si>
  <si>
    <t>FINAL FA</t>
  </si>
  <si>
    <t>FINAL MA</t>
  </si>
  <si>
    <t>Division at play</t>
  </si>
  <si>
    <t>COED</t>
  </si>
  <si>
    <t>COURT 2.1</t>
  </si>
  <si>
    <t>Quarter MIX</t>
  </si>
  <si>
    <t>3rd/4th MIX</t>
  </si>
  <si>
    <t>AVAILABLE</t>
  </si>
  <si>
    <t>GAME PLAYED AT COURT 1</t>
  </si>
  <si>
    <t>Female B-3</t>
  </si>
  <si>
    <t>COURT 2.2</t>
  </si>
  <si>
    <t>Semi MIX</t>
  </si>
  <si>
    <t>Male C-3</t>
  </si>
  <si>
    <t>COURT 3</t>
  </si>
  <si>
    <t>FC</t>
  </si>
  <si>
    <t>Quarter FA</t>
  </si>
  <si>
    <t>Male D-3</t>
  </si>
  <si>
    <t>COURT 4</t>
  </si>
  <si>
    <t>SEMI FC</t>
  </si>
  <si>
    <t>FINAL FC</t>
  </si>
  <si>
    <t>Group Phase</t>
  </si>
  <si>
    <t>quarter</t>
  </si>
  <si>
    <t>semis</t>
  </si>
  <si>
    <t>finals</t>
  </si>
  <si>
    <t>total games</t>
  </si>
  <si>
    <t>Male A</t>
  </si>
  <si>
    <t>10 athletes</t>
  </si>
  <si>
    <t>Female A</t>
  </si>
  <si>
    <t>Male B</t>
  </si>
  <si>
    <t>16 athletes</t>
  </si>
  <si>
    <t>Female C</t>
  </si>
  <si>
    <t>6 athletes + H</t>
  </si>
  <si>
    <t>Mix Doubles (silver)</t>
  </si>
  <si>
    <t>8 Doubles</t>
  </si>
  <si>
    <t>10am</t>
  </si>
  <si>
    <t>9:30am</t>
  </si>
  <si>
    <t>MA1</t>
  </si>
  <si>
    <t>FA1</t>
  </si>
  <si>
    <t>MB1</t>
  </si>
  <si>
    <t>FC1</t>
  </si>
  <si>
    <t>MIX1</t>
  </si>
  <si>
    <t>Court 1</t>
  </si>
  <si>
    <t>Court 2.1</t>
  </si>
  <si>
    <t>Court 2.2</t>
  </si>
  <si>
    <t>Court 3</t>
  </si>
  <si>
    <t>Court 4</t>
  </si>
  <si>
    <t>MA2</t>
  </si>
  <si>
    <t>FA2</t>
  </si>
  <si>
    <t>MB2</t>
  </si>
  <si>
    <t>FC2</t>
  </si>
  <si>
    <t>MIX2</t>
  </si>
  <si>
    <t>game 1</t>
  </si>
  <si>
    <t>MA3</t>
  </si>
  <si>
    <t>FA3</t>
  </si>
  <si>
    <t>MB3</t>
  </si>
  <si>
    <t>FC3</t>
  </si>
  <si>
    <t>MIX3</t>
  </si>
  <si>
    <t>game 2</t>
  </si>
  <si>
    <t>MIX4</t>
  </si>
  <si>
    <t>FC4</t>
  </si>
  <si>
    <t>MA4</t>
  </si>
  <si>
    <t>FA4</t>
  </si>
  <si>
    <t>MB4</t>
  </si>
  <si>
    <t>game 3</t>
  </si>
  <si>
    <t>MIX5</t>
  </si>
  <si>
    <t>FC5</t>
  </si>
  <si>
    <t>FC6</t>
  </si>
  <si>
    <t>MA5</t>
  </si>
  <si>
    <t>FA5</t>
  </si>
  <si>
    <t>MB5</t>
  </si>
  <si>
    <t>game 4</t>
  </si>
  <si>
    <t>MIX6</t>
  </si>
  <si>
    <t>FC7</t>
  </si>
  <si>
    <t>FC8</t>
  </si>
  <si>
    <t>MA6</t>
  </si>
  <si>
    <t>FA6</t>
  </si>
  <si>
    <t>MB6</t>
  </si>
  <si>
    <t>game 5</t>
  </si>
  <si>
    <t>MIX8</t>
  </si>
  <si>
    <t>FC9</t>
  </si>
  <si>
    <t>MIX7</t>
  </si>
  <si>
    <t>MA7</t>
  </si>
  <si>
    <t>FA7</t>
  </si>
  <si>
    <t>MB7</t>
  </si>
  <si>
    <t>game 6</t>
  </si>
  <si>
    <t>FCS1</t>
  </si>
  <si>
    <t>MIX9</t>
  </si>
  <si>
    <t>MA8</t>
  </si>
  <si>
    <t>FA8</t>
  </si>
  <si>
    <t>MB8</t>
  </si>
  <si>
    <t>game 7</t>
  </si>
  <si>
    <t>MIX10</t>
  </si>
  <si>
    <t>MA9</t>
  </si>
  <si>
    <t>FA9</t>
  </si>
  <si>
    <t>MB9</t>
  </si>
  <si>
    <t>game 8</t>
  </si>
  <si>
    <t>FCF</t>
  </si>
  <si>
    <t>MIX11</t>
  </si>
  <si>
    <t>MA10</t>
  </si>
  <si>
    <t>FA10</t>
  </si>
  <si>
    <t>MB10</t>
  </si>
  <si>
    <t>game 9</t>
  </si>
  <si>
    <t>MIX12</t>
  </si>
  <si>
    <t>MAQ1</t>
  </si>
  <si>
    <t>FAQ1</t>
  </si>
  <si>
    <t>MB11</t>
  </si>
  <si>
    <t>game 10</t>
  </si>
  <si>
    <t>MAQ2</t>
  </si>
  <si>
    <t>FAQ2</t>
  </si>
  <si>
    <t>MB12</t>
  </si>
  <si>
    <t>game 11</t>
  </si>
  <si>
    <t>MAS1</t>
  </si>
  <si>
    <t>FAS1</t>
  </si>
  <si>
    <t>MBQ1</t>
  </si>
  <si>
    <t>MIXQ1</t>
  </si>
  <si>
    <t>game 12</t>
  </si>
  <si>
    <t>MIXQ2</t>
  </si>
  <si>
    <t>MAF</t>
  </si>
  <si>
    <t>FAF</t>
  </si>
  <si>
    <t>MBQ2</t>
  </si>
  <si>
    <t>game 13</t>
  </si>
  <si>
    <t>MIXQ4</t>
  </si>
  <si>
    <t>MBS1</t>
  </si>
  <si>
    <t>MIXQ3</t>
  </si>
  <si>
    <t>game 14</t>
  </si>
  <si>
    <t>MBF</t>
  </si>
  <si>
    <t>game 15</t>
  </si>
  <si>
    <t>MIXS1</t>
  </si>
  <si>
    <t>game 16</t>
  </si>
  <si>
    <t>MIXS2</t>
  </si>
  <si>
    <t>game 17</t>
  </si>
  <si>
    <t>MIX3/4</t>
  </si>
  <si>
    <t>MIXF</t>
  </si>
  <si>
    <t>game 18</t>
  </si>
  <si>
    <t>game 19</t>
  </si>
  <si>
    <t>game 20</t>
  </si>
  <si>
    <t>game 21</t>
  </si>
  <si>
    <t>game 22</t>
  </si>
  <si>
    <t>game 23</t>
  </si>
  <si>
    <t>game 24</t>
  </si>
  <si>
    <t>game 25</t>
  </si>
  <si>
    <t>SEMI MIX</t>
  </si>
  <si>
    <t>OPEN</t>
  </si>
  <si>
    <t>.</t>
  </si>
  <si>
    <t>TEAM</t>
  </si>
  <si>
    <t>,</t>
  </si>
  <si>
    <t xml:space="preserve">TEAM </t>
  </si>
  <si>
    <t>WM1</t>
  </si>
  <si>
    <t>N/A</t>
  </si>
  <si>
    <t>LM1</t>
  </si>
  <si>
    <t>WM2</t>
  </si>
  <si>
    <t>LM2</t>
  </si>
  <si>
    <t>WM3</t>
  </si>
  <si>
    <t>LM3</t>
  </si>
  <si>
    <t>WM4</t>
  </si>
  <si>
    <t>LM4</t>
  </si>
  <si>
    <t>WM5</t>
  </si>
  <si>
    <t>LM5</t>
  </si>
  <si>
    <t>WM6</t>
  </si>
  <si>
    <t>LM6</t>
  </si>
  <si>
    <t>WM7</t>
  </si>
  <si>
    <t>LM7</t>
  </si>
  <si>
    <t>WM8</t>
  </si>
  <si>
    <t>LM8</t>
  </si>
  <si>
    <t>WM9</t>
  </si>
  <si>
    <t>LM9</t>
  </si>
  <si>
    <t>WM10</t>
  </si>
  <si>
    <t>LM10</t>
  </si>
  <si>
    <t>WM11</t>
  </si>
  <si>
    <t>LM11</t>
  </si>
  <si>
    <t>WM12</t>
  </si>
  <si>
    <t>LM12</t>
  </si>
  <si>
    <t>WM13</t>
  </si>
  <si>
    <t>LM13</t>
  </si>
  <si>
    <t>WM14</t>
  </si>
  <si>
    <t>LM14</t>
  </si>
  <si>
    <t>WM15</t>
  </si>
  <si>
    <t>LM15</t>
  </si>
  <si>
    <t>WM16</t>
  </si>
  <si>
    <t>LM16</t>
  </si>
  <si>
    <t>WM17</t>
  </si>
  <si>
    <t>LM17</t>
  </si>
  <si>
    <t>WM18</t>
  </si>
  <si>
    <t>LM18</t>
  </si>
  <si>
    <t>WM19</t>
  </si>
  <si>
    <t>LM19</t>
  </si>
  <si>
    <t>WM20</t>
  </si>
  <si>
    <t>LM20</t>
  </si>
  <si>
    <t>WM21</t>
  </si>
  <si>
    <t>LM21</t>
  </si>
  <si>
    <t>WM22</t>
  </si>
  <si>
    <t>LM22</t>
  </si>
  <si>
    <t>WM23</t>
  </si>
  <si>
    <t>LM23</t>
  </si>
  <si>
    <t>WM24</t>
  </si>
  <si>
    <t>LM24</t>
  </si>
  <si>
    <t>WM25</t>
  </si>
  <si>
    <t>LM25</t>
  </si>
  <si>
    <t>WM26</t>
  </si>
  <si>
    <t>LM26</t>
  </si>
  <si>
    <t>WM27</t>
  </si>
  <si>
    <t>LM27</t>
  </si>
  <si>
    <t>WM28</t>
  </si>
  <si>
    <t>LM28</t>
  </si>
  <si>
    <t>WM29</t>
  </si>
  <si>
    <t>LM29</t>
  </si>
  <si>
    <t>WM30</t>
  </si>
  <si>
    <t>LM30</t>
  </si>
  <si>
    <t>WM31</t>
  </si>
  <si>
    <t>LM31</t>
  </si>
  <si>
    <t>WM32</t>
  </si>
  <si>
    <t>LM32</t>
  </si>
  <si>
    <t>WM33</t>
  </si>
  <si>
    <t>LM33</t>
  </si>
  <si>
    <t>WM34</t>
  </si>
  <si>
    <t>LM34</t>
  </si>
  <si>
    <t>WM35</t>
  </si>
  <si>
    <t>LM35</t>
  </si>
  <si>
    <t>WM36</t>
  </si>
  <si>
    <t>LM36</t>
  </si>
  <si>
    <t>WM37</t>
  </si>
  <si>
    <t>LM37</t>
  </si>
  <si>
    <t>WM38</t>
  </si>
  <si>
    <t>LM38</t>
  </si>
  <si>
    <t>WM39</t>
  </si>
  <si>
    <t>LM39</t>
  </si>
  <si>
    <t>WM40</t>
  </si>
  <si>
    <t>LM40</t>
  </si>
  <si>
    <t>WM41</t>
  </si>
  <si>
    <t>LM41</t>
  </si>
  <si>
    <t>WM42</t>
  </si>
  <si>
    <t>LM42</t>
  </si>
  <si>
    <t>WM43</t>
  </si>
  <si>
    <t>LM43</t>
  </si>
  <si>
    <t>WM44</t>
  </si>
  <si>
    <t>LM44</t>
  </si>
  <si>
    <t>WM45</t>
  </si>
  <si>
    <t>LM45</t>
  </si>
  <si>
    <t>WM46</t>
  </si>
  <si>
    <t>LM46</t>
  </si>
  <si>
    <t>WM47</t>
  </si>
  <si>
    <t>LM47</t>
  </si>
  <si>
    <t>WM48</t>
  </si>
  <si>
    <t>LM48</t>
  </si>
  <si>
    <t>WM49</t>
  </si>
  <si>
    <t>LM49</t>
  </si>
  <si>
    <t>WM50</t>
  </si>
  <si>
    <t>LM50</t>
  </si>
  <si>
    <t>WM51</t>
  </si>
  <si>
    <t>LM51</t>
  </si>
  <si>
    <t>WM52</t>
  </si>
  <si>
    <t>LM52</t>
  </si>
  <si>
    <t>WM53</t>
  </si>
  <si>
    <t>LM53</t>
  </si>
  <si>
    <t>WM54</t>
  </si>
  <si>
    <t>LM54</t>
  </si>
  <si>
    <t>WM55</t>
  </si>
  <si>
    <t>LM55</t>
  </si>
  <si>
    <t>WM56</t>
  </si>
  <si>
    <t>LM56</t>
  </si>
  <si>
    <t>WM57</t>
  </si>
  <si>
    <t>LM57</t>
  </si>
  <si>
    <t>WM58</t>
  </si>
  <si>
    <t>LM58</t>
  </si>
  <si>
    <t>WM59</t>
  </si>
  <si>
    <t>LM59</t>
  </si>
  <si>
    <t>WM60</t>
  </si>
  <si>
    <t>LM60</t>
  </si>
  <si>
    <t>WM61</t>
  </si>
  <si>
    <t>LM61</t>
  </si>
  <si>
    <t>WM62</t>
  </si>
  <si>
    <t>LM62</t>
  </si>
  <si>
    <t>WM63</t>
  </si>
  <si>
    <t>LM63</t>
  </si>
  <si>
    <t>WM64</t>
  </si>
  <si>
    <t>LM64</t>
  </si>
  <si>
    <t>WM65</t>
  </si>
  <si>
    <t>LM65</t>
  </si>
  <si>
    <t>WM66</t>
  </si>
  <si>
    <t>LM66</t>
  </si>
  <si>
    <t>WM67</t>
  </si>
  <si>
    <t>LM67</t>
  </si>
  <si>
    <t>WM68</t>
  </si>
  <si>
    <t>LM68</t>
  </si>
  <si>
    <t>WM69</t>
  </si>
  <si>
    <t>LM69</t>
  </si>
  <si>
    <t>WM70</t>
  </si>
  <si>
    <t>LM70</t>
  </si>
  <si>
    <t>WM71</t>
  </si>
  <si>
    <t>LM71</t>
  </si>
  <si>
    <t>WM72</t>
  </si>
  <si>
    <t>LM72</t>
  </si>
  <si>
    <t>WM73</t>
  </si>
  <si>
    <t>LM73</t>
  </si>
  <si>
    <t>WM74</t>
  </si>
  <si>
    <t>LM74</t>
  </si>
  <si>
    <t>WM75</t>
  </si>
  <si>
    <t>LM75</t>
  </si>
  <si>
    <t>WM76</t>
  </si>
  <si>
    <t>LM76</t>
  </si>
  <si>
    <t>WM77</t>
  </si>
  <si>
    <t>LM77</t>
  </si>
  <si>
    <t>WM78</t>
  </si>
  <si>
    <t>LM78</t>
  </si>
  <si>
    <t>WM79</t>
  </si>
  <si>
    <t>LM79</t>
  </si>
  <si>
    <t>WM80</t>
  </si>
  <si>
    <t>LM80</t>
  </si>
  <si>
    <t>WM81</t>
  </si>
  <si>
    <t>LM81</t>
  </si>
  <si>
    <t>WM82</t>
  </si>
  <si>
    <t>LM82</t>
  </si>
  <si>
    <t>WM83</t>
  </si>
  <si>
    <t>LM83</t>
  </si>
  <si>
    <t>WM84</t>
  </si>
  <si>
    <t>LM84</t>
  </si>
  <si>
    <t>WM85</t>
  </si>
  <si>
    <t>LM85</t>
  </si>
  <si>
    <t>WM86</t>
  </si>
  <si>
    <t>LM86</t>
  </si>
  <si>
    <r>
      <t xml:space="preserve">HORÁRIO
</t>
    </r>
    <r>
      <rPr>
        <b/>
        <sz val="14"/>
        <rFont val="Aptos Narrow (Body)"/>
      </rPr>
      <t>(estimated)</t>
    </r>
  </si>
  <si>
    <t>REF #</t>
  </si>
  <si>
    <t>COMMENTS</t>
  </si>
  <si>
    <t>O1</t>
  </si>
  <si>
    <t>M4</t>
  </si>
  <si>
    <t>Nathan Mohler / Natan Costa</t>
  </si>
  <si>
    <t>Pedro Itajahy / Marcelo Bahia</t>
  </si>
  <si>
    <t>M22</t>
  </si>
  <si>
    <t>Caua Szot Soares / Eduardo Villar</t>
  </si>
  <si>
    <t>Mark Millan / Harry Abraham</t>
  </si>
  <si>
    <t>M13</t>
  </si>
  <si>
    <t>Bruno Soares / Gustavo Teodoro</t>
  </si>
  <si>
    <t>WM6 -</t>
  </si>
  <si>
    <t>M25</t>
  </si>
  <si>
    <t>César Fiorio / Thiago Mixirica</t>
  </si>
  <si>
    <t>WM18 -</t>
  </si>
  <si>
    <t>M30</t>
  </si>
  <si>
    <t>Felipe Carbonaro / Felipinho Nascimento</t>
  </si>
  <si>
    <t>WM23 -</t>
  </si>
  <si>
    <t>BG</t>
  </si>
  <si>
    <t>M2</t>
  </si>
  <si>
    <t>David Butko / Pablo Lucero</t>
  </si>
  <si>
    <t>Mark Morrison / Julio Munoz</t>
  </si>
  <si>
    <t>GROUP B</t>
  </si>
  <si>
    <t>M35</t>
  </si>
  <si>
    <t>LM6 -</t>
  </si>
  <si>
    <t>LM10 -</t>
  </si>
  <si>
    <t>M34</t>
  </si>
  <si>
    <t>LM4 -</t>
  </si>
  <si>
    <t>LM13 -</t>
  </si>
  <si>
    <t>M6</t>
  </si>
  <si>
    <t>Felipe Maximiano / Raileno Araujo</t>
  </si>
  <si>
    <t>Alex Sillis / Mariano Gabriel</t>
  </si>
  <si>
    <t>GROUP C</t>
  </si>
  <si>
    <t>M43</t>
  </si>
  <si>
    <t>WM29 -</t>
  </si>
  <si>
    <t>WM13 -</t>
  </si>
  <si>
    <t>M48</t>
  </si>
  <si>
    <t>LM9 -</t>
  </si>
  <si>
    <t>WM40 -</t>
  </si>
  <si>
    <t>M45</t>
  </si>
  <si>
    <t>WM37 -</t>
  </si>
  <si>
    <t>LM14 -</t>
  </si>
  <si>
    <t>M7</t>
  </si>
  <si>
    <t>Vinicius Valiati / Leonardo Menzen</t>
  </si>
  <si>
    <t>Ricardo Buarque / "Ozzy" Wardak</t>
  </si>
  <si>
    <t>GROUP A</t>
  </si>
  <si>
    <t>M69</t>
  </si>
  <si>
    <t>WM41 -</t>
  </si>
  <si>
    <t>WM42 -</t>
  </si>
  <si>
    <t>M58</t>
  </si>
  <si>
    <t>WM46 -</t>
  </si>
  <si>
    <t>LM42 -</t>
  </si>
  <si>
    <t>M10</t>
  </si>
  <si>
    <t>2nd Best 3rd Place</t>
  </si>
  <si>
    <t>3rd Best 3rd Place</t>
  </si>
  <si>
    <t>O2</t>
  </si>
  <si>
    <t>M53</t>
  </si>
  <si>
    <t>LM48 -</t>
  </si>
  <si>
    <t>WM50 -</t>
  </si>
  <si>
    <t>M72</t>
  </si>
  <si>
    <t>WM59 -</t>
  </si>
  <si>
    <t>WM60 -</t>
  </si>
  <si>
    <t>O2 - SEMI</t>
  </si>
  <si>
    <t>M56</t>
  </si>
  <si>
    <t>WM53 -</t>
  </si>
  <si>
    <t>WM54 -</t>
  </si>
  <si>
    <t>M75</t>
  </si>
  <si>
    <t>WM71 -</t>
  </si>
  <si>
    <t>LM70 -</t>
  </si>
  <si>
    <t>O2 - FINAL</t>
  </si>
  <si>
    <t>M62</t>
  </si>
  <si>
    <t>WM55 -</t>
  </si>
  <si>
    <t>WM56 -</t>
  </si>
  <si>
    <t>O1 - SEMI</t>
  </si>
  <si>
    <t>M80</t>
  </si>
  <si>
    <t>WM70 -</t>
  </si>
  <si>
    <t>WM76 -</t>
  </si>
  <si>
    <t>W FINAL</t>
  </si>
  <si>
    <t>M15</t>
  </si>
  <si>
    <t>WM12 -</t>
  </si>
  <si>
    <t>O1 - 3/4</t>
  </si>
  <si>
    <t>M83</t>
  </si>
  <si>
    <t>LM79 -</t>
  </si>
  <si>
    <t>LM80 -</t>
  </si>
  <si>
    <t>O1 - FINAL</t>
  </si>
  <si>
    <t>M86</t>
  </si>
  <si>
    <t>WM79 -</t>
  </si>
  <si>
    <t>WM80 -</t>
  </si>
  <si>
    <t>COURT 2</t>
  </si>
  <si>
    <t>W</t>
  </si>
  <si>
    <t>M1</t>
  </si>
  <si>
    <t>Kaitlyn Brunworth / Karol Muniz</t>
  </si>
  <si>
    <t>Roberta Goulart / Jessica Filka</t>
  </si>
  <si>
    <t>Ana Schardong / Fiorella Pellegrini</t>
  </si>
  <si>
    <t>Juliane Braga / Fabiola Zanella</t>
  </si>
  <si>
    <t>M3</t>
  </si>
  <si>
    <t>Maria Gabriela / Julia Bonfanti</t>
  </si>
  <si>
    <t>Vivian Yoshiura / Fernanda da Silva</t>
  </si>
  <si>
    <t>M5</t>
  </si>
  <si>
    <t>Talita Pereira / Thamara Moreira</t>
  </si>
  <si>
    <t>M8</t>
  </si>
  <si>
    <t>M9</t>
  </si>
  <si>
    <t>2ND GB -</t>
  </si>
  <si>
    <t>3RD GA -</t>
  </si>
  <si>
    <t>M11</t>
  </si>
  <si>
    <t>2ND GA -</t>
  </si>
  <si>
    <t>3RD GB -</t>
  </si>
  <si>
    <t>M12</t>
  </si>
  <si>
    <t>1ST GA -</t>
  </si>
  <si>
    <t>WM10 -</t>
  </si>
  <si>
    <t>1ST GB -</t>
  </si>
  <si>
    <t>WM11 -</t>
  </si>
  <si>
    <t>M14</t>
  </si>
  <si>
    <t>LM12 -</t>
  </si>
  <si>
    <t>ADJUST NET HEIGHT TO 2.20M</t>
  </si>
  <si>
    <t>1st Best 2nd place -</t>
  </si>
  <si>
    <t>2nd Best 2nd Place -</t>
  </si>
  <si>
    <t>M51</t>
  </si>
  <si>
    <t>LM46 -</t>
  </si>
  <si>
    <t>LM40 -</t>
  </si>
  <si>
    <t>M71</t>
  </si>
  <si>
    <t>WM57 -</t>
  </si>
  <si>
    <t>WM58 -</t>
  </si>
  <si>
    <t>M55</t>
  </si>
  <si>
    <t>WM51 -</t>
  </si>
  <si>
    <t>WM52 -</t>
  </si>
  <si>
    <t>M76</t>
  </si>
  <si>
    <t>WM72 -</t>
  </si>
  <si>
    <t>LM69 -</t>
  </si>
  <si>
    <t>O2 - 3/4</t>
  </si>
  <si>
    <t>M61</t>
  </si>
  <si>
    <t>LM55 -</t>
  </si>
  <si>
    <t>LM56 -</t>
  </si>
  <si>
    <t>M79</t>
  </si>
  <si>
    <t>WM69 -</t>
  </si>
  <si>
    <t>WM75 -</t>
  </si>
  <si>
    <t>BG - FINAL</t>
  </si>
  <si>
    <t>M18</t>
  </si>
  <si>
    <t>WM15 -</t>
  </si>
  <si>
    <t>WM16 -</t>
  </si>
  <si>
    <t>Matheus Lima / Rafael Godoi</t>
  </si>
  <si>
    <t>Amit Hefer / Eitan Breziner</t>
  </si>
  <si>
    <t>Tizoc Uribe / Luis Reyes</t>
  </si>
  <si>
    <t>Roberto Rubiolo / Justin Bethke</t>
  </si>
  <si>
    <t>M26</t>
  </si>
  <si>
    <t>WM19 -</t>
  </si>
  <si>
    <t>Thyago Henrique / Bruno Montini</t>
  </si>
  <si>
    <t>Fabricio Barancoski / Joao Coutinho</t>
  </si>
  <si>
    <t>Gabriel Velloso / Arthur Godinho</t>
  </si>
  <si>
    <t>Vitor Gameiro / Thales Serra</t>
  </si>
  <si>
    <t>Jerry Ruiz / Luka Stevanovic</t>
  </si>
  <si>
    <t>Ilja Solovjov / Bo Nielsen</t>
  </si>
  <si>
    <t>M39</t>
  </si>
  <si>
    <t>LM22 -</t>
  </si>
  <si>
    <t>LM26 -</t>
  </si>
  <si>
    <t>M37</t>
  </si>
  <si>
    <t>LM18 -</t>
  </si>
  <si>
    <t>LM30 -</t>
  </si>
  <si>
    <t>Shiv Kaul / Marcos Britsch</t>
  </si>
  <si>
    <t>M42</t>
  </si>
  <si>
    <t>WM26 -</t>
  </si>
  <si>
    <t>M50</t>
  </si>
  <si>
    <t>LM38 -</t>
  </si>
  <si>
    <t>LM35 -</t>
  </si>
  <si>
    <t>M47</t>
  </si>
  <si>
    <t>WM39 -</t>
  </si>
  <si>
    <t>WM35 -</t>
  </si>
  <si>
    <t>Gabriela Negrisoli / Tiago de Souza</t>
  </si>
  <si>
    <t>M70</t>
  </si>
  <si>
    <t>WM43 -</t>
  </si>
  <si>
    <t>WM44 -</t>
  </si>
  <si>
    <t>M57</t>
  </si>
  <si>
    <t>LM41 -</t>
  </si>
  <si>
    <t>WM45 -</t>
  </si>
  <si>
    <t>1st GB -</t>
  </si>
  <si>
    <t>1st Best 3rd Place -</t>
  </si>
  <si>
    <t>M54</t>
  </si>
  <si>
    <t>LM37 -</t>
  </si>
  <si>
    <t>LM47 -</t>
  </si>
  <si>
    <t>1st GA -</t>
  </si>
  <si>
    <t>BG - SEMI</t>
  </si>
  <si>
    <t>M16</t>
  </si>
  <si>
    <t>WM14 -</t>
  </si>
  <si>
    <t>BG - 3/4</t>
  </si>
  <si>
    <t>M17</t>
  </si>
  <si>
    <t>LM15 -</t>
  </si>
  <si>
    <t>LM16 -</t>
  </si>
  <si>
    <r>
      <t xml:space="preserve">HORÁRIO
</t>
    </r>
    <r>
      <rPr>
        <b/>
        <sz val="14"/>
        <rFont val="Aptos Narrow"/>
        <scheme val="minor"/>
      </rPr>
      <t>(</t>
    </r>
    <r>
      <rPr>
        <b/>
        <sz val="14"/>
        <rFont val="Aptos Narrow (Body)"/>
      </rPr>
      <t>estimated</t>
    </r>
    <r>
      <rPr>
        <b/>
        <sz val="14"/>
        <rFont val="Aptos Narrow"/>
        <scheme val="minor"/>
      </rPr>
      <t>)</t>
    </r>
  </si>
  <si>
    <t>M19</t>
  </si>
  <si>
    <t>Joao Carlos / Alexandre Freire</t>
  </si>
  <si>
    <t>Ivan Guimaraes / Gabriel Duarte</t>
  </si>
  <si>
    <t>M23</t>
  </si>
  <si>
    <t>Jose "Polaco" Vidal / Julian Conditi</t>
  </si>
  <si>
    <t>Pedro Marques / Henrique Formolo</t>
  </si>
  <si>
    <t>Thomas Zahn / Gerardo Torres</t>
  </si>
  <si>
    <t>WM4 -</t>
  </si>
  <si>
    <t>M29</t>
  </si>
  <si>
    <t>Joao Barreto / Thiago Lusardi</t>
  </si>
  <si>
    <t>WM22 -</t>
  </si>
  <si>
    <t>M40</t>
  </si>
  <si>
    <t>LM23 -</t>
  </si>
  <si>
    <t>LM25 -</t>
  </si>
  <si>
    <t>M38</t>
  </si>
  <si>
    <t>LM19 -</t>
  </si>
  <si>
    <t>LM29 -</t>
  </si>
  <si>
    <t>M41</t>
  </si>
  <si>
    <t>WM25 -</t>
  </si>
  <si>
    <t>WM9 -</t>
  </si>
  <si>
    <t>M44</t>
  </si>
  <si>
    <t>WM30 -</t>
  </si>
  <si>
    <t>M49</t>
  </si>
  <si>
    <t>LM39 -</t>
  </si>
  <si>
    <t>LM34 -</t>
  </si>
  <si>
    <t>M46</t>
  </si>
  <si>
    <t>WM34 -</t>
  </si>
  <si>
    <t>WM38 -</t>
  </si>
  <si>
    <t>M60</t>
  </si>
  <si>
    <t>WM48 -</t>
  </si>
  <si>
    <t>LM44 -</t>
  </si>
  <si>
    <t>M59</t>
  </si>
  <si>
    <t>LM43 -</t>
  </si>
  <si>
    <t>WM47 -</t>
  </si>
  <si>
    <t>1st GC -</t>
  </si>
  <si>
    <t>3rd Best 2nd Place -</t>
  </si>
  <si>
    <t>M52</t>
  </si>
  <si>
    <t>WM49 -</t>
  </si>
  <si>
    <t>LM45 -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</si>
</sst>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#,##0"/>
    <numFmt numFmtId="165" formatCode="[$-409]h:mm\ AM/PM;@"/>
    <numFmt numFmtId="166" formatCode="[$-409]d\-mmm\-yy;@"/>
  </numFmts>
  <fonts count="5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6"/>
      <color theme="1"/>
      <name val="Aptos Narrow"/>
      <scheme val="minor"/>
    </font>
    <font>
      <sz val="16"/>
      <color rgb="FF000000"/>
      <name val="Aptos Narrow"/>
      <scheme val="minor"/>
    </font>
    <font>
      <b/>
      <sz val="16"/>
      <color theme="0"/>
      <name val="Aptos Narrow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</font>
    <font>
      <sz val="16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Aptos Narrow"/>
      <family val="2"/>
      <scheme val="minor"/>
    </font>
    <font>
      <b/>
      <sz val="16"/>
      <name val="Aptos Narrow"/>
      <scheme val="minor"/>
    </font>
    <font>
      <b/>
      <sz val="16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b/>
      <sz val="22"/>
      <color theme="0"/>
      <name val="Aptos Narrow"/>
      <scheme val="minor"/>
    </font>
    <font>
      <b/>
      <sz val="9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name val="Aptos Narrow"/>
      <scheme val="minor"/>
    </font>
    <font>
      <b/>
      <sz val="22"/>
      <name val="Aptos Narrow"/>
      <scheme val="minor"/>
    </font>
    <font>
      <sz val="11"/>
      <color theme="3" tint="0.249977111117893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6"/>
      <name val="Aptos Narrow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6"/>
      <color theme="0"/>
      <name val="Aptos Narrow (Body)"/>
    </font>
    <font>
      <u/>
      <sz val="11"/>
      <name val="Aptos Narrow"/>
      <scheme val="minor"/>
    </font>
    <font>
      <u/>
      <sz val="11"/>
      <color theme="1"/>
      <name val="Aptos Narrow"/>
      <family val="2"/>
      <scheme val="minor"/>
    </font>
    <font>
      <sz val="16"/>
      <name val="Aptos Narrow (Body)"/>
    </font>
    <font>
      <sz val="16"/>
      <name val="Aptos Narrow"/>
      <family val="2"/>
    </font>
    <font>
      <sz val="16"/>
      <name val="Aptos Narrow"/>
    </font>
    <font>
      <sz val="16"/>
      <name val="Aptos Narrow"/>
      <family val="2"/>
      <scheme val="minor"/>
    </font>
    <font>
      <sz val="12"/>
      <name val="Aptos Narrow"/>
    </font>
    <font>
      <sz val="12"/>
      <color theme="0" tint="-0.34998626667073579"/>
      <name val="Aptos Narrow"/>
      <scheme val="minor"/>
    </font>
    <font>
      <sz val="12"/>
      <color theme="0" tint="-0.249977111117893"/>
      <name val="Aptos Narrow"/>
      <scheme val="minor"/>
    </font>
    <font>
      <sz val="12"/>
      <color theme="0" tint="-0.499984740745262"/>
      <name val="Aptos Narrow"/>
      <scheme val="minor"/>
    </font>
    <font>
      <sz val="12"/>
      <color theme="0" tint="-0.499984740745262"/>
      <name val="Aptos Narrow"/>
    </font>
    <font>
      <sz val="12"/>
      <color theme="0" tint="-0.499984740745262"/>
      <name val="Aptos Narrow (Body)"/>
    </font>
    <font>
      <b/>
      <sz val="14"/>
      <name val="Aptos Narrow (Body)"/>
    </font>
    <font>
      <b/>
      <sz val="14"/>
      <name val="Aptos Narrow"/>
      <scheme val="minor"/>
    </font>
    <font>
      <sz val="14"/>
      <color theme="0"/>
      <name val="Aptos Narrow"/>
      <family val="2"/>
      <scheme val="minor"/>
    </font>
    <font>
      <sz val="11"/>
      <name val="Aptos Narrow"/>
      <scheme val="minor"/>
    </font>
    <font>
      <sz val="16"/>
      <color rgb="FF000000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7EEB8"/>
        <bgColor indexed="64"/>
      </patternFill>
    </fill>
    <fill>
      <patternFill patternType="solid">
        <fgColor rgb="FFF7EEB8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156082"/>
        <bgColor rgb="FF15608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theme="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theme="4"/>
      </patternFill>
    </fill>
    <fill>
      <patternFill patternType="solid">
        <fgColor theme="7" tint="0.39997558519241921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theme="4"/>
      </patternFill>
    </fill>
    <fill>
      <patternFill patternType="solid">
        <fgColor theme="6" tint="0.59999389629810485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theme="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rgb="FF44B3E1"/>
      </bottom>
      <diagonal/>
    </border>
    <border>
      <left style="thin">
        <color auto="1"/>
      </left>
      <right/>
      <top/>
      <bottom style="thin">
        <color theme="4" tint="0.39997558519241921"/>
      </bottom>
      <diagonal/>
    </border>
    <border>
      <left/>
      <right style="thin">
        <color auto="1"/>
      </right>
      <top/>
      <bottom style="thin">
        <color theme="4" tint="0.39997558519241921"/>
      </bottom>
      <diagonal/>
    </border>
    <border>
      <left/>
      <right style="thin">
        <color theme="4" tint="0.39994506668294322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B0F0"/>
      </left>
      <right/>
      <top/>
      <bottom/>
      <diagonal/>
    </border>
    <border>
      <left/>
      <right style="thin">
        <color theme="4" tint="0.39994506668294322"/>
      </right>
      <top style="thin">
        <color theme="4" tint="0.39997558519241921"/>
      </top>
      <bottom/>
      <diagonal/>
    </border>
    <border>
      <left style="thin">
        <color theme="4" tint="0.39994506668294322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rgb="FF44B3E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ck">
        <color rgb="FFFF0000"/>
      </right>
      <top/>
      <bottom style="thin">
        <color theme="4" tint="0.39997558519241921"/>
      </bottom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4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7" xfId="0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64" fontId="0" fillId="0" borderId="8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5" borderId="4" xfId="0" applyFill="1" applyBorder="1"/>
    <xf numFmtId="0" fontId="7" fillId="5" borderId="4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/>
    <xf numFmtId="0" fontId="2" fillId="2" borderId="13" xfId="0" applyFon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5" borderId="4" xfId="0" applyFill="1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6" borderId="0" xfId="0" applyFont="1" applyFill="1" applyAlignment="1">
      <alignment vertical="center"/>
    </xf>
    <xf numFmtId="1" fontId="0" fillId="5" borderId="4" xfId="0" applyNumberForma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16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left" vertical="center"/>
    </xf>
    <xf numFmtId="0" fontId="17" fillId="0" borderId="0" xfId="0" applyFont="1"/>
    <xf numFmtId="0" fontId="6" fillId="0" borderId="0" xfId="0" applyFont="1" applyAlignment="1">
      <alignment horizontal="center"/>
    </xf>
    <xf numFmtId="0" fontId="0" fillId="0" borderId="4" xfId="0" applyBorder="1" applyAlignment="1">
      <alignment horizontal="left"/>
    </xf>
    <xf numFmtId="1" fontId="3" fillId="4" borderId="4" xfId="0" applyNumberFormat="1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21" xfId="0" applyBorder="1"/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" fillId="9" borderId="0" xfId="0" applyFont="1" applyFill="1" applyAlignment="1">
      <alignment horizontal="center" vertical="center"/>
    </xf>
    <xf numFmtId="0" fontId="0" fillId="0" borderId="0" xfId="0" applyAlignment="1">
      <alignment horizontal="centerContinuous"/>
    </xf>
    <xf numFmtId="0" fontId="2" fillId="8" borderId="0" xfId="0" applyFont="1" applyFill="1" applyAlignment="1">
      <alignment horizontal="centerContinuous"/>
    </xf>
    <xf numFmtId="1" fontId="0" fillId="0" borderId="0" xfId="0" applyNumberFormat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0" borderId="9" xfId="0" applyBorder="1" applyAlignment="1">
      <alignment horizontal="right"/>
    </xf>
    <xf numFmtId="0" fontId="15" fillId="0" borderId="0" xfId="0" applyFont="1" applyAlignment="1">
      <alignment horizontal="center"/>
    </xf>
    <xf numFmtId="1" fontId="16" fillId="5" borderId="4" xfId="0" applyNumberFormat="1" applyFont="1" applyFill="1" applyBorder="1" applyAlignment="1">
      <alignment horizontal="center" vertical="center"/>
    </xf>
    <xf numFmtId="1" fontId="16" fillId="5" borderId="4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22" fillId="6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1" fontId="16" fillId="5" borderId="4" xfId="0" applyNumberFormat="1" applyFont="1" applyFill="1" applyBorder="1" applyAlignment="1" applyProtection="1">
      <alignment horizontal="center" vertical="center"/>
      <protection locked="0"/>
    </xf>
    <xf numFmtId="1" fontId="0" fillId="5" borderId="4" xfId="0" applyNumberFormat="1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 applyProtection="1">
      <alignment horizontal="center" vertical="center"/>
      <protection locked="0"/>
    </xf>
    <xf numFmtId="0" fontId="0" fillId="4" borderId="18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vertical="center"/>
      <protection locked="0"/>
    </xf>
    <xf numFmtId="0" fontId="0" fillId="4" borderId="0" xfId="0" applyFill="1" applyAlignment="1" applyProtection="1">
      <alignment vertical="center"/>
      <protection locked="0"/>
    </xf>
    <xf numFmtId="0" fontId="25" fillId="0" borderId="0" xfId="0" applyFont="1" applyAlignment="1">
      <alignment vertical="center"/>
    </xf>
    <xf numFmtId="0" fontId="0" fillId="4" borderId="4" xfId="0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24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0" fillId="0" borderId="24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0" fillId="4" borderId="22" xfId="0" applyFill="1" applyBorder="1" applyAlignment="1" applyProtection="1">
      <alignment horizontal="center" vertical="center"/>
      <protection locked="0"/>
    </xf>
    <xf numFmtId="0" fontId="0" fillId="4" borderId="23" xfId="0" applyFill="1" applyBorder="1" applyAlignment="1" applyProtection="1">
      <alignment horizontal="center" vertical="center"/>
      <protection locked="0"/>
    </xf>
    <xf numFmtId="0" fontId="0" fillId="5" borderId="9" xfId="0" applyFill="1" applyBorder="1" applyAlignment="1" applyProtection="1">
      <alignment vertical="center"/>
      <protection locked="0"/>
    </xf>
    <xf numFmtId="0" fontId="0" fillId="5" borderId="24" xfId="0" applyFill="1" applyBorder="1" applyAlignment="1" applyProtection="1">
      <alignment vertical="center"/>
      <protection locked="0"/>
    </xf>
    <xf numFmtId="0" fontId="7" fillId="5" borderId="4" xfId="0" applyFont="1" applyFill="1" applyBorder="1" applyAlignment="1" applyProtection="1">
      <alignment horizontal="center" vertical="center"/>
      <protection locked="0"/>
    </xf>
    <xf numFmtId="0" fontId="0" fillId="4" borderId="20" xfId="0" applyFill="1" applyBorder="1" applyAlignment="1" applyProtection="1">
      <alignment horizontal="center"/>
      <protection locked="0"/>
    </xf>
    <xf numFmtId="0" fontId="16" fillId="4" borderId="19" xfId="0" applyFont="1" applyFill="1" applyBorder="1" applyAlignment="1" applyProtection="1">
      <alignment horizontal="center"/>
      <protection locked="0"/>
    </xf>
    <xf numFmtId="0" fontId="0" fillId="4" borderId="4" xfId="0" applyFill="1" applyBorder="1" applyProtection="1">
      <protection locked="0"/>
    </xf>
    <xf numFmtId="1" fontId="16" fillId="4" borderId="4" xfId="0" applyNumberFormat="1" applyFont="1" applyFill="1" applyBorder="1" applyAlignment="1" applyProtection="1">
      <alignment horizontal="center" vertical="center"/>
      <protection locked="0"/>
    </xf>
    <xf numFmtId="1" fontId="16" fillId="4" borderId="4" xfId="0" applyNumberFormat="1" applyFont="1" applyFill="1" applyBorder="1" applyAlignment="1" applyProtection="1">
      <alignment horizontal="center"/>
      <protection locked="0"/>
    </xf>
    <xf numFmtId="0" fontId="18" fillId="4" borderId="4" xfId="0" applyFont="1" applyFill="1" applyBorder="1" applyAlignment="1" applyProtection="1">
      <alignment horizontal="center"/>
      <protection locked="0"/>
    </xf>
    <xf numFmtId="0" fontId="7" fillId="4" borderId="4" xfId="0" applyFont="1" applyFill="1" applyBorder="1" applyAlignment="1" applyProtection="1">
      <alignment horizontal="center"/>
      <protection locked="0"/>
    </xf>
    <xf numFmtId="0" fontId="0" fillId="0" borderId="25" xfId="0" applyBorder="1"/>
    <xf numFmtId="166" fontId="0" fillId="0" borderId="26" xfId="0" applyNumberFormat="1" applyBorder="1" applyAlignment="1">
      <alignment horizontal="left"/>
    </xf>
    <xf numFmtId="0" fontId="2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0" fillId="4" borderId="4" xfId="0" applyFill="1" applyBorder="1" applyAlignment="1" applyProtection="1">
      <alignment vertical="center"/>
      <protection locked="0"/>
    </xf>
    <xf numFmtId="164" fontId="0" fillId="0" borderId="0" xfId="0" applyNumberFormat="1"/>
    <xf numFmtId="0" fontId="13" fillId="0" borderId="0" xfId="0" applyFont="1" applyAlignment="1">
      <alignment horizontal="center" vertical="center"/>
    </xf>
    <xf numFmtId="0" fontId="0" fillId="5" borderId="3" xfId="0" applyFill="1" applyBorder="1" applyAlignment="1" applyProtection="1">
      <alignment horizontal="center" vertical="center"/>
      <protection locked="0"/>
    </xf>
    <xf numFmtId="1" fontId="16" fillId="5" borderId="4" xfId="0" applyNumberFormat="1" applyFont="1" applyFill="1" applyBorder="1" applyAlignment="1" applyProtection="1">
      <alignment horizontal="center"/>
      <protection locked="0"/>
    </xf>
    <xf numFmtId="0" fontId="16" fillId="4" borderId="17" xfId="0" applyFont="1" applyFill="1" applyBorder="1" applyAlignment="1" applyProtection="1">
      <alignment horizontal="center" vertical="center"/>
      <protection locked="0"/>
    </xf>
    <xf numFmtId="0" fontId="16" fillId="4" borderId="18" xfId="0" applyFont="1" applyFill="1" applyBorder="1" applyAlignment="1" applyProtection="1">
      <alignment horizontal="center" vertical="center"/>
      <protection locked="0"/>
    </xf>
    <xf numFmtId="0" fontId="16" fillId="0" borderId="4" xfId="0" applyFont="1" applyBorder="1" applyAlignment="1">
      <alignment horizontal="right" vertical="center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18" xfId="0" applyFill="1" applyBorder="1" applyAlignment="1" applyProtection="1">
      <alignment horizontal="center"/>
      <protection locked="0"/>
    </xf>
    <xf numFmtId="0" fontId="0" fillId="13" borderId="11" xfId="0" applyFill="1" applyBorder="1" applyAlignment="1">
      <alignment horizontal="center" vertical="center" wrapText="1"/>
    </xf>
    <xf numFmtId="0" fontId="0" fillId="16" borderId="4" xfId="0" applyFill="1" applyBorder="1"/>
    <xf numFmtId="0" fontId="0" fillId="13" borderId="8" xfId="0" applyFill="1" applyBorder="1" applyAlignment="1">
      <alignment horizontal="center" vertical="center"/>
    </xf>
    <xf numFmtId="164" fontId="0" fillId="13" borderId="8" xfId="0" applyNumberFormat="1" applyFill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0" fillId="4" borderId="19" xfId="0" applyFill="1" applyBorder="1" applyAlignment="1" applyProtection="1">
      <alignment horizont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31" fillId="17" borderId="27" xfId="0" applyFont="1" applyFill="1" applyBorder="1" applyAlignment="1">
      <alignment horizontal="center"/>
    </xf>
    <xf numFmtId="1" fontId="16" fillId="4" borderId="4" xfId="0" applyNumberFormat="1" applyFont="1" applyFill="1" applyBorder="1" applyAlignment="1">
      <alignment horizontal="center" vertical="center"/>
    </xf>
    <xf numFmtId="1" fontId="16" fillId="4" borderId="4" xfId="0" applyNumberFormat="1" applyFont="1" applyFill="1" applyBorder="1" applyAlignment="1">
      <alignment horizontal="center"/>
    </xf>
    <xf numFmtId="1" fontId="3" fillId="5" borderId="4" xfId="0" applyNumberFormat="1" applyFont="1" applyFill="1" applyBorder="1" applyAlignment="1" applyProtection="1">
      <alignment horizontal="center" vertical="center"/>
      <protection locked="0"/>
    </xf>
    <xf numFmtId="0" fontId="16" fillId="5" borderId="4" xfId="0" applyFont="1" applyFill="1" applyBorder="1" applyAlignment="1" applyProtection="1">
      <alignment vertical="center"/>
      <protection locked="0"/>
    </xf>
    <xf numFmtId="0" fontId="16" fillId="5" borderId="9" xfId="0" applyFont="1" applyFill="1" applyBorder="1" applyAlignment="1" applyProtection="1">
      <alignment vertical="center"/>
      <protection locked="0"/>
    </xf>
    <xf numFmtId="0" fontId="16" fillId="0" borderId="9" xfId="0" applyFont="1" applyBorder="1" applyAlignment="1">
      <alignment horizontal="right" vertical="center"/>
    </xf>
    <xf numFmtId="0" fontId="16" fillId="5" borderId="24" xfId="0" applyFont="1" applyFill="1" applyBorder="1" applyAlignment="1" applyProtection="1">
      <alignment vertical="center"/>
      <protection locked="0"/>
    </xf>
    <xf numFmtId="0" fontId="16" fillId="0" borderId="29" xfId="0" applyFont="1" applyBorder="1" applyAlignment="1">
      <alignment horizontal="center" vertical="center"/>
    </xf>
    <xf numFmtId="1" fontId="16" fillId="4" borderId="29" xfId="0" applyNumberFormat="1" applyFont="1" applyFill="1" applyBorder="1" applyAlignment="1" applyProtection="1">
      <alignment horizontal="center" vertical="center"/>
      <protection locked="0"/>
    </xf>
    <xf numFmtId="1" fontId="16" fillId="4" borderId="29" xfId="0" applyNumberFormat="1" applyFont="1" applyFill="1" applyBorder="1" applyAlignment="1" applyProtection="1">
      <alignment horizontal="center"/>
      <protection locked="0"/>
    </xf>
    <xf numFmtId="0" fontId="16" fillId="0" borderId="29" xfId="0" applyFont="1" applyBorder="1" applyAlignment="1" applyProtection="1">
      <alignment horizontal="center" vertical="center"/>
      <protection locked="0"/>
    </xf>
    <xf numFmtId="0" fontId="0" fillId="0" borderId="29" xfId="0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4" borderId="9" xfId="0" applyFill="1" applyBorder="1" applyAlignment="1" applyProtection="1">
      <alignment horizontal="center" vertical="center"/>
      <protection locked="0"/>
    </xf>
    <xf numFmtId="0" fontId="3" fillId="0" borderId="29" xfId="0" applyFont="1" applyBorder="1" applyAlignment="1">
      <alignment horizontal="center" vertical="center"/>
    </xf>
    <xf numFmtId="0" fontId="26" fillId="0" borderId="0" xfId="0" applyFont="1"/>
    <xf numFmtId="0" fontId="26" fillId="13" borderId="0" xfId="0" applyFont="1" applyFill="1"/>
    <xf numFmtId="0" fontId="26" fillId="15" borderId="0" xfId="0" applyFont="1" applyFill="1"/>
    <xf numFmtId="0" fontId="26" fillId="19" borderId="0" xfId="0" applyFont="1" applyFill="1"/>
    <xf numFmtId="20" fontId="26" fillId="0" borderId="0" xfId="0" applyNumberFormat="1" applyFont="1"/>
    <xf numFmtId="0" fontId="0" fillId="14" borderId="0" xfId="0" applyFill="1"/>
    <xf numFmtId="0" fontId="0" fillId="4" borderId="4" xfId="0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left" vertical="center"/>
      <protection locked="0"/>
    </xf>
    <xf numFmtId="0" fontId="33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34" fillId="2" borderId="8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/>
    </xf>
    <xf numFmtId="0" fontId="34" fillId="2" borderId="5" xfId="0" applyFont="1" applyFill="1" applyBorder="1"/>
    <xf numFmtId="0" fontId="2" fillId="2" borderId="3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0" fontId="34" fillId="2" borderId="5" xfId="0" applyFont="1" applyFill="1" applyBorder="1" applyAlignment="1">
      <alignment vertical="center"/>
    </xf>
    <xf numFmtId="0" fontId="34" fillId="2" borderId="5" xfId="0" applyFont="1" applyFill="1" applyBorder="1" applyAlignment="1">
      <alignment horizontal="right"/>
    </xf>
    <xf numFmtId="0" fontId="21" fillId="0" borderId="0" xfId="0" applyFont="1" applyAlignment="1">
      <alignment vertical="center"/>
    </xf>
    <xf numFmtId="0" fontId="21" fillId="0" borderId="43" xfId="0" applyFont="1" applyBorder="1" applyAlignment="1">
      <alignment vertical="center"/>
    </xf>
    <xf numFmtId="0" fontId="35" fillId="0" borderId="0" xfId="0" applyFont="1"/>
    <xf numFmtId="0" fontId="35" fillId="0" borderId="43" xfId="0" applyFont="1" applyBorder="1"/>
    <xf numFmtId="0" fontId="0" fillId="0" borderId="43" xfId="0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16" fillId="0" borderId="54" xfId="0" applyFont="1" applyBorder="1" applyAlignment="1">
      <alignment horizontal="left" vertical="center"/>
    </xf>
    <xf numFmtId="0" fontId="16" fillId="0" borderId="55" xfId="0" applyFont="1" applyBorder="1" applyAlignment="1">
      <alignment horizontal="center" vertical="center"/>
    </xf>
    <xf numFmtId="0" fontId="16" fillId="0" borderId="56" xfId="0" applyFont="1" applyBorder="1" applyAlignment="1">
      <alignment horizontal="left" vertical="center"/>
    </xf>
    <xf numFmtId="0" fontId="16" fillId="0" borderId="57" xfId="0" applyFont="1" applyBorder="1" applyAlignment="1">
      <alignment horizontal="center" vertical="center"/>
    </xf>
    <xf numFmtId="1" fontId="13" fillId="13" borderId="30" xfId="0" applyNumberFormat="1" applyFont="1" applyFill="1" applyBorder="1" applyAlignment="1">
      <alignment horizontal="center" vertical="center"/>
    </xf>
    <xf numFmtId="165" fontId="9" fillId="13" borderId="30" xfId="0" applyNumberFormat="1" applyFont="1" applyFill="1" applyBorder="1" applyAlignment="1">
      <alignment horizontal="center" vertical="center"/>
    </xf>
    <xf numFmtId="0" fontId="13" fillId="13" borderId="30" xfId="0" applyFont="1" applyFill="1" applyBorder="1" applyAlignment="1">
      <alignment horizontal="center" vertical="center"/>
    </xf>
    <xf numFmtId="165" fontId="13" fillId="13" borderId="30" xfId="0" applyNumberFormat="1" applyFont="1" applyFill="1" applyBorder="1" applyAlignment="1">
      <alignment horizontal="center" vertical="center"/>
    </xf>
    <xf numFmtId="1" fontId="13" fillId="19" borderId="30" xfId="0" applyNumberFormat="1" applyFont="1" applyFill="1" applyBorder="1" applyAlignment="1">
      <alignment horizontal="center" vertical="center"/>
    </xf>
    <xf numFmtId="165" fontId="13" fillId="19" borderId="30" xfId="0" applyNumberFormat="1" applyFont="1" applyFill="1" applyBorder="1" applyAlignment="1">
      <alignment horizontal="center" vertical="center"/>
    </xf>
    <xf numFmtId="1" fontId="13" fillId="20" borderId="30" xfId="0" applyNumberFormat="1" applyFont="1" applyFill="1" applyBorder="1" applyAlignment="1">
      <alignment horizontal="center" vertical="center"/>
    </xf>
    <xf numFmtId="1" fontId="13" fillId="22" borderId="30" xfId="0" applyNumberFormat="1" applyFont="1" applyFill="1" applyBorder="1" applyAlignment="1">
      <alignment horizontal="center" vertical="center"/>
    </xf>
    <xf numFmtId="0" fontId="19" fillId="23" borderId="30" xfId="0" applyFont="1" applyFill="1" applyBorder="1" applyAlignment="1">
      <alignment horizontal="center" vertical="center"/>
    </xf>
    <xf numFmtId="0" fontId="15" fillId="0" borderId="0" xfId="0" applyFont="1"/>
    <xf numFmtId="165" fontId="1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14" borderId="30" xfId="0" applyFont="1" applyFill="1" applyBorder="1" applyAlignment="1">
      <alignment horizontal="centerContinuous" vertical="center"/>
    </xf>
    <xf numFmtId="1" fontId="38" fillId="14" borderId="30" xfId="0" applyNumberFormat="1" applyFont="1" applyFill="1" applyBorder="1" applyAlignment="1">
      <alignment horizontal="center" vertical="center"/>
    </xf>
    <xf numFmtId="165" fontId="38" fillId="14" borderId="30" xfId="0" applyNumberFormat="1" applyFont="1" applyFill="1" applyBorder="1" applyAlignment="1">
      <alignment horizontal="center" vertical="center"/>
    </xf>
    <xf numFmtId="165" fontId="38" fillId="14" borderId="30" xfId="0" applyNumberFormat="1" applyFont="1" applyFill="1" applyBorder="1" applyAlignment="1">
      <alignment horizontal="centerContinuous" vertical="center"/>
    </xf>
    <xf numFmtId="0" fontId="38" fillId="14" borderId="30" xfId="0" applyFont="1" applyFill="1" applyBorder="1" applyAlignment="1">
      <alignment horizontal="centerContinuous" vertical="center"/>
    </xf>
    <xf numFmtId="0" fontId="8" fillId="14" borderId="32" xfId="0" applyFont="1" applyFill="1" applyBorder="1" applyAlignment="1">
      <alignment horizontal="centerContinuous" vertical="center"/>
    </xf>
    <xf numFmtId="0" fontId="38" fillId="14" borderId="31" xfId="0" applyFont="1" applyFill="1" applyBorder="1" applyAlignment="1">
      <alignment horizontal="center" vertical="center"/>
    </xf>
    <xf numFmtId="0" fontId="19" fillId="21" borderId="5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9" fillId="24" borderId="30" xfId="0" applyFont="1" applyFill="1" applyBorder="1" applyAlignment="1">
      <alignment horizontal="center" vertical="center"/>
    </xf>
    <xf numFmtId="0" fontId="32" fillId="15" borderId="30" xfId="0" applyFont="1" applyFill="1" applyBorder="1" applyAlignment="1">
      <alignment horizontal="center" vertical="center"/>
    </xf>
    <xf numFmtId="165" fontId="32" fillId="15" borderId="30" xfId="0" applyNumberFormat="1" applyFont="1" applyFill="1" applyBorder="1" applyAlignment="1">
      <alignment horizontal="center" vertical="center"/>
    </xf>
    <xf numFmtId="0" fontId="20" fillId="24" borderId="31" xfId="0" applyFont="1" applyFill="1" applyBorder="1" applyAlignment="1">
      <alignment horizontal="center" vertical="center"/>
    </xf>
    <xf numFmtId="0" fontId="19" fillId="24" borderId="32" xfId="0" applyFont="1" applyFill="1" applyBorder="1" applyAlignment="1">
      <alignment horizontal="center" vertical="center"/>
    </xf>
    <xf numFmtId="0" fontId="32" fillId="15" borderId="31" xfId="0" applyFont="1" applyFill="1" applyBorder="1" applyAlignment="1">
      <alignment horizontal="center" vertical="center"/>
    </xf>
    <xf numFmtId="0" fontId="20" fillId="23" borderId="31" xfId="0" applyFont="1" applyFill="1" applyBorder="1" applyAlignment="1">
      <alignment horizontal="center" vertical="center"/>
    </xf>
    <xf numFmtId="0" fontId="19" fillId="23" borderId="32" xfId="0" applyFont="1" applyFill="1" applyBorder="1" applyAlignment="1">
      <alignment horizontal="center" vertical="center"/>
    </xf>
    <xf numFmtId="0" fontId="38" fillId="14" borderId="32" xfId="0" applyFont="1" applyFill="1" applyBorder="1" applyAlignment="1">
      <alignment horizontal="centerContinuous" vertical="center"/>
    </xf>
    <xf numFmtId="0" fontId="20" fillId="21" borderId="61" xfId="0" applyFont="1" applyFill="1" applyBorder="1" applyAlignment="1">
      <alignment horizontal="center" vertical="center"/>
    </xf>
    <xf numFmtId="0" fontId="19" fillId="21" borderId="62" xfId="0" applyFont="1" applyFill="1" applyBorder="1" applyAlignment="1">
      <alignment horizontal="center" vertical="center"/>
    </xf>
    <xf numFmtId="0" fontId="14" fillId="19" borderId="31" xfId="0" applyFont="1" applyFill="1" applyBorder="1" applyAlignment="1">
      <alignment horizontal="center" vertical="center"/>
    </xf>
    <xf numFmtId="0" fontId="14" fillId="20" borderId="31" xfId="0" applyFont="1" applyFill="1" applyBorder="1" applyAlignment="1">
      <alignment horizontal="center" vertical="center"/>
    </xf>
    <xf numFmtId="0" fontId="20" fillId="12" borderId="31" xfId="0" applyFont="1" applyFill="1" applyBorder="1" applyAlignment="1">
      <alignment horizontal="center" vertical="center"/>
    </xf>
    <xf numFmtId="0" fontId="19" fillId="12" borderId="32" xfId="0" applyFont="1" applyFill="1" applyBorder="1" applyAlignment="1">
      <alignment horizontal="center" vertical="center"/>
    </xf>
    <xf numFmtId="0" fontId="14" fillId="13" borderId="31" xfId="0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65" fontId="13" fillId="0" borderId="30" xfId="0" applyNumberFormat="1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165" fontId="13" fillId="0" borderId="58" xfId="0" applyNumberFormat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1" fontId="13" fillId="0" borderId="30" xfId="0" applyNumberFormat="1" applyFont="1" applyBorder="1" applyAlignment="1">
      <alignment horizontal="center" vertical="center"/>
    </xf>
    <xf numFmtId="165" fontId="32" fillId="13" borderId="30" xfId="0" applyNumberFormat="1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Continuous" vertical="center"/>
    </xf>
    <xf numFmtId="0" fontId="32" fillId="0" borderId="32" xfId="0" applyFont="1" applyBorder="1" applyAlignment="1">
      <alignment horizontal="centerContinuous" vertical="center"/>
    </xf>
    <xf numFmtId="1" fontId="43" fillId="0" borderId="30" xfId="0" applyNumberFormat="1" applyFont="1" applyBorder="1" applyAlignment="1">
      <alignment horizontal="center" vertical="center"/>
    </xf>
    <xf numFmtId="165" fontId="32" fillId="0" borderId="30" xfId="0" applyNumberFormat="1" applyFont="1" applyBorder="1" applyAlignment="1">
      <alignment horizontal="center" vertical="center"/>
    </xf>
    <xf numFmtId="0" fontId="44" fillId="0" borderId="30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165" fontId="43" fillId="0" borderId="30" xfId="0" applyNumberFormat="1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59" xfId="0" applyFont="1" applyBorder="1" applyAlignment="1">
      <alignment horizontal="center" vertical="center"/>
    </xf>
    <xf numFmtId="1" fontId="43" fillId="13" borderId="30" xfId="0" applyNumberFormat="1" applyFont="1" applyFill="1" applyBorder="1" applyAlignment="1">
      <alignment horizontal="center" vertical="center"/>
    </xf>
    <xf numFmtId="165" fontId="43" fillId="13" borderId="30" xfId="0" applyNumberFormat="1" applyFont="1" applyFill="1" applyBorder="1" applyAlignment="1">
      <alignment horizontal="center" vertical="center"/>
    </xf>
    <xf numFmtId="0" fontId="43" fillId="13" borderId="30" xfId="0" applyFont="1" applyFill="1" applyBorder="1" applyAlignment="1">
      <alignment horizontal="center" vertical="center"/>
    </xf>
    <xf numFmtId="1" fontId="43" fillId="19" borderId="30" xfId="0" applyNumberFormat="1" applyFont="1" applyFill="1" applyBorder="1" applyAlignment="1">
      <alignment horizontal="center" vertical="center"/>
    </xf>
    <xf numFmtId="165" fontId="32" fillId="19" borderId="30" xfId="0" applyNumberFormat="1" applyFont="1" applyFill="1" applyBorder="1" applyAlignment="1">
      <alignment horizontal="center" vertical="center"/>
    </xf>
    <xf numFmtId="1" fontId="43" fillId="15" borderId="30" xfId="0" applyNumberFormat="1" applyFont="1" applyFill="1" applyBorder="1" applyAlignment="1">
      <alignment horizontal="center" vertical="center"/>
    </xf>
    <xf numFmtId="0" fontId="32" fillId="13" borderId="30" xfId="0" applyFont="1" applyFill="1" applyBorder="1" applyAlignment="1">
      <alignment horizontal="center" vertical="center"/>
    </xf>
    <xf numFmtId="0" fontId="8" fillId="13" borderId="30" xfId="0" applyFont="1" applyFill="1" applyBorder="1" applyAlignment="1">
      <alignment horizontal="center" vertical="center"/>
    </xf>
    <xf numFmtId="0" fontId="13" fillId="22" borderId="30" xfId="0" applyFont="1" applyFill="1" applyBorder="1" applyAlignment="1">
      <alignment horizontal="center" vertical="center"/>
    </xf>
    <xf numFmtId="165" fontId="13" fillId="22" borderId="30" xfId="0" applyNumberFormat="1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1" fillId="0" borderId="30" xfId="0" applyFont="1" applyBorder="1" applyAlignment="1">
      <alignment horizontal="centerContinuous" vertical="center"/>
    </xf>
    <xf numFmtId="0" fontId="41" fillId="0" borderId="59" xfId="0" applyFont="1" applyBorder="1" applyAlignment="1">
      <alignment horizontal="centerContinuous" vertical="center"/>
    </xf>
    <xf numFmtId="0" fontId="44" fillId="0" borderId="60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Continuous" vertical="center"/>
    </xf>
    <xf numFmtId="0" fontId="32" fillId="0" borderId="30" xfId="0" applyFont="1" applyBorder="1" applyAlignment="1">
      <alignment horizontal="center" vertical="center"/>
    </xf>
    <xf numFmtId="1" fontId="43" fillId="0" borderId="58" xfId="0" applyNumberFormat="1" applyFont="1" applyBorder="1" applyAlignment="1">
      <alignment horizontal="center" vertical="center"/>
    </xf>
    <xf numFmtId="0" fontId="44" fillId="0" borderId="58" xfId="0" applyFont="1" applyBorder="1" applyAlignment="1">
      <alignment horizontal="center" vertical="center"/>
    </xf>
    <xf numFmtId="0" fontId="32" fillId="0" borderId="65" xfId="0" applyFont="1" applyBorder="1" applyAlignment="1">
      <alignment horizontal="center" vertical="center"/>
    </xf>
    <xf numFmtId="0" fontId="43" fillId="0" borderId="62" xfId="0" applyFont="1" applyBorder="1" applyAlignment="1">
      <alignment horizontal="center" vertical="center"/>
    </xf>
    <xf numFmtId="0" fontId="44" fillId="0" borderId="30" xfId="0" applyFont="1" applyBorder="1" applyAlignment="1">
      <alignment horizontal="centerContinuous" vertical="center"/>
    </xf>
    <xf numFmtId="0" fontId="43" fillId="0" borderId="32" xfId="0" applyFont="1" applyBorder="1" applyAlignment="1">
      <alignment horizontal="centerContinuous" vertical="center"/>
    </xf>
    <xf numFmtId="0" fontId="43" fillId="0" borderId="30" xfId="0" applyFont="1" applyBorder="1" applyAlignment="1">
      <alignment horizontal="centerContinuous" vertical="center"/>
    </xf>
    <xf numFmtId="0" fontId="43" fillId="0" borderId="59" xfId="0" applyFont="1" applyBorder="1" applyAlignment="1">
      <alignment horizontal="centerContinuous" vertical="center"/>
    </xf>
    <xf numFmtId="0" fontId="32" fillId="25" borderId="31" xfId="0" applyFont="1" applyFill="1" applyBorder="1" applyAlignment="1">
      <alignment horizontal="center" vertical="center"/>
    </xf>
    <xf numFmtId="1" fontId="32" fillId="25" borderId="30" xfId="0" applyNumberFormat="1" applyFont="1" applyFill="1" applyBorder="1" applyAlignment="1">
      <alignment horizontal="center" vertical="center"/>
    </xf>
    <xf numFmtId="165" fontId="32" fillId="25" borderId="30" xfId="0" applyNumberFormat="1" applyFont="1" applyFill="1" applyBorder="1" applyAlignment="1">
      <alignment horizontal="center" vertical="center"/>
    </xf>
    <xf numFmtId="0" fontId="32" fillId="25" borderId="30" xfId="0" applyFont="1" applyFill="1" applyBorder="1" applyAlignment="1">
      <alignment horizontal="center" vertical="center"/>
    </xf>
    <xf numFmtId="1" fontId="13" fillId="25" borderId="30" xfId="0" applyNumberFormat="1" applyFont="1" applyFill="1" applyBorder="1" applyAlignment="1">
      <alignment horizontal="center" vertical="center"/>
    </xf>
    <xf numFmtId="165" fontId="9" fillId="25" borderId="30" xfId="0" applyNumberFormat="1" applyFont="1" applyFill="1" applyBorder="1" applyAlignment="1">
      <alignment horizontal="center" vertical="center"/>
    </xf>
    <xf numFmtId="0" fontId="8" fillId="25" borderId="30" xfId="0" applyFont="1" applyFill="1" applyBorder="1" applyAlignment="1">
      <alignment horizontal="center" vertical="center"/>
    </xf>
    <xf numFmtId="1" fontId="41" fillId="25" borderId="30" xfId="0" applyNumberFormat="1" applyFont="1" applyFill="1" applyBorder="1" applyAlignment="1">
      <alignment horizontal="center" vertical="center"/>
    </xf>
    <xf numFmtId="165" fontId="41" fillId="25" borderId="30" xfId="0" applyNumberFormat="1" applyFont="1" applyFill="1" applyBorder="1" applyAlignment="1">
      <alignment horizontal="center" vertical="center"/>
    </xf>
    <xf numFmtId="1" fontId="43" fillId="25" borderId="30" xfId="0" applyNumberFormat="1" applyFont="1" applyFill="1" applyBorder="1" applyAlignment="1">
      <alignment horizontal="center" vertical="center"/>
    </xf>
    <xf numFmtId="165" fontId="43" fillId="25" borderId="30" xfId="0" applyNumberFormat="1" applyFont="1" applyFill="1" applyBorder="1" applyAlignment="1">
      <alignment horizontal="center" vertical="center"/>
    </xf>
    <xf numFmtId="0" fontId="43" fillId="25" borderId="30" xfId="0" applyFont="1" applyFill="1" applyBorder="1" applyAlignment="1">
      <alignment horizontal="center" vertical="center"/>
    </xf>
    <xf numFmtId="165" fontId="13" fillId="25" borderId="30" xfId="0" applyNumberFormat="1" applyFont="1" applyFill="1" applyBorder="1" applyAlignment="1">
      <alignment horizontal="center" vertical="center"/>
    </xf>
    <xf numFmtId="0" fontId="13" fillId="25" borderId="30" xfId="0" applyFont="1" applyFill="1" applyBorder="1" applyAlignment="1">
      <alignment horizontal="center" vertical="center"/>
    </xf>
    <xf numFmtId="165" fontId="43" fillId="19" borderId="30" xfId="0" applyNumberFormat="1" applyFont="1" applyFill="1" applyBorder="1" applyAlignment="1">
      <alignment horizontal="center" vertical="center"/>
    </xf>
    <xf numFmtId="0" fontId="43" fillId="19" borderId="30" xfId="0" applyFont="1" applyFill="1" applyBorder="1" applyAlignment="1">
      <alignment horizontal="center" vertical="center"/>
    </xf>
    <xf numFmtId="165" fontId="13" fillId="20" borderId="30" xfId="0" applyNumberFormat="1" applyFont="1" applyFill="1" applyBorder="1" applyAlignment="1">
      <alignment horizontal="center" vertical="center"/>
    </xf>
    <xf numFmtId="0" fontId="13" fillId="26" borderId="58" xfId="0" applyFont="1" applyFill="1" applyBorder="1" applyAlignment="1">
      <alignment horizontal="center" vertical="center"/>
    </xf>
    <xf numFmtId="1" fontId="13" fillId="26" borderId="30" xfId="0" applyNumberFormat="1" applyFont="1" applyFill="1" applyBorder="1" applyAlignment="1">
      <alignment horizontal="center" vertical="center"/>
    </xf>
    <xf numFmtId="165" fontId="13" fillId="26" borderId="58" xfId="0" applyNumberFormat="1" applyFont="1" applyFill="1" applyBorder="1" applyAlignment="1">
      <alignment horizontal="center" vertical="center"/>
    </xf>
    <xf numFmtId="0" fontId="41" fillId="18" borderId="31" xfId="0" applyFont="1" applyFill="1" applyBorder="1" applyAlignment="1">
      <alignment horizontal="center" vertical="center"/>
    </xf>
    <xf numFmtId="1" fontId="41" fillId="18" borderId="30" xfId="0" applyNumberFormat="1" applyFont="1" applyFill="1" applyBorder="1" applyAlignment="1">
      <alignment horizontal="center" vertical="center"/>
    </xf>
    <xf numFmtId="165" fontId="41" fillId="18" borderId="30" xfId="0" applyNumberFormat="1" applyFont="1" applyFill="1" applyBorder="1" applyAlignment="1">
      <alignment horizontal="center" vertical="center"/>
    </xf>
    <xf numFmtId="1" fontId="43" fillId="18" borderId="60" xfId="0" applyNumberFormat="1" applyFont="1" applyFill="1" applyBorder="1" applyAlignment="1">
      <alignment horizontal="center" vertical="center"/>
    </xf>
    <xf numFmtId="165" fontId="32" fillId="18" borderId="60" xfId="0" applyNumberFormat="1" applyFont="1" applyFill="1" applyBorder="1" applyAlignment="1">
      <alignment horizontal="center" vertical="center"/>
    </xf>
    <xf numFmtId="1" fontId="43" fillId="18" borderId="30" xfId="0" applyNumberFormat="1" applyFont="1" applyFill="1" applyBorder="1" applyAlignment="1">
      <alignment horizontal="center" vertical="center"/>
    </xf>
    <xf numFmtId="165" fontId="32" fillId="18" borderId="30" xfId="0" applyNumberFormat="1" applyFont="1" applyFill="1" applyBorder="1" applyAlignment="1">
      <alignment horizontal="center" vertical="center"/>
    </xf>
    <xf numFmtId="0" fontId="32" fillId="18" borderId="60" xfId="0" applyFont="1" applyFill="1" applyBorder="1" applyAlignment="1">
      <alignment horizontal="center" vertical="center"/>
    </xf>
    <xf numFmtId="1" fontId="43" fillId="18" borderId="58" xfId="0" applyNumberFormat="1" applyFont="1" applyFill="1" applyBorder="1" applyAlignment="1">
      <alignment horizontal="center" vertical="center"/>
    </xf>
    <xf numFmtId="165" fontId="32" fillId="18" borderId="58" xfId="0" applyNumberFormat="1" applyFont="1" applyFill="1" applyBorder="1" applyAlignment="1">
      <alignment horizontal="center" vertical="center"/>
    </xf>
    <xf numFmtId="0" fontId="43" fillId="13" borderId="31" xfId="0" applyFont="1" applyFill="1" applyBorder="1" applyAlignment="1">
      <alignment horizontal="center" vertical="center"/>
    </xf>
    <xf numFmtId="0" fontId="43" fillId="19" borderId="31" xfId="0" applyFont="1" applyFill="1" applyBorder="1" applyAlignment="1">
      <alignment horizontal="center" vertical="center"/>
    </xf>
    <xf numFmtId="1" fontId="43" fillId="19" borderId="58" xfId="0" applyNumberFormat="1" applyFont="1" applyFill="1" applyBorder="1" applyAlignment="1">
      <alignment horizontal="center" vertical="center"/>
    </xf>
    <xf numFmtId="0" fontId="43" fillId="20" borderId="30" xfId="0" applyFont="1" applyFill="1" applyBorder="1" applyAlignment="1">
      <alignment horizontal="center" vertical="center"/>
    </xf>
    <xf numFmtId="1" fontId="43" fillId="20" borderId="30" xfId="0" applyNumberFormat="1" applyFont="1" applyFill="1" applyBorder="1" applyAlignment="1">
      <alignment horizontal="center" vertical="center"/>
    </xf>
    <xf numFmtId="165" fontId="43" fillId="20" borderId="30" xfId="0" applyNumberFormat="1" applyFont="1" applyFill="1" applyBorder="1" applyAlignment="1">
      <alignment horizontal="center" vertical="center"/>
    </xf>
    <xf numFmtId="0" fontId="43" fillId="25" borderId="31" xfId="0" applyFont="1" applyFill="1" applyBorder="1" applyAlignment="1">
      <alignment horizontal="center" vertical="center"/>
    </xf>
    <xf numFmtId="0" fontId="41" fillId="18" borderId="30" xfId="0" applyFont="1" applyFill="1" applyBorder="1" applyAlignment="1">
      <alignment horizontal="center" vertical="center"/>
    </xf>
    <xf numFmtId="0" fontId="32" fillId="0" borderId="30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58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58" xfId="0" applyFont="1" applyBorder="1" applyAlignment="1">
      <alignment vertical="center"/>
    </xf>
    <xf numFmtId="0" fontId="13" fillId="0" borderId="65" xfId="0" applyFont="1" applyBorder="1" applyAlignment="1">
      <alignment horizontal="center" vertical="center"/>
    </xf>
    <xf numFmtId="0" fontId="41" fillId="15" borderId="31" xfId="0" applyFont="1" applyFill="1" applyBorder="1" applyAlignment="1">
      <alignment horizontal="center" vertical="center"/>
    </xf>
    <xf numFmtId="1" fontId="41" fillId="15" borderId="30" xfId="0" applyNumberFormat="1" applyFont="1" applyFill="1" applyBorder="1" applyAlignment="1">
      <alignment horizontal="center" vertical="center"/>
    </xf>
    <xf numFmtId="165" fontId="41" fillId="15" borderId="30" xfId="0" applyNumberFormat="1" applyFont="1" applyFill="1" applyBorder="1" applyAlignment="1">
      <alignment horizontal="center" vertical="center"/>
    </xf>
    <xf numFmtId="0" fontId="41" fillId="15" borderId="32" xfId="0" applyFont="1" applyFill="1" applyBorder="1" applyAlignment="1">
      <alignment horizontal="centerContinuous" vertical="center"/>
    </xf>
    <xf numFmtId="0" fontId="32" fillId="15" borderId="32" xfId="0" applyFont="1" applyFill="1" applyBorder="1" applyAlignment="1">
      <alignment horizontal="center" vertical="center"/>
    </xf>
    <xf numFmtId="0" fontId="42" fillId="15" borderId="31" xfId="0" applyFont="1" applyFill="1" applyBorder="1" applyAlignment="1">
      <alignment horizontal="center" vertical="center"/>
    </xf>
    <xf numFmtId="0" fontId="42" fillId="13" borderId="31" xfId="0" applyFont="1" applyFill="1" applyBorder="1" applyAlignment="1">
      <alignment horizontal="center" vertical="center"/>
    </xf>
    <xf numFmtId="0" fontId="41" fillId="19" borderId="31" xfId="0" applyFont="1" applyFill="1" applyBorder="1" applyAlignment="1">
      <alignment horizontal="center" vertical="center"/>
    </xf>
    <xf numFmtId="1" fontId="41" fillId="19" borderId="30" xfId="0" applyNumberFormat="1" applyFont="1" applyFill="1" applyBorder="1" applyAlignment="1">
      <alignment horizontal="center" vertical="center"/>
    </xf>
    <xf numFmtId="165" fontId="41" fillId="19" borderId="30" xfId="0" applyNumberFormat="1" applyFont="1" applyFill="1" applyBorder="1" applyAlignment="1">
      <alignment horizontal="center" vertical="center"/>
    </xf>
    <xf numFmtId="0" fontId="41" fillId="15" borderId="30" xfId="0" applyFont="1" applyFill="1" applyBorder="1" applyAlignment="1">
      <alignment horizontal="center" vertical="center"/>
    </xf>
    <xf numFmtId="0" fontId="32" fillId="0" borderId="59" xfId="0" applyFont="1" applyBorder="1" applyAlignment="1">
      <alignment vertical="center"/>
    </xf>
    <xf numFmtId="0" fontId="32" fillId="0" borderId="32" xfId="0" applyFont="1" applyBorder="1" applyAlignment="1">
      <alignment vertical="center"/>
    </xf>
    <xf numFmtId="0" fontId="42" fillId="25" borderId="31" xfId="0" applyFont="1" applyFill="1" applyBorder="1" applyAlignment="1">
      <alignment horizontal="center" vertical="center"/>
    </xf>
    <xf numFmtId="0" fontId="49" fillId="0" borderId="30" xfId="0" applyFont="1" applyBorder="1" applyAlignment="1">
      <alignment horizontal="left" vertical="center"/>
    </xf>
    <xf numFmtId="0" fontId="49" fillId="0" borderId="58" xfId="0" applyFont="1" applyBorder="1" applyAlignment="1">
      <alignment horizontal="left" vertical="center"/>
    </xf>
    <xf numFmtId="0" fontId="45" fillId="0" borderId="30" xfId="0" applyFont="1" applyBorder="1" applyAlignment="1">
      <alignment horizontal="left" vertical="center"/>
    </xf>
    <xf numFmtId="0" fontId="49" fillId="0" borderId="60" xfId="0" applyFont="1" applyBorder="1" applyAlignment="1">
      <alignment vertical="center"/>
    </xf>
    <xf numFmtId="0" fontId="49" fillId="0" borderId="30" xfId="0" applyFont="1" applyBorder="1" applyAlignment="1">
      <alignment vertical="center"/>
    </xf>
    <xf numFmtId="0" fontId="49" fillId="0" borderId="58" xfId="0" applyFont="1" applyBorder="1" applyAlignment="1">
      <alignment vertical="center"/>
    </xf>
    <xf numFmtId="0" fontId="46" fillId="0" borderId="32" xfId="0" applyFont="1" applyBorder="1" applyAlignment="1">
      <alignment horizontal="left" vertical="center"/>
    </xf>
    <xf numFmtId="0" fontId="50" fillId="0" borderId="30" xfId="0" applyFont="1" applyBorder="1" applyAlignment="1">
      <alignment vertical="center"/>
    </xf>
    <xf numFmtId="0" fontId="48" fillId="0" borderId="30" xfId="0" applyFont="1" applyBorder="1" applyAlignment="1">
      <alignment vertical="center"/>
    </xf>
    <xf numFmtId="0" fontId="48" fillId="0" borderId="30" xfId="0" applyFont="1" applyBorder="1" applyAlignment="1">
      <alignment horizontal="left" vertical="center"/>
    </xf>
    <xf numFmtId="0" fontId="47" fillId="0" borderId="32" xfId="0" applyFont="1" applyBorder="1" applyAlignment="1">
      <alignment horizontal="left" vertical="center"/>
    </xf>
    <xf numFmtId="0" fontId="19" fillId="12" borderId="30" xfId="0" applyFont="1" applyFill="1" applyBorder="1" applyAlignment="1">
      <alignment horizontal="center" vertical="center" wrapText="1"/>
    </xf>
    <xf numFmtId="0" fontId="19" fillId="21" borderId="58" xfId="0" applyFont="1" applyFill="1" applyBorder="1" applyAlignment="1">
      <alignment horizontal="center" vertical="center" wrapText="1"/>
    </xf>
    <xf numFmtId="0" fontId="19" fillId="23" borderId="30" xfId="0" applyFont="1" applyFill="1" applyBorder="1" applyAlignment="1">
      <alignment horizontal="center" vertical="center" wrapText="1"/>
    </xf>
    <xf numFmtId="0" fontId="19" fillId="24" borderId="30" xfId="0" applyFont="1" applyFill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0" fontId="53" fillId="27" borderId="0" xfId="0" applyFont="1" applyFill="1" applyAlignment="1">
      <alignment horizontal="centerContinuous" vertical="center"/>
    </xf>
    <xf numFmtId="0" fontId="0" fillId="0" borderId="12" xfId="0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22" fillId="0" borderId="0" xfId="0" quotePrefix="1" applyFont="1"/>
    <xf numFmtId="0" fontId="22" fillId="0" borderId="0" xfId="0" applyFont="1"/>
    <xf numFmtId="0" fontId="26" fillId="18" borderId="0" xfId="0" applyFont="1" applyFill="1"/>
    <xf numFmtId="0" fontId="0" fillId="5" borderId="4" xfId="0" applyFill="1" applyBorder="1" applyProtection="1">
      <protection locked="0"/>
    </xf>
    <xf numFmtId="0" fontId="20" fillId="28" borderId="61" xfId="0" applyFont="1" applyFill="1" applyBorder="1" applyAlignment="1">
      <alignment horizontal="center" vertical="center"/>
    </xf>
    <xf numFmtId="0" fontId="19" fillId="28" borderId="58" xfId="0" applyFont="1" applyFill="1" applyBorder="1" applyAlignment="1">
      <alignment horizontal="center" vertical="center"/>
    </xf>
    <xf numFmtId="0" fontId="19" fillId="28" borderId="62" xfId="0" applyFont="1" applyFill="1" applyBorder="1" applyAlignment="1">
      <alignment horizontal="center" vertical="center"/>
    </xf>
    <xf numFmtId="0" fontId="20" fillId="29" borderId="31" xfId="0" applyFont="1" applyFill="1" applyBorder="1" applyAlignment="1">
      <alignment horizontal="center" vertical="center"/>
    </xf>
    <xf numFmtId="0" fontId="19" fillId="29" borderId="30" xfId="0" applyFont="1" applyFill="1" applyBorder="1" applyAlignment="1">
      <alignment horizontal="center" vertical="center"/>
    </xf>
    <xf numFmtId="0" fontId="19" fillId="29" borderId="3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6" fillId="30" borderId="0" xfId="0" applyFont="1" applyFill="1"/>
    <xf numFmtId="14" fontId="0" fillId="0" borderId="0" xfId="0" applyNumberFormat="1" applyAlignment="1">
      <alignment vertical="center"/>
    </xf>
    <xf numFmtId="0" fontId="0" fillId="5" borderId="9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26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26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26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26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26" fillId="30" borderId="0" xfId="0" applyFont="1" applyFill="1" applyAlignment="1">
      <alignment horizontal="center"/>
    </xf>
    <xf numFmtId="0" fontId="0" fillId="30" borderId="0" xfId="0" applyFill="1" applyAlignment="1">
      <alignment horizontal="center"/>
    </xf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16" fillId="13" borderId="0" xfId="0" applyFont="1" applyFill="1" applyAlignment="1">
      <alignment horizontal="center"/>
    </xf>
    <xf numFmtId="0" fontId="54" fillId="0" borderId="0" xfId="0" applyFont="1" applyAlignment="1">
      <alignment horizontal="center"/>
    </xf>
    <xf numFmtId="0" fontId="20" fillId="31" borderId="31" xfId="0" applyFont="1" applyFill="1" applyBorder="1" applyAlignment="1">
      <alignment horizontal="center" vertical="center"/>
    </xf>
    <xf numFmtId="0" fontId="19" fillId="31" borderId="30" xfId="0" applyFont="1" applyFill="1" applyBorder="1" applyAlignment="1">
      <alignment horizontal="center" vertical="center"/>
    </xf>
    <xf numFmtId="0" fontId="19" fillId="31" borderId="32" xfId="0" applyFont="1" applyFill="1" applyBorder="1" applyAlignment="1">
      <alignment horizontal="center" vertical="center"/>
    </xf>
    <xf numFmtId="165" fontId="32" fillId="0" borderId="30" xfId="0" applyNumberFormat="1" applyFont="1" applyBorder="1" applyAlignment="1">
      <alignment vertical="center"/>
    </xf>
    <xf numFmtId="0" fontId="32" fillId="0" borderId="30" xfId="0" applyFont="1" applyBorder="1" applyAlignment="1">
      <alignment horizontal="left" vertical="center"/>
    </xf>
    <xf numFmtId="0" fontId="14" fillId="0" borderId="31" xfId="0" applyFont="1" applyBorder="1" applyAlignment="1">
      <alignment horizontal="center" vertical="center"/>
    </xf>
    <xf numFmtId="165" fontId="9" fillId="0" borderId="30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right" vertical="center"/>
    </xf>
    <xf numFmtId="0" fontId="8" fillId="0" borderId="30" xfId="0" applyFont="1" applyBorder="1" applyAlignment="1">
      <alignment horizontal="center" vertical="center"/>
    </xf>
    <xf numFmtId="165" fontId="9" fillId="0" borderId="30" xfId="0" applyNumberFormat="1" applyFont="1" applyBorder="1" applyAlignment="1">
      <alignment horizontal="centerContinuous" vertical="center"/>
    </xf>
    <xf numFmtId="0" fontId="12" fillId="0" borderId="30" xfId="0" applyFont="1" applyBorder="1" applyAlignment="1">
      <alignment horizontal="centerContinuous" vertical="center"/>
    </xf>
    <xf numFmtId="0" fontId="8" fillId="0" borderId="30" xfId="0" applyFont="1" applyBorder="1" applyAlignment="1">
      <alignment horizontal="centerContinuous" vertical="center"/>
    </xf>
    <xf numFmtId="0" fontId="8" fillId="0" borderId="30" xfId="0" applyFont="1" applyBorder="1" applyAlignment="1">
      <alignment horizontal="left" vertical="center"/>
    </xf>
    <xf numFmtId="0" fontId="13" fillId="0" borderId="32" xfId="0" applyFont="1" applyBorder="1" applyAlignment="1">
      <alignment horizontal="centerContinuous" vertical="center"/>
    </xf>
    <xf numFmtId="165" fontId="9" fillId="0" borderId="60" xfId="0" applyNumberFormat="1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8" fillId="0" borderId="60" xfId="0" applyFont="1" applyBorder="1" applyAlignment="1">
      <alignment horizontal="left" vertical="center"/>
    </xf>
    <xf numFmtId="0" fontId="8" fillId="0" borderId="60" xfId="0" applyFont="1" applyBorder="1" applyAlignment="1">
      <alignment horizontal="right" vertical="center"/>
    </xf>
    <xf numFmtId="0" fontId="8" fillId="0" borderId="64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30" xfId="0" applyFont="1" applyFill="1" applyBorder="1" applyAlignment="1">
      <alignment horizontal="center" vertical="center"/>
    </xf>
    <xf numFmtId="165" fontId="13" fillId="0" borderId="30" xfId="0" applyNumberFormat="1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left" vertical="center"/>
    </xf>
    <xf numFmtId="0" fontId="8" fillId="0" borderId="30" xfId="0" applyFont="1" applyFill="1" applyBorder="1" applyAlignment="1">
      <alignment horizontal="right" vertical="center"/>
    </xf>
    <xf numFmtId="0" fontId="9" fillId="0" borderId="30" xfId="0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165" fontId="13" fillId="0" borderId="58" xfId="0" applyNumberFormat="1" applyFont="1" applyFill="1" applyBorder="1" applyAlignment="1">
      <alignment horizontal="center" vertical="center"/>
    </xf>
    <xf numFmtId="0" fontId="14" fillId="18" borderId="31" xfId="0" applyFont="1" applyFill="1" applyBorder="1" applyAlignment="1">
      <alignment horizontal="center" vertical="center"/>
    </xf>
    <xf numFmtId="1" fontId="13" fillId="18" borderId="30" xfId="0" applyNumberFormat="1" applyFont="1" applyFill="1" applyBorder="1" applyAlignment="1">
      <alignment horizontal="center" vertical="center"/>
    </xf>
    <xf numFmtId="165" fontId="9" fillId="18" borderId="30" xfId="0" applyNumberFormat="1" applyFont="1" applyFill="1" applyBorder="1" applyAlignment="1">
      <alignment horizontal="center" vertical="center"/>
    </xf>
    <xf numFmtId="0" fontId="12" fillId="18" borderId="30" xfId="0" applyFont="1" applyFill="1" applyBorder="1" applyAlignment="1">
      <alignment horizontal="center" vertical="center"/>
    </xf>
    <xf numFmtId="0" fontId="8" fillId="18" borderId="30" xfId="0" applyFont="1" applyFill="1" applyBorder="1" applyAlignment="1">
      <alignment horizontal="left" vertical="center"/>
    </xf>
    <xf numFmtId="0" fontId="8" fillId="18" borderId="30" xfId="0" applyFont="1" applyFill="1" applyBorder="1" applyAlignment="1">
      <alignment horizontal="right" vertical="center"/>
    </xf>
    <xf numFmtId="0" fontId="14" fillId="30" borderId="31" xfId="0" applyFont="1" applyFill="1" applyBorder="1" applyAlignment="1">
      <alignment horizontal="center" vertical="center"/>
    </xf>
    <xf numFmtId="1" fontId="13" fillId="30" borderId="30" xfId="0" applyNumberFormat="1" applyFont="1" applyFill="1" applyBorder="1" applyAlignment="1">
      <alignment horizontal="center" vertical="center"/>
    </xf>
    <xf numFmtId="165" fontId="9" fillId="30" borderId="30" xfId="0" applyNumberFormat="1" applyFont="1" applyFill="1" applyBorder="1" applyAlignment="1">
      <alignment horizontal="center" vertical="center"/>
    </xf>
    <xf numFmtId="0" fontId="12" fillId="30" borderId="30" xfId="0" applyFont="1" applyFill="1" applyBorder="1" applyAlignment="1">
      <alignment horizontal="center" vertical="center"/>
    </xf>
    <xf numFmtId="0" fontId="8" fillId="30" borderId="30" xfId="0" applyFont="1" applyFill="1" applyBorder="1" applyAlignment="1">
      <alignment horizontal="left" vertical="center"/>
    </xf>
    <xf numFmtId="0" fontId="8" fillId="30" borderId="30" xfId="0" applyFont="1" applyFill="1" applyBorder="1" applyAlignment="1">
      <alignment horizontal="right" vertical="center"/>
    </xf>
    <xf numFmtId="0" fontId="32" fillId="0" borderId="32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0" fontId="12" fillId="19" borderId="30" xfId="0" applyFont="1" applyFill="1" applyBorder="1" applyAlignment="1">
      <alignment horizontal="center" vertical="center"/>
    </xf>
    <xf numFmtId="0" fontId="8" fillId="19" borderId="30" xfId="0" applyFont="1" applyFill="1" applyBorder="1" applyAlignment="1">
      <alignment horizontal="left" vertical="center"/>
    </xf>
    <xf numFmtId="0" fontId="8" fillId="19" borderId="30" xfId="0" applyFont="1" applyFill="1" applyBorder="1" applyAlignment="1">
      <alignment horizontal="right" vertical="center"/>
    </xf>
    <xf numFmtId="0" fontId="14" fillId="15" borderId="31" xfId="0" applyFont="1" applyFill="1" applyBorder="1" applyAlignment="1">
      <alignment horizontal="center" vertical="center"/>
    </xf>
    <xf numFmtId="1" fontId="13" fillId="15" borderId="30" xfId="0" applyNumberFormat="1" applyFont="1" applyFill="1" applyBorder="1" applyAlignment="1">
      <alignment horizontal="center" vertical="center"/>
    </xf>
    <xf numFmtId="165" fontId="9" fillId="15" borderId="30" xfId="0" applyNumberFormat="1" applyFont="1" applyFill="1" applyBorder="1" applyAlignment="1">
      <alignment horizontal="center" vertical="center"/>
    </xf>
    <xf numFmtId="0" fontId="12" fillId="15" borderId="30" xfId="0" applyFont="1" applyFill="1" applyBorder="1" applyAlignment="1">
      <alignment horizontal="center" vertical="center"/>
    </xf>
    <xf numFmtId="0" fontId="8" fillId="15" borderId="30" xfId="0" applyFont="1" applyFill="1" applyBorder="1" applyAlignment="1">
      <alignment horizontal="left" vertical="center"/>
    </xf>
    <xf numFmtId="0" fontId="8" fillId="15" borderId="30" xfId="0" applyFont="1" applyFill="1" applyBorder="1" applyAlignment="1">
      <alignment horizontal="right" vertical="center"/>
    </xf>
    <xf numFmtId="0" fontId="13" fillId="30" borderId="31" xfId="0" applyFont="1" applyFill="1" applyBorder="1" applyAlignment="1">
      <alignment horizontal="center" vertical="center"/>
    </xf>
    <xf numFmtId="0" fontId="8" fillId="30" borderId="59" xfId="0" applyFont="1" applyFill="1" applyBorder="1" applyAlignment="1">
      <alignment horizontal="center" vertical="center"/>
    </xf>
    <xf numFmtId="0" fontId="13" fillId="30" borderId="32" xfId="0" applyFont="1" applyFill="1" applyBorder="1" applyAlignment="1">
      <alignment horizontal="center" vertical="center"/>
    </xf>
    <xf numFmtId="0" fontId="13" fillId="19" borderId="31" xfId="0" applyFont="1" applyFill="1" applyBorder="1" applyAlignment="1">
      <alignment horizontal="center" vertical="center"/>
    </xf>
    <xf numFmtId="0" fontId="13" fillId="19" borderId="30" xfId="0" applyFont="1" applyFill="1" applyBorder="1" applyAlignment="1">
      <alignment horizontal="center" vertical="center"/>
    </xf>
    <xf numFmtId="0" fontId="13" fillId="19" borderId="59" xfId="0" applyFont="1" applyFill="1" applyBorder="1" applyAlignment="1">
      <alignment horizontal="center" vertical="center"/>
    </xf>
    <xf numFmtId="0" fontId="13" fillId="19" borderId="32" xfId="0" applyFont="1" applyFill="1" applyBorder="1" applyAlignment="1">
      <alignment horizontal="center" vertical="center"/>
    </xf>
    <xf numFmtId="0" fontId="13" fillId="15" borderId="31" xfId="0" applyFont="1" applyFill="1" applyBorder="1" applyAlignment="1">
      <alignment horizontal="center" vertical="center"/>
    </xf>
    <xf numFmtId="165" fontId="13" fillId="15" borderId="30" xfId="0" applyNumberFormat="1" applyFont="1" applyFill="1" applyBorder="1" applyAlignment="1">
      <alignment horizontal="center" vertical="center"/>
    </xf>
    <xf numFmtId="0" fontId="13" fillId="15" borderId="30" xfId="0" applyFont="1" applyFill="1" applyBorder="1" applyAlignment="1">
      <alignment horizontal="center" vertical="center"/>
    </xf>
    <xf numFmtId="0" fontId="13" fillId="15" borderId="59" xfId="0" applyFont="1" applyFill="1" applyBorder="1" applyAlignment="1">
      <alignment horizontal="center" vertical="center"/>
    </xf>
    <xf numFmtId="0" fontId="13" fillId="15" borderId="32" xfId="0" applyFont="1" applyFill="1" applyBorder="1" applyAlignment="1">
      <alignment horizontal="center" vertical="center"/>
    </xf>
    <xf numFmtId="0" fontId="13" fillId="18" borderId="31" xfId="0" applyFont="1" applyFill="1" applyBorder="1" applyAlignment="1">
      <alignment horizontal="center" vertical="center"/>
    </xf>
    <xf numFmtId="165" fontId="13" fillId="18" borderId="30" xfId="0" applyNumberFormat="1" applyFont="1" applyFill="1" applyBorder="1" applyAlignment="1">
      <alignment horizontal="center" vertical="center"/>
    </xf>
    <xf numFmtId="0" fontId="13" fillId="18" borderId="30" xfId="0" applyFont="1" applyFill="1" applyBorder="1" applyAlignment="1">
      <alignment horizontal="center" vertical="center"/>
    </xf>
    <xf numFmtId="0" fontId="13" fillId="18" borderId="59" xfId="0" applyFont="1" applyFill="1" applyBorder="1" applyAlignment="1">
      <alignment horizontal="center" vertical="center"/>
    </xf>
    <xf numFmtId="0" fontId="13" fillId="18" borderId="32" xfId="0" applyFont="1" applyFill="1" applyBorder="1" applyAlignment="1">
      <alignment horizontal="center" vertical="center"/>
    </xf>
    <xf numFmtId="1" fontId="13" fillId="18" borderId="58" xfId="0" applyNumberFormat="1" applyFont="1" applyFill="1" applyBorder="1" applyAlignment="1">
      <alignment horizontal="center" vertical="center"/>
    </xf>
    <xf numFmtId="165" fontId="13" fillId="18" borderId="58" xfId="0" applyNumberFormat="1" applyFont="1" applyFill="1" applyBorder="1" applyAlignment="1">
      <alignment horizontal="center" vertical="center"/>
    </xf>
    <xf numFmtId="0" fontId="13" fillId="18" borderId="58" xfId="0" applyFont="1" applyFill="1" applyBorder="1" applyAlignment="1">
      <alignment horizontal="center" vertical="center"/>
    </xf>
    <xf numFmtId="165" fontId="9" fillId="0" borderId="30" xfId="0" applyNumberFormat="1" applyFont="1" applyFill="1" applyBorder="1" applyAlignment="1">
      <alignment horizontal="center" vertical="center"/>
    </xf>
    <xf numFmtId="0" fontId="8" fillId="0" borderId="5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horizontal="left" vertical="center"/>
    </xf>
    <xf numFmtId="0" fontId="9" fillId="0" borderId="32" xfId="0" applyFont="1" applyFill="1" applyBorder="1" applyAlignment="1">
      <alignment horizontal="left" vertical="center"/>
    </xf>
    <xf numFmtId="0" fontId="8" fillId="0" borderId="31" xfId="0" applyFont="1" applyFill="1" applyBorder="1" applyAlignment="1">
      <alignment horizontal="right" vertical="center"/>
    </xf>
    <xf numFmtId="0" fontId="20" fillId="18" borderId="31" xfId="0" applyFont="1" applyFill="1" applyBorder="1" applyAlignment="1">
      <alignment horizontal="center" vertical="center"/>
    </xf>
    <xf numFmtId="0" fontId="19" fillId="18" borderId="30" xfId="0" applyFont="1" applyFill="1" applyBorder="1" applyAlignment="1">
      <alignment horizontal="center" vertical="center"/>
    </xf>
    <xf numFmtId="0" fontId="19" fillId="18" borderId="32" xfId="0" applyFont="1" applyFill="1" applyBorder="1" applyAlignment="1">
      <alignment horizontal="center" vertical="center"/>
    </xf>
    <xf numFmtId="0" fontId="8" fillId="30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9" fillId="15" borderId="30" xfId="0" applyFont="1" applyFill="1" applyBorder="1" applyAlignment="1">
      <alignment horizontal="center" vertical="center"/>
    </xf>
    <xf numFmtId="0" fontId="9" fillId="18" borderId="30" xfId="0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/>
    </xf>
    <xf numFmtId="1" fontId="13" fillId="0" borderId="58" xfId="0" applyNumberFormat="1" applyFont="1" applyFill="1" applyBorder="1" applyAlignment="1">
      <alignment horizontal="center" vertical="center"/>
    </xf>
    <xf numFmtId="165" fontId="9" fillId="0" borderId="58" xfId="0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/>
    </xf>
    <xf numFmtId="0" fontId="8" fillId="0" borderId="58" xfId="0" applyFont="1" applyFill="1" applyBorder="1" applyAlignment="1">
      <alignment horizontal="center" vertical="center"/>
    </xf>
    <xf numFmtId="0" fontId="8" fillId="0" borderId="65" xfId="0" applyFont="1" applyFill="1" applyBorder="1" applyAlignment="1">
      <alignment horizontal="center" vertical="center"/>
    </xf>
    <xf numFmtId="0" fontId="8" fillId="0" borderId="64" xfId="0" applyFont="1" applyFill="1" applyBorder="1" applyAlignment="1">
      <alignment horizontal="center" vertical="center"/>
    </xf>
    <xf numFmtId="1" fontId="13" fillId="0" borderId="30" xfId="0" applyNumberFormat="1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4" fillId="30" borderId="63" xfId="0" applyFont="1" applyFill="1" applyBorder="1" applyAlignment="1">
      <alignment horizontal="center" vertical="center"/>
    </xf>
    <xf numFmtId="1" fontId="13" fillId="30" borderId="60" xfId="0" applyNumberFormat="1" applyFont="1" applyFill="1" applyBorder="1" applyAlignment="1">
      <alignment horizontal="center" vertical="center"/>
    </xf>
    <xf numFmtId="165" fontId="9" fillId="30" borderId="60" xfId="0" applyNumberFormat="1" applyFont="1" applyFill="1" applyBorder="1" applyAlignment="1">
      <alignment horizontal="center" vertical="center"/>
    </xf>
    <xf numFmtId="0" fontId="12" fillId="30" borderId="60" xfId="0" applyFont="1" applyFill="1" applyBorder="1" applyAlignment="1">
      <alignment horizontal="center" vertical="center"/>
    </xf>
    <xf numFmtId="0" fontId="8" fillId="30" borderId="60" xfId="0" applyFont="1" applyFill="1" applyBorder="1" applyAlignment="1">
      <alignment horizontal="left" vertical="center"/>
    </xf>
    <xf numFmtId="0" fontId="8" fillId="30" borderId="60" xfId="0" applyFont="1" applyFill="1" applyBorder="1" applyAlignment="1">
      <alignment horizontal="right" vertical="center"/>
    </xf>
    <xf numFmtId="0" fontId="14" fillId="18" borderId="63" xfId="0" applyFont="1" applyFill="1" applyBorder="1" applyAlignment="1">
      <alignment horizontal="center" vertical="center"/>
    </xf>
    <xf numFmtId="1" fontId="13" fillId="18" borderId="60" xfId="0" applyNumberFormat="1" applyFont="1" applyFill="1" applyBorder="1" applyAlignment="1">
      <alignment horizontal="center" vertical="center"/>
    </xf>
    <xf numFmtId="165" fontId="9" fillId="18" borderId="60" xfId="0" applyNumberFormat="1" applyFont="1" applyFill="1" applyBorder="1" applyAlignment="1">
      <alignment horizontal="center" vertical="center"/>
    </xf>
    <xf numFmtId="0" fontId="12" fillId="18" borderId="60" xfId="0" applyFont="1" applyFill="1" applyBorder="1" applyAlignment="1">
      <alignment horizontal="center" vertical="center"/>
    </xf>
    <xf numFmtId="0" fontId="8" fillId="18" borderId="60" xfId="0" applyFont="1" applyFill="1" applyBorder="1" applyAlignment="1">
      <alignment horizontal="left" vertical="center"/>
    </xf>
    <xf numFmtId="0" fontId="8" fillId="18" borderId="60" xfId="0" applyFont="1" applyFill="1" applyBorder="1" applyAlignment="1">
      <alignment horizontal="right" vertical="center"/>
    </xf>
    <xf numFmtId="0" fontId="14" fillId="19" borderId="63" xfId="0" applyFont="1" applyFill="1" applyBorder="1" applyAlignment="1">
      <alignment horizontal="center" vertical="center"/>
    </xf>
    <xf numFmtId="1" fontId="13" fillId="19" borderId="60" xfId="0" applyNumberFormat="1" applyFont="1" applyFill="1" applyBorder="1" applyAlignment="1">
      <alignment horizontal="center" vertical="center"/>
    </xf>
    <xf numFmtId="165" fontId="9" fillId="19" borderId="60" xfId="0" applyNumberFormat="1" applyFont="1" applyFill="1" applyBorder="1" applyAlignment="1">
      <alignment horizontal="center" vertical="center"/>
    </xf>
    <xf numFmtId="0" fontId="12" fillId="19" borderId="60" xfId="0" applyFont="1" applyFill="1" applyBorder="1" applyAlignment="1">
      <alignment horizontal="center" vertical="center"/>
    </xf>
    <xf numFmtId="0" fontId="8" fillId="19" borderId="60" xfId="0" applyFont="1" applyFill="1" applyBorder="1" applyAlignment="1">
      <alignment horizontal="left" vertical="center"/>
    </xf>
    <xf numFmtId="0" fontId="8" fillId="19" borderId="60" xfId="0" applyFont="1" applyFill="1" applyBorder="1" applyAlignment="1">
      <alignment horizontal="right" vertical="center"/>
    </xf>
    <xf numFmtId="0" fontId="32" fillId="13" borderId="31" xfId="0" applyFont="1" applyFill="1" applyBorder="1" applyAlignment="1">
      <alignment horizontal="center" vertical="center"/>
    </xf>
    <xf numFmtId="1" fontId="32" fillId="13" borderId="30" xfId="0" applyNumberFormat="1" applyFont="1" applyFill="1" applyBorder="1" applyAlignment="1">
      <alignment horizontal="center" vertical="center"/>
    </xf>
    <xf numFmtId="0" fontId="32" fillId="15" borderId="30" xfId="0" applyFont="1" applyFill="1" applyBorder="1" applyAlignment="1">
      <alignment horizontal="left" vertical="center"/>
    </xf>
    <xf numFmtId="0" fontId="32" fillId="15" borderId="30" xfId="0" applyFont="1" applyFill="1" applyBorder="1" applyAlignment="1">
      <alignment horizontal="right" vertical="center"/>
    </xf>
    <xf numFmtId="0" fontId="32" fillId="13" borderId="30" xfId="0" applyFont="1" applyFill="1" applyBorder="1" applyAlignment="1">
      <alignment horizontal="left" vertical="center"/>
    </xf>
    <xf numFmtId="0" fontId="12" fillId="13" borderId="30" xfId="0" applyFont="1" applyFill="1" applyBorder="1" applyAlignment="1">
      <alignment horizontal="center" vertical="center"/>
    </xf>
    <xf numFmtId="0" fontId="32" fillId="13" borderId="30" xfId="0" applyFont="1" applyFill="1" applyBorder="1" applyAlignment="1">
      <alignment horizontal="right" vertical="center"/>
    </xf>
    <xf numFmtId="0" fontId="32" fillId="18" borderId="30" xfId="0" applyFont="1" applyFill="1" applyBorder="1" applyAlignment="1">
      <alignment horizontal="left" vertical="center"/>
    </xf>
    <xf numFmtId="0" fontId="32" fillId="18" borderId="30" xfId="0" applyFont="1" applyFill="1" applyBorder="1" applyAlignment="1">
      <alignment horizontal="right" vertical="center"/>
    </xf>
    <xf numFmtId="0" fontId="32" fillId="0" borderId="30" xfId="0" applyFont="1" applyFill="1" applyBorder="1" applyAlignment="1">
      <alignment horizontal="left" vertical="center"/>
    </xf>
    <xf numFmtId="0" fontId="32" fillId="0" borderId="30" xfId="0" applyFont="1" applyFill="1" applyBorder="1" applyAlignment="1">
      <alignment horizontal="right" vertical="center"/>
    </xf>
    <xf numFmtId="0" fontId="10" fillId="10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33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35" fillId="0" borderId="45" xfId="0" applyFont="1" applyBorder="1" applyAlignment="1">
      <alignment horizontal="center"/>
    </xf>
    <xf numFmtId="0" fontId="35" fillId="0" borderId="8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5" fillId="0" borderId="42" xfId="0" applyFont="1" applyBorder="1" applyAlignment="1">
      <alignment horizontal="center"/>
    </xf>
    <xf numFmtId="0" fontId="35" fillId="0" borderId="43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0" fontId="16" fillId="0" borderId="3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8" fillId="18" borderId="31" xfId="0" applyFont="1" applyFill="1" applyBorder="1" applyAlignment="1">
      <alignment horizontal="center" vertical="center" wrapText="1"/>
    </xf>
    <xf numFmtId="0" fontId="28" fillId="18" borderId="30" xfId="0" applyFont="1" applyFill="1" applyBorder="1" applyAlignment="1">
      <alignment horizontal="center" vertical="center" wrapText="1"/>
    </xf>
    <xf numFmtId="0" fontId="28" fillId="18" borderId="32" xfId="0" applyFont="1" applyFill="1" applyBorder="1" applyAlignment="1">
      <alignment horizontal="center" vertical="center" wrapText="1"/>
    </xf>
    <xf numFmtId="0" fontId="28" fillId="23" borderId="31" xfId="0" applyFont="1" applyFill="1" applyBorder="1" applyAlignment="1">
      <alignment horizontal="center" vertical="center" wrapText="1"/>
    </xf>
    <xf numFmtId="0" fontId="28" fillId="23" borderId="30" xfId="0" applyFont="1" applyFill="1" applyBorder="1" applyAlignment="1">
      <alignment horizontal="center" vertical="center" wrapText="1"/>
    </xf>
    <xf numFmtId="0" fontId="28" fillId="23" borderId="32" xfId="0" applyFont="1" applyFill="1" applyBorder="1" applyAlignment="1">
      <alignment horizontal="center" vertical="center" wrapText="1"/>
    </xf>
    <xf numFmtId="0" fontId="28" fillId="21" borderId="31" xfId="0" applyFont="1" applyFill="1" applyBorder="1" applyAlignment="1">
      <alignment horizontal="center" vertical="center" wrapText="1"/>
    </xf>
    <xf numFmtId="0" fontId="28" fillId="21" borderId="30" xfId="0" applyFont="1" applyFill="1" applyBorder="1" applyAlignment="1">
      <alignment horizontal="center" vertical="center" wrapText="1"/>
    </xf>
    <xf numFmtId="0" fontId="28" fillId="21" borderId="32" xfId="0" applyFont="1" applyFill="1" applyBorder="1" applyAlignment="1">
      <alignment horizontal="center" vertical="center" wrapText="1"/>
    </xf>
    <xf numFmtId="0" fontId="28" fillId="24" borderId="31" xfId="0" applyFont="1" applyFill="1" applyBorder="1" applyAlignment="1">
      <alignment horizontal="center" vertical="center" wrapText="1"/>
    </xf>
    <xf numFmtId="0" fontId="28" fillId="24" borderId="30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0" fontId="28" fillId="31" borderId="31" xfId="0" applyFont="1" applyFill="1" applyBorder="1" applyAlignment="1">
      <alignment horizontal="center" vertical="center" wrapText="1"/>
    </xf>
    <xf numFmtId="0" fontId="28" fillId="31" borderId="30" xfId="0" applyFont="1" applyFill="1" applyBorder="1" applyAlignment="1">
      <alignment horizontal="center" vertical="center" wrapText="1"/>
    </xf>
    <xf numFmtId="0" fontId="28" fillId="31" borderId="32" xfId="0" applyFont="1" applyFill="1" applyBorder="1" applyAlignment="1">
      <alignment horizontal="center" vertical="center" wrapText="1"/>
    </xf>
    <xf numFmtId="0" fontId="28" fillId="12" borderId="31" xfId="0" applyFont="1" applyFill="1" applyBorder="1" applyAlignment="1">
      <alignment horizontal="center" vertical="center" wrapText="1"/>
    </xf>
    <xf numFmtId="0" fontId="28" fillId="12" borderId="30" xfId="0" applyFont="1" applyFill="1" applyBorder="1" applyAlignment="1">
      <alignment horizontal="center" vertical="center" wrapText="1"/>
    </xf>
    <xf numFmtId="0" fontId="28" fillId="12" borderId="32" xfId="0" applyFont="1" applyFill="1" applyBorder="1" applyAlignment="1">
      <alignment horizontal="center" vertical="center" wrapText="1"/>
    </xf>
    <xf numFmtId="1" fontId="13" fillId="30" borderId="58" xfId="0" applyNumberFormat="1" applyFont="1" applyFill="1" applyBorder="1" applyAlignment="1">
      <alignment horizontal="center" vertical="center"/>
    </xf>
    <xf numFmtId="165" fontId="13" fillId="30" borderId="58" xfId="0" applyNumberFormat="1" applyFont="1" applyFill="1" applyBorder="1" applyAlignment="1">
      <alignment horizontal="center" vertical="center"/>
    </xf>
    <xf numFmtId="0" fontId="13" fillId="30" borderId="58" xfId="0" applyFont="1" applyFill="1" applyBorder="1" applyAlignment="1">
      <alignment horizontal="center" vertical="center"/>
    </xf>
    <xf numFmtId="165" fontId="13" fillId="30" borderId="30" xfId="0" applyNumberFormat="1" applyFont="1" applyFill="1" applyBorder="1" applyAlignment="1">
      <alignment horizontal="center" vertical="center"/>
    </xf>
    <xf numFmtId="0" fontId="13" fillId="30" borderId="30" xfId="0" applyFont="1" applyFill="1" applyBorder="1" applyAlignment="1">
      <alignment horizontal="center" vertical="center"/>
    </xf>
    <xf numFmtId="0" fontId="13" fillId="30" borderId="59" xfId="0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/>
    </xf>
    <xf numFmtId="165" fontId="55" fillId="30" borderId="30" xfId="0" applyNumberFormat="1" applyFont="1" applyFill="1" applyBorder="1" applyAlignment="1">
      <alignment horizontal="center" vertical="center"/>
    </xf>
    <xf numFmtId="165" fontId="55" fillId="15" borderId="30" xfId="0" applyNumberFormat="1" applyFont="1" applyFill="1" applyBorder="1" applyAlignment="1">
      <alignment horizontal="center" vertical="center"/>
    </xf>
    <xf numFmtId="165" fontId="55" fillId="19" borderId="30" xfId="0" applyNumberFormat="1" applyFont="1" applyFill="1" applyBorder="1" applyAlignment="1">
      <alignment horizontal="center" vertical="center"/>
    </xf>
    <xf numFmtId="0" fontId="55" fillId="18" borderId="30" xfId="0" applyFont="1" applyFill="1" applyBorder="1" applyAlignment="1">
      <alignment horizontal="center" vertical="center"/>
    </xf>
    <xf numFmtId="0" fontId="55" fillId="15" borderId="30" xfId="0" applyFont="1" applyFill="1" applyBorder="1" applyAlignment="1">
      <alignment horizontal="center" vertical="center"/>
    </xf>
    <xf numFmtId="0" fontId="55" fillId="19" borderId="30" xfId="0" applyFont="1" applyFill="1" applyBorder="1" applyAlignment="1">
      <alignment horizontal="center" vertical="center"/>
    </xf>
    <xf numFmtId="0" fontId="8" fillId="18" borderId="30" xfId="0" applyFont="1" applyFill="1" applyBorder="1" applyAlignment="1">
      <alignment horizontal="center" vertical="center"/>
    </xf>
    <xf numFmtId="0" fontId="8" fillId="19" borderId="30" xfId="0" applyFont="1" applyFill="1" applyBorder="1" applyAlignment="1">
      <alignment horizontal="center" vertical="center"/>
    </xf>
    <xf numFmtId="0" fontId="8" fillId="15" borderId="30" xfId="0" applyFont="1" applyFill="1" applyBorder="1" applyAlignment="1">
      <alignment horizontal="center" vertical="center"/>
    </xf>
    <xf numFmtId="0" fontId="55" fillId="30" borderId="30" xfId="0" applyFont="1" applyFill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165" fontId="55" fillId="0" borderId="30" xfId="0" applyNumberFormat="1" applyFont="1" applyFill="1" applyBorder="1" applyAlignment="1">
      <alignment horizontal="center" vertical="center"/>
    </xf>
    <xf numFmtId="0" fontId="55" fillId="0" borderId="30" xfId="0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/>
    </xf>
    <xf numFmtId="165" fontId="55" fillId="18" borderId="58" xfId="0" applyNumberFormat="1" applyFont="1" applyFill="1" applyBorder="1" applyAlignment="1">
      <alignment horizontal="center" vertical="center"/>
    </xf>
    <xf numFmtId="0" fontId="12" fillId="18" borderId="60" xfId="0" applyFont="1" applyFill="1" applyBorder="1" applyAlignment="1">
      <alignment horizontal="right" vertical="center"/>
    </xf>
    <xf numFmtId="0" fontId="12" fillId="18" borderId="60" xfId="0" applyFont="1" applyFill="1" applyBorder="1" applyAlignment="1">
      <alignment horizontal="left" vertical="center"/>
    </xf>
  </cellXfs>
  <cellStyles count="1">
    <cellStyle name="Normal" xfId="0" builtinId="0"/>
  </cellStyles>
  <dxfs count="26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theme="4"/>
          <bgColor theme="7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theme="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theme="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theme="4"/>
          <bgColor theme="5" tint="0.399975585192419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theme="4"/>
          <bgColor theme="7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theme="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theme="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theme="4"/>
          <bgColor theme="2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theme="4"/>
          <bgColor theme="7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theme="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theme="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165" formatCode="[$-409]h:mm\ AM/P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rgb="FFF7EEB8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rgb="FFF7EEB8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/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rgb="FFF7EEB8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F7EEB8"/>
        </patternFill>
      </fill>
      <alignment horizontal="general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rgb="FFF7EEB8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rgb="FFF7EEB8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rgb="FFF7EEB8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rgb="FFF7EEB8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rgb="FFF7EEB8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F7EEB8"/>
        </patternFill>
      </fill>
      <alignment horizontal="general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rgb="FFF7EEB8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alignment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/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 style="thin">
          <color indexed="64"/>
        </vertical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rgb="FFF7EEB8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7EEB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4506668294322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Continuous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1F0EC"/>
      <color rgb="FFF7EE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connections" Target="connection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65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le%20B-7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e B-7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homas Zahn" id="{4820C499-C0CA-154D-BBC2-96BF20CF1EE8}" userId="c4a74cc4856a89f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CB72FDB-AEAA-7943-9B55-E18AFD2AB7EA}" name="Table39" displayName="Table39" ref="M4:N20" totalsRowShown="0" headerRowDxfId="2671">
  <autoFilter ref="M4:N20" xr:uid="{CCB72FDB-AEAA-7943-9B55-E18AFD2AB7EA}">
    <filterColumn colId="0" hiddenButton="1"/>
    <filterColumn colId="1" hiddenButton="1"/>
  </autoFilter>
  <tableColumns count="2">
    <tableColumn id="1" xr3:uid="{13D7FDAA-C2AA-D446-A899-FC5E5D72A8A3}" name="Rank" dataDxfId="2670"/>
    <tableColumn id="2" xr3:uid="{B85013D9-222F-CF45-8B63-779E6D2BF0C6}" name="Points" dataDxfId="266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7416D8E-B17E-6047-A702-90F9A44B322C}" name="Table41" displayName="Table41" ref="L3:L13" totalsRowShown="0" headerRowDxfId="2668">
  <autoFilter ref="L3:L13" xr:uid="{37416D8E-B17E-6047-A702-90F9A44B322C}"/>
  <tableColumns count="1">
    <tableColumn id="1" xr3:uid="{99A5BF6C-522D-B74C-AE48-C47C895A12BD}" name="Critério de desempate: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47619B79-CAA2-9F4C-B2FB-26589ECC2B2C}" name="Table65" displayName="Table65" ref="B2:J20" totalsRowShown="0" headerRowDxfId="2667" dataDxfId="2666">
  <autoFilter ref="B2:J20" xr:uid="{47619B79-CAA2-9F4C-B2FB-26589ECC2B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3:J20">
    <sortCondition descending="1" ref="J3:J18"/>
  </sortState>
  <tableColumns count="9">
    <tableColumn id="1" xr3:uid="{699972D5-9A62-334C-9C08-E91FCD3CAEC5}" name="Athelete" dataDxfId="2665"/>
    <tableColumn id="2" xr3:uid="{620DBFD4-57B8-8944-A63F-1B291C5EA27E}" name="Stage 1" dataDxfId="2664">
      <calculatedColumnFormula>_xlfn.XLOOKUP(Table65[[#This Row],[Athelete]],Table15722354466784681112[Athlete],Table15722354466784681112[Rank],"-")</calculatedColumnFormula>
    </tableColumn>
    <tableColumn id="3" xr3:uid="{C4C25283-1CD8-0E42-8BF8-E16362F42716}" name="Points" dataDxfId="2663">
      <calculatedColumnFormula>_xlfn.XLOOKUP(C3,Table39[Rank],Table39[Points],0)</calculatedColumnFormula>
    </tableColumn>
    <tableColumn id="4" xr3:uid="{34172CBD-2FE4-AC4F-8133-8124E582828F}" name="Stage 2" dataDxfId="2662">
      <calculatedColumnFormula>_xlfn.XLOOKUP(Table65[[#This Row],[Athelete]],Table152028325060721017145161[Athlete],Table152028325060721017145161[Rank],"-")</calculatedColumnFormula>
    </tableColumn>
    <tableColumn id="5" xr3:uid="{EE5C36B2-3EC8-B747-AD2E-ACC0B78EF1C6}" name="Points2" dataDxfId="2661">
      <calculatedColumnFormula>_xlfn.XLOOKUP(E3,Table39[Rank],Table39[Points],0)</calculatedColumnFormula>
    </tableColumn>
    <tableColumn id="6" xr3:uid="{1F07D6EE-10D8-934D-B0E1-AB9395A08567}" name="Stage 3" dataDxfId="2660"/>
    <tableColumn id="7" xr3:uid="{665E4E47-856A-2F4C-97B3-17C628FF56D2}" name="Points3" dataDxfId="2659">
      <calculatedColumnFormula>_xlfn.XLOOKUP(G3,Table39[Rank],Table39[Points],0)</calculatedColumnFormula>
    </tableColumn>
    <tableColumn id="9" xr3:uid="{16DB43E1-C36F-984A-AAE2-9642FAD395BB}" name="Rank" dataDxfId="2658">
      <calculatedColumnFormula>IF(RANK(Table65[[#This Row],[Total]],Table65[Total])=1,$M$5,IF(RANK(Table65[[#This Row],[Total]],Table65[Total])=2,$M$6,IF(RANK(Table65[[#This Row],[Total]],Table65[Total])=3,$M$7,RANK(Table65[[#This Row],[Total]],Table65[Total])&amp;"th")))</calculatedColumnFormula>
    </tableColumn>
    <tableColumn id="8" xr3:uid="{0CB53C15-DBF8-D14A-AB8A-8B2F7EE445E1}" name="Total" dataDxfId="2657">
      <calculatedColumnFormula>SUM(D3,F3,H3)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6BBD0E54-05FC-4344-BBF8-DCBE789485B6}" name="Table82" displayName="Table82" ref="B22:J35" totalsRowShown="0" headerRowDxfId="2656">
  <autoFilter ref="B22:J35" xr:uid="{6BBD0E54-05FC-4344-BBF8-DCBE789485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23:J35">
    <sortCondition descending="1" ref="J23:J34"/>
  </sortState>
  <tableColumns count="9">
    <tableColumn id="1" xr3:uid="{B9E2E6E0-0BDE-0047-8F12-D3E8AF953024}" name="Athelete" dataDxfId="2655"/>
    <tableColumn id="2" xr3:uid="{1961B230-4488-374A-B9B2-80C6EC947483}" name="Stage 1" dataDxfId="2654">
      <calculatedColumnFormula>_xlfn.XLOOKUP(Table82[[#This Row],[Athelete]],Table1520283250607210171105[Athlete],Table1520283250607210171105[Rank],"-")</calculatedColumnFormula>
    </tableColumn>
    <tableColumn id="3" xr3:uid="{96C48A9C-4E8C-2543-BEBF-1C2535B566BF}" name="Points" dataDxfId="2653">
      <calculatedColumnFormula>_xlfn.XLOOKUP(C23,Table39[Rank],Table39[Points],0)</calculatedColumnFormula>
    </tableColumn>
    <tableColumn id="4" xr3:uid="{EBC17FC2-8FCA-3546-AF69-5B2039631D14}" name="Stage 2" dataDxfId="2652">
      <calculatedColumnFormula>_xlfn.XLOOKUP(Table82[[#This Row],[Athelete]],Table15202832506072101714577175[Athlete],Table15202832506072101714577175[Rank],"-")</calculatedColumnFormula>
    </tableColumn>
    <tableColumn id="5" xr3:uid="{A41E7AC3-4D19-724D-9AA5-731047492A03}" name="Points2" dataDxfId="2651">
      <calculatedColumnFormula>_xlfn.XLOOKUP(E23,Table39[Rank],Table39[Points],0)</calculatedColumnFormula>
    </tableColumn>
    <tableColumn id="6" xr3:uid="{F7D609F9-0730-3341-8DAC-6D8E8D4B3A7F}" name="Stage 3" dataDxfId="2650"/>
    <tableColumn id="7" xr3:uid="{17730060-9A49-8848-A5F9-1E18070C42F0}" name="Points3" dataDxfId="2649">
      <calculatedColumnFormula>_xlfn.XLOOKUP(G23,Table39[Rank],Table39[Points],0)</calculatedColumnFormula>
    </tableColumn>
    <tableColumn id="8" xr3:uid="{33F7980A-72A2-3C46-BB0E-3EE3DD4A6384}" name="Rank" dataDxfId="2648">
      <calculatedColumnFormula>IF(RANK(Table82[[#This Row],[Total]],Table82[Total])=1,$M$5,IF(RANK(Table82[[#This Row],[Total]],Table82[Total])=2,$M$6,IF(RANK(Table82[[#This Row],[Total]],Table82[Total])=3,$M$7,RANK(Table82[[#This Row],[Total]],Table82[Total])&amp;"th")))</calculatedColumnFormula>
    </tableColumn>
    <tableColumn id="9" xr3:uid="{F39E616E-A980-5247-B130-B54A3AA13396}" name="Total" dataDxfId="2647">
      <calculatedColumnFormula>SUM(D23,F23,H23)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B8FAC262-DB32-D64D-99AF-6DCCCC671CF3}" name="Table83" displayName="Table83" ref="B37:J58" totalsRowShown="0" headerRowDxfId="2646">
  <autoFilter ref="B37:J58" xr:uid="{B8FAC262-DB32-D64D-99AF-6DCCCC671C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38:J58">
    <sortCondition descending="1" ref="J38:J57"/>
  </sortState>
  <tableColumns count="9">
    <tableColumn id="1" xr3:uid="{946FB5A4-EBDC-5B4F-864B-455C503F923C}" name="Athelete" dataDxfId="2645"/>
    <tableColumn id="2" xr3:uid="{98BB0927-B0F6-5147-93D2-684A921EDB15}" name="Stage 1" dataDxfId="2644">
      <calculatedColumnFormula>_xlfn.XLOOKUP(Table83[[#This Row],[Athelete]],Table1520283250607293215359[Athlete],Table1520283250607293215359[Rank],"-")</calculatedColumnFormula>
    </tableColumn>
    <tableColumn id="3" xr3:uid="{6CBAEC42-17A5-4447-84D3-8B6B4CA55187}" name="Points" dataDxfId="2643">
      <calculatedColumnFormula>_xlfn.XLOOKUP(C38,Table39[Rank],Table39[Points],0)</calculatedColumnFormula>
    </tableColumn>
    <tableColumn id="4" xr3:uid="{1DBB3CFA-E86B-6C49-8C79-678F38F50587}" name="Stage 2" dataDxfId="2642">
      <calculatedColumnFormula>_xlfn.XLOOKUP(Table83[[#This Row],[Athelete]],Table152028325060721017145166[Athlete],Table152028325060721017145166[Rank],"-")</calculatedColumnFormula>
    </tableColumn>
    <tableColumn id="5" xr3:uid="{AB131E02-8256-8C4C-88FC-47003575EE33}" name="Points2" dataDxfId="2641">
      <calculatedColumnFormula>_xlfn.XLOOKUP(E38,Table39[Rank],Table39[Points],0)</calculatedColumnFormula>
    </tableColumn>
    <tableColumn id="6" xr3:uid="{CDD14CCA-2EF0-294B-9181-A787496E96CA}" name="Stage 3" dataDxfId="2640"/>
    <tableColumn id="7" xr3:uid="{D6605781-B31B-B84D-9A2E-ECB66A23557D}" name="Points3" dataDxfId="2639">
      <calculatedColumnFormula>_xlfn.XLOOKUP(G38,Table39[Rank],Table39[Points],0)</calculatedColumnFormula>
    </tableColumn>
    <tableColumn id="8" xr3:uid="{E4C655A9-D029-5541-9287-6C0BC8951CFC}" name="Rank" dataDxfId="2638">
      <calculatedColumnFormula>IF(RANK(Table83[[#This Row],[Total]],Table83[Total])=1,$M$5,IF(RANK(Table83[[#This Row],[Total]],Table83[Total])=2,$M$6,IF(RANK(Table83[[#This Row],[Total]],Table83[Total])=3,$M$7,RANK(Table83[[#This Row],[Total]],Table83[Total])&amp;"th")))</calculatedColumnFormula>
    </tableColumn>
    <tableColumn id="9" xr3:uid="{48B61857-D3A6-5847-885E-34EF3EA29EF1}" name="Total" dataDxfId="2637">
      <calculatedColumnFormula>SUM(D38,F38,H38)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2A526D2-6BDF-5A4E-A4C9-3B1B7DE09A10}" name="Table84" displayName="Table84" ref="B60:J76" totalsRowShown="0" headerRowDxfId="2636">
  <autoFilter ref="B60:J76" xr:uid="{B2A526D2-6BDF-5A4E-A4C9-3B1B7DE09A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61:J76">
    <sortCondition descending="1" ref="J61:J74"/>
  </sortState>
  <tableColumns count="9">
    <tableColumn id="1" xr3:uid="{685CC999-DB95-BD41-B3E8-B85357800828}" name="Athelete" dataDxfId="2635"/>
    <tableColumn id="2" xr3:uid="{56B726B9-6BCF-2046-9A95-A3D90C753665}" name="Stage 1" dataDxfId="2634">
      <calculatedColumnFormula>_xlfn.XLOOKUP(Table84[[#This Row],[Athelete]],Table15722354478913351028[Athlete],Table15722354478913351028[Rank],"-")</calculatedColumnFormula>
    </tableColumn>
    <tableColumn id="3" xr3:uid="{A241076D-B229-1447-ACAA-194E21796F3A}" name="Points" dataDxfId="2633">
      <calculatedColumnFormula>_xlfn.XLOOKUP(C61,Table39[Rank],Table39[Points],0)</calculatedColumnFormula>
    </tableColumn>
    <tableColumn id="4" xr3:uid="{35536D19-BE22-7844-84E8-F231594D44E5}" name="Stage 2" dataDxfId="2632">
      <calculatedColumnFormula>_xlfn.XLOOKUP(Table84[[#This Row],[Athelete]],Table15202832506072101714577125[Athlete],Table15202832506072101714577125[Rank],"-")</calculatedColumnFormula>
    </tableColumn>
    <tableColumn id="5" xr3:uid="{4BC1DD8B-E339-034E-B7A0-9EC01CD83B19}" name="Points2" dataDxfId="2631">
      <calculatedColumnFormula>_xlfn.XLOOKUP(E61,Table39[Rank],Table39[Points],0)</calculatedColumnFormula>
    </tableColumn>
    <tableColumn id="6" xr3:uid="{DF20419D-E824-8A4C-8DB1-CF9D9EE3D5CC}" name="Stage 3" dataDxfId="2630">
      <calculatedColumnFormula>_xlfn.XLOOKUP(Table84[[#This Row],[Athelete]],Table1572235446678468165150176[Athlete],Table1572235446678468165150176[Rank],"-")</calculatedColumnFormula>
    </tableColumn>
    <tableColumn id="7" xr3:uid="{29E85BE2-C13F-4C45-A51A-351EC70ACA94}" name="Points3" dataDxfId="2629">
      <calculatedColumnFormula>_xlfn.XLOOKUP(G61,Table39[Rank],Table39[Points],0)</calculatedColumnFormula>
    </tableColumn>
    <tableColumn id="8" xr3:uid="{A8915967-573B-CE49-8AC0-B30640CED058}" name="Rank" dataDxfId="2628">
      <calculatedColumnFormula>IF(RANK(Table84[[#This Row],[Total]],Table84[Total])=1,$M$5,IF(RANK(Table84[[#This Row],[Total]],Table84[Total])=2,$M$6,IF(RANK(Table84[[#This Row],[Total]],Table84[Total])=3,$M$7,RANK(Table84[[#This Row],[Total]],Table84[Total])&amp;"th")))</calculatedColumnFormula>
    </tableColumn>
    <tableColumn id="9" xr3:uid="{825E4AA6-913A-AA46-97BA-654569BB649B}" name="Total" dataDxfId="2627">
      <calculatedColumnFormula>SUM(D61,F61,H61)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15BB44F3-4FBE-BA4E-9359-1C1F7F423A9F}" name="Table94" displayName="Table94" ref="B78:J95" totalsRowShown="0" headerRowDxfId="2626">
  <autoFilter ref="B78:J95" xr:uid="{15BB44F3-4FBE-BA4E-9359-1C1F7F423A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79:J95">
    <sortCondition descending="1" ref="J79:J93"/>
  </sortState>
  <tableColumns count="9">
    <tableColumn id="1" xr3:uid="{8D9D27C5-D897-2D44-B6FE-6CCCBBD0FD7D}" name="Athelete" dataDxfId="2625"/>
    <tableColumn id="2" xr3:uid="{C4EFDD2A-B4BA-374B-B50E-DA52CE3D1637}" name="Stage 1" dataDxfId="2624">
      <calculatedColumnFormula>_xlfn.XLOOKUP(Table94[[#This Row],[Athelete]],Table1572235446678468137[Athlete],Table1572235446678468137[Rank],"-")</calculatedColumnFormula>
    </tableColumn>
    <tableColumn id="3" xr3:uid="{41663600-2AF8-9846-8A46-0358F07F0343}" name="Points" dataDxfId="2623">
      <calculatedColumnFormula>_xlfn.XLOOKUP(C79,Table39[Rank],Table39[Points],0)</calculatedColumnFormula>
    </tableColumn>
    <tableColumn id="4" xr3:uid="{5C0E4ABF-20D7-A546-A4F6-4B92974C709E}" name="Stage 2" dataDxfId="2622">
      <calculatedColumnFormula>_xlfn.XLOOKUP(Table94[[#This Row],[Athelete]],Table15202832506072101714571[Athlete],Table15202832506072101714571[Rank],"-")</calculatedColumnFormula>
    </tableColumn>
    <tableColumn id="5" xr3:uid="{926A0687-A8E1-6940-B7D3-C5EC06EB076A}" name="Points2" dataDxfId="2621">
      <calculatedColumnFormula>_xlfn.XLOOKUP(E79,Table39[Rank],Table39[Points],0)</calculatedColumnFormula>
    </tableColumn>
    <tableColumn id="6" xr3:uid="{EB1C5D5C-C4F5-8A41-9E5A-528246498894}" name="Stage 3" dataDxfId="2620">
      <calculatedColumnFormula>_xlfn.XLOOKUP(Table94[[#This Row],[Athelete]],Table1572235446678468165150[Athlete],Table1572235446678468165150[Rank],"-")</calculatedColumnFormula>
    </tableColumn>
    <tableColumn id="7" xr3:uid="{A30E4231-8C78-AC4E-9F8F-A97D2A464176}" name="Points3" dataDxfId="2619">
      <calculatedColumnFormula>_xlfn.XLOOKUP(G79,Table39[Rank],Table39[Points],0)</calculatedColumnFormula>
    </tableColumn>
    <tableColumn id="8" xr3:uid="{5168CA4D-7A41-0044-B207-CFB92E4F707A}" name="Rank" dataDxfId="2618">
      <calculatedColumnFormula>IF(RANK(Table94[[#This Row],[Total]],Table94[Total])=1,$M$5,IF(RANK(Table94[[#This Row],[Total]],Table94[Total])=2,$M$6,IF(RANK(Table94[[#This Row],[Total]],Table94[Total])=3,$M$7,RANK(Table94[[#This Row],[Total]],Table94[Total])&amp;"th")))</calculatedColumnFormula>
    </tableColumn>
    <tableColumn id="9" xr3:uid="{3B3618D7-2C63-7044-9E23-36145B1EDD12}" name="Total" dataDxfId="2617">
      <calculatedColumnFormula>SUM(D79,F79,H79)</calculatedColumnFormula>
    </tableColumn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36A07657-4620-384B-A81B-2EFAC23C8B0E}" name="Table95" displayName="Table95" ref="B97:J107" totalsRowShown="0" headerRowDxfId="2616" dataDxfId="2615">
  <autoFilter ref="B97:J107" xr:uid="{36A07657-4620-384B-A81B-2EFAC23C8B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98:J107">
    <sortCondition descending="1" ref="J98:J101"/>
  </sortState>
  <tableColumns count="9">
    <tableColumn id="1" xr3:uid="{CDD28BE8-D420-6643-877A-53E2A7069888}" name="Athelete" dataDxfId="2614"/>
    <tableColumn id="2" xr3:uid="{35485735-3447-A34C-B296-41C148100D27}" name="Stage 1" dataDxfId="2613">
      <calculatedColumnFormula>_xlfn.XLOOKUP(Table95[[#This Row],[Athelete]],Table157223544789133532[Athlete],Table157223544789133532[Rank],"-")</calculatedColumnFormula>
    </tableColumn>
    <tableColumn id="3" xr3:uid="{7F0075BB-2CF0-A149-A936-3956EB1BCA90}" name="Points" dataDxfId="2612">
      <calculatedColumnFormula>_xlfn.XLOOKUP(C98,Table39[Rank],Table39[Points],0)</calculatedColumnFormula>
    </tableColumn>
    <tableColumn id="4" xr3:uid="{929D937C-17BB-7348-9840-0689C2B9285B}" name="Stage 2" dataDxfId="2611">
      <calculatedColumnFormula>_xlfn.XLOOKUP(Table95[[#This Row],[Athelete]],Table157223544789133510156[Athlete],Table157223544789133510156[Rank],"-")</calculatedColumnFormula>
    </tableColumn>
    <tableColumn id="5" xr3:uid="{12D02E44-4C24-2641-B121-8F2DFAA4FB69}" name="Points2" dataDxfId="2610">
      <calculatedColumnFormula>_xlfn.XLOOKUP(E98,Table39[Rank],Table39[Points],0)</calculatedColumnFormula>
    </tableColumn>
    <tableColumn id="6" xr3:uid="{77237183-EBBA-9949-95F8-E578AB06668C}" name="Stage 3" dataDxfId="2609"/>
    <tableColumn id="7" xr3:uid="{8E368A56-7FAA-3B41-A0DD-61E71829156A}" name="Points3" dataDxfId="2608">
      <calculatedColumnFormula>_xlfn.XLOOKUP(G98,Table39[Rank],Table39[Points],0)</calculatedColumnFormula>
    </tableColumn>
    <tableColumn id="8" xr3:uid="{78A63EE4-59FF-C74C-B9CF-3E0ED9541538}" name="Rank" dataDxfId="2607">
      <calculatedColumnFormula>IF(RANK(Table95[[#This Row],[Total]],Table95[Total])=1,$M$5,IF(RANK(Table95[[#This Row],[Total]],Table95[Total])=2,$M$6,IF(RANK(Table95[[#This Row],[Total]],Table95[Total])=3,$M$7,RANK(Table95[[#This Row],[Total]],Table95[Total])&amp;"th")))</calculatedColumnFormula>
    </tableColumn>
    <tableColumn id="9" xr3:uid="{200DF102-704B-D146-A7DF-E981DAEAC0CA}" name="Total" dataDxfId="2606">
      <calculatedColumnFormula>SUM(D98,F98,H98)</calculatedColumnFormula>
    </tableColumn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740D21F8-0524-5842-9CC0-9D92E2293EB7}" name="Table96" displayName="Table96" ref="B109:J125" totalsRowShown="0" headerRowDxfId="2605">
  <autoFilter ref="B109:J125" xr:uid="{740D21F8-0524-5842-9CC0-9D92E2293E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110:J125">
    <sortCondition descending="1" ref="J110:J119"/>
  </sortState>
  <tableColumns count="9">
    <tableColumn id="1" xr3:uid="{CD23E5A9-3722-8D44-913D-D99F3EA37029}" name="Athelete" dataDxfId="2604"/>
    <tableColumn id="2" xr3:uid="{D6220F57-6ACE-DB4B-9FBD-34A74648044D}" name="Stage 1" dataDxfId="2603">
      <calculatedColumnFormula>_xlfn.XLOOKUP(Table96[[#This Row],[Athelete]],Table157223544789133510114[Athlete],Table157223544789133510114[Rank],"")</calculatedColumnFormula>
    </tableColumn>
    <tableColumn id="3" xr3:uid="{D5A3F93A-1BEC-CF45-9672-376D5021D8A2}" name="Points" dataDxfId="2602">
      <calculatedColumnFormula>_xlfn.XLOOKUP(C110,Table39[Rank],Table39[Points],0)</calculatedColumnFormula>
    </tableColumn>
    <tableColumn id="4" xr3:uid="{3EC3A80C-21C1-6B4E-9A24-52739F924EFE}" name="Stage 2" dataDxfId="2601">
      <calculatedColumnFormula>_xlfn.XLOOKUP(Table96[[#This Row],[Athelete]],Table157223544789133510128[Athlete],Table157223544789133510128[Rank],"")</calculatedColumnFormula>
    </tableColumn>
    <tableColumn id="5" xr3:uid="{303F5ED6-8306-BD47-A091-41AA9007A0A7}" name="Points2" dataDxfId="2600">
      <calculatedColumnFormula>_xlfn.XLOOKUP(E110,Table39[Rank],Table39[Points],0)</calculatedColumnFormula>
    </tableColumn>
    <tableColumn id="6" xr3:uid="{7EFF0437-D401-0A46-89C9-D6BBEA1B0456}" name="Stage 3" dataDxfId="2599">
      <calculatedColumnFormula>_xlfn.XLOOKUP(Table96[[#This Row],[Athelete]],Table157223544789133510153[Athlete],Table157223544789133510153[Rank],"")</calculatedColumnFormula>
    </tableColumn>
    <tableColumn id="7" xr3:uid="{8A4676DF-B259-2648-90FF-4AF2DF5DD417}" name="Points3" dataDxfId="2598">
      <calculatedColumnFormula>_xlfn.XLOOKUP(G110,Table39[Rank],Table39[Points],0)</calculatedColumnFormula>
    </tableColumn>
    <tableColumn id="8" xr3:uid="{A47CDFF0-2588-A24E-BF2F-6FBE6DE77E07}" name="Rank" dataDxfId="2597">
      <calculatedColumnFormula>IF(RANK(Table96[[#This Row],[Total]],Table96[Total])=1,$M$5,IF(RANK(Table96[[#This Row],[Total]],Table96[Total])=2,$M$6,IF(RANK(Table96[[#This Row],[Total]],Table96[Total])=3,$M$7,RANK(Table96[[#This Row],[Total]],Table96[Total])&amp;"th")))</calculatedColumnFormula>
    </tableColumn>
    <tableColumn id="9" xr3:uid="{31DCEBC9-CF78-AE44-8FE8-7B06BD27DF37}" name="Total" dataDxfId="2596">
      <calculatedColumnFormula>SUM(D110,F110,H110)</calculatedColumnFormula>
    </tableColumn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304BB50B-A69E-C648-909D-950F5EACB269}" name="Table41129" displayName="Table41129" ref="L16:L20" totalsRowShown="0" headerRowDxfId="2595">
  <autoFilter ref="L16:L20" xr:uid="{304BB50B-A69E-C648-909D-950F5EACB269}"/>
  <tableColumns count="1">
    <tableColumn id="1" xr3:uid="{F0077AA4-9CB2-274A-93EA-4EC0BE36216E}" name="Critério de desempate: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992AD1EE-FC02-5A40-A88D-40491DD42683}" name="Games_11" displayName="Games_11" ref="B1:Q16" totalsRowShown="0" headerRowDxfId="2594" dataDxfId="2593" headerRowBorderDxfId="2591" tableBorderDxfId="2592" totalsRowBorderDxfId="2590">
  <autoFilter ref="B1:Q16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3" xr3:uid="{A76383BF-5654-A046-9FD9-1C657AF9D382}" name="GROUP" dataDxfId="2589"/>
    <tableColumn id="4" xr3:uid="{D4C5338D-47D3-1340-BCF1-DD5C60EFC9E1}" name="ATHLETE 1" dataDxfId="2588"/>
    <tableColumn id="5" xr3:uid="{7C62FCB0-473F-D34D-95D8-66AE9ED75861}" name="ATHLETE 2" dataDxfId="2587"/>
    <tableColumn id="8" xr3:uid="{8BD56449-07DA-7441-B0A7-F3CC4027F7FB}" name="SCORE 1" dataDxfId="2586"/>
    <tableColumn id="9" xr3:uid="{38388787-B6CD-0A4B-9905-F5435D99648A}" name="SCORE 2" dataDxfId="2585"/>
    <tableColumn id="6" xr3:uid="{E96C6A79-268B-844A-B7AD-3115C4B7A9DA}" name="ATHLETE 3" dataDxfId="2584"/>
    <tableColumn id="16" xr3:uid="{8B380060-9F52-6142-AF25-37EC9351745B}" name="X" dataDxfId="2583"/>
    <tableColumn id="1" xr3:uid="{C819BCB0-7851-B54E-A594-2442A47EA819}" name="Y" dataDxfId="2582"/>
    <tableColumn id="17" xr3:uid="{3B33551A-3747-BE4A-A155-6290CF1BACCE}" name="Z" dataDxfId="2581"/>
    <tableColumn id="7" xr3:uid="{C10FD11F-DE6F-6240-9702-FE05086E524A}" name="ATHLETE 4" dataDxfId="2580"/>
    <tableColumn id="10" xr3:uid="{94C63B10-5FD7-C447-A714-CEA05E13F2D9}" name="SALDO 12" dataDxfId="2579">
      <calculatedColumnFormula>IF(OR(Games_11[[#This Row],[SCORE 1]]="",Games_11[[#This Row],[SCORE 2]]=""),"",Games_11[[#This Row],[SCORE 1]]-Games_11[[#This Row],[SCORE 2]])</calculatedColumnFormula>
    </tableColumn>
    <tableColumn id="11" xr3:uid="{6886109D-6D48-804E-A9A5-254898C8CCD8}" name="SALDO 34" dataDxfId="2578">
      <calculatedColumnFormula>IF(OR(Games_11[[#This Row],[SCORE 1]]="",Games_11[[#This Row],[SCORE 2]]=""),"",Games_11[[#This Row],[SCORE 2]]-Games_11[[#This Row],[SCORE 1]])</calculatedColumnFormula>
    </tableColumn>
    <tableColumn id="12" xr3:uid="{49D2A9BB-5151-CB4A-A55D-F8970AA0A1DE}" name="PM 12" dataDxfId="2577">
      <calculatedColumnFormula>IF(Games_11[[#This Row],[SCORE 1]]="","",Games_11[[#This Row],[SCORE 1]])</calculatedColumnFormula>
    </tableColumn>
    <tableColumn id="13" xr3:uid="{1DFD82BE-8AA6-554F-B1BB-4CA02610F129}" name="PM 34" dataDxfId="2576">
      <calculatedColumnFormula>IF(Games_11[[#This Row],[SCORE 2]]="","",Games_11[[#This Row],[SCORE 2]])</calculatedColumnFormula>
    </tableColumn>
    <tableColumn id="14" xr3:uid="{FE4001EB-F18C-FA4A-8519-8851A3E89C99}" name="RESULT 12" dataDxfId="2575">
      <calculatedColumnFormula>IF(OR(Games_11[[#This Row],[SCORE 1]]="",Games_11[[#This Row],[SCORE 2]]=""),"",IF(Games_11[[#This Row],[SALDO 12]]&gt;0, "WIN","LOSE"))</calculatedColumnFormula>
    </tableColumn>
    <tableColumn id="15" xr3:uid="{B08E5A83-A891-404C-B6AB-732B51DEB0AA}" name="RESULT 34" dataDxfId="2574">
      <calculatedColumnFormula>IF(OR(Games_11[[#This Row],[SCORE 1]]="",Games_11[[#This Row],[SCORE 2]]=""),"",IF(Games_11[[#This Row],[SALDO 34]]&gt;0, "WIN","LOSE"))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A691385A-7C03-0440-9DAE-6A374B032D29}" name="Analysis_22" displayName="Analysis_22" ref="A19:H24" totalsRowShown="0" headerRowDxfId="2573" dataDxfId="2572" headerRowBorderDxfId="2570" tableBorderDxfId="2571" totalsRowBorderDxfId="2569">
  <autoFilter ref="A19:H24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0:G24">
    <sortCondition descending="1" ref="D20:D24"/>
    <sortCondition descending="1" ref="E20:E24"/>
    <sortCondition descending="1" ref="F20:F24"/>
  </sortState>
  <tableColumns count="8">
    <tableColumn id="7" xr3:uid="{5B3EEAF0-A5C6-3243-9F1B-3F56CDC64FEB}" name="Group" dataDxfId="2568"/>
    <tableColumn id="1" xr3:uid="{AB603E39-9D86-8145-BB5F-A9EE08FA5E46}" name="Atheletes " dataDxfId="2567"/>
    <tableColumn id="8" xr3:uid="{240BB589-A26F-B441-ABA7-6E6A83E8582E}" name="WIN" dataDxfId="2566">
      <calculatedColumnFormula>SUM(COUNTIFS(Games_11[ATHLETE 1],Analysis_22[[#This Row],[Atheletes ]],Games_11[RESULT 12],"win"),COUNTIFS(Games_11[ATHLETE 2],Analysis_22[[#This Row],[Atheletes ]],Games_11[RESULT 12],"win"),COUNTIFS(Games_11[ATHLETE 3],Analysis_22[[#This Row],[Atheletes ]],Games_11[RESULT 34],"win"),COUNTIFS(Games_11[ATHLETE 4],Analysis_22[[#This Row],[Atheletes ]],Games_11[RESULT 34],"win"))</calculatedColumnFormula>
    </tableColumn>
    <tableColumn id="5" xr3:uid="{958D2D33-2E92-7F40-B387-E891D29E7B5F}" name="LOSE" dataDxfId="2565">
      <calculatedColumnFormula>SUM(COUNTIFS(Games_11[ATHLETE 1],Analysis_22[[#This Row],[Atheletes ]],Games_11[RESULT 12],"lose"),COUNTIFS(Games_11[ATHLETE 2],Analysis_22[[#This Row],[Atheletes ]],Games_11[RESULT 12],"lose"),COUNTIFS(Games_11[ATHLETE 3],Analysis_22[[#This Row],[Atheletes ]],Games_11[RESULT 34],"lose"),COUNTIFS(Games_11[ATHLETE 4],Analysis_22[[#This Row],[Atheletes ]],Games_11[RESULT 34],"lose"))</calculatedColumnFormula>
    </tableColumn>
    <tableColumn id="3" xr3:uid="{3867AAE6-714C-B144-8087-A210460001C3}" name="Saldo" dataDxfId="2564">
      <calculatedColumnFormula>SUM(SUMIF(Games_11[ATHLETE 1],Analysis_22[[#This Row],[Atheletes ]],Games_11[SALDO 12]),SUMIF(Games_11[ATHLETE 2],Analysis_22[[#This Row],[Atheletes ]],Games_11[SALDO 12]),SUMIF(Games_11[ATHLETE 3],Analysis_22[[#This Row],[Atheletes ]],Games_11[SALDO 34]),SUMIF(Games_11[ATHLETE 4],Analysis_22[[#This Row],[Atheletes ]],Games_11[SALDO 34]))</calculatedColumnFormula>
    </tableColumn>
    <tableColumn id="4" xr3:uid="{ACF9F126-2A2C-FC4D-887F-64CFF3CE20A6}" name="PM" dataDxfId="2563">
      <calculatedColumnFormula>SUM(SUMIF(Games_11[ATHLETE 1],Analysis_22[[#This Row],[Atheletes ]],Games_11[PM 12]),SUMIF(Games_11[ATHLETE 2],Analysis_22[[#This Row],[Atheletes ]],Games_11[PM 12]),SUMIF(Games_11[ATHLETE 3],Analysis_22[[#This Row],[Atheletes ]],Games_11[PM 34]),SUMIF(Games_11[ATHLETE 4],Analysis_22[[#This Row],[Atheletes ]],Games_11[PM 34]))</calculatedColumnFormula>
    </tableColumn>
    <tableColumn id="6" xr3:uid="{76FA11BE-8BAA-0D4D-B90C-6B2E78DD2485}" name="Rank" dataDxfId="2562">
      <calculatedColumnFormula>IF(COUNTBLANK(Games_11[[SCORE 1]:[SCORE 2]])=0,IF(RANK(H20,$H$20:$H$24)=1,RANK(H20,$H$20:$H$24)&amp;"st",IF(RANK(H20,$H$20:$H$24)=2,RANK(H20,$H$20:$H$24)&amp;"nd",IF(RANK(H20,$H$20:$H$24)=3,RANK(H20,$H$20:$H$24)&amp;"rd",RANK(H20,$H$20:$H$24)&amp;"th"))),"")</calculatedColumnFormula>
    </tableColumn>
    <tableColumn id="2" xr3:uid="{3CB43D37-2883-2948-B12F-CE05CE3847B8}" name="Rank Support" dataDxfId="2561">
      <calculatedColumnFormula>Analysis_22[[#This Row],[WIN]]*1000000+Analysis_22[[#This Row],[Saldo]]*1000+Analysis_22[[#This Row],[PM]]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354D4AFF-9216-864B-AE05-5BDEB2B0F37B}" name="Analsyis_23" displayName="Analsyis_23" ref="A26:H31" totalsRowShown="0" headerRowDxfId="2560" dataDxfId="2559" headerRowBorderDxfId="2557" tableBorderDxfId="2558" totalsRowBorderDxfId="2556">
  <autoFilter ref="A26:H31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7:G31">
    <sortCondition descending="1" ref="D27:D31"/>
    <sortCondition descending="1" ref="E27:E31"/>
    <sortCondition descending="1" ref="F27:F31"/>
  </sortState>
  <tableColumns count="8">
    <tableColumn id="1" xr3:uid="{69151559-A60E-164E-A5C2-B468A3DD7269}" name="Group" dataDxfId="2555"/>
    <tableColumn id="2" xr3:uid="{F25C8285-2507-9447-9CC0-D1A5A353FAFA}" name="Atheletes " dataDxfId="2554"/>
    <tableColumn id="7" xr3:uid="{038C180B-879D-4B4A-B435-2E555D82C9C7}" name="WIN" dataDxfId="2553">
      <calculatedColumnFormula>SUM(COUNTIFS(Games_11[ATHLETE 1],Analsyis_23[[#This Row],[Atheletes ]],Games_11[RESULT 12],"win"),COUNTIFS(Games_11[ATHLETE 2],Analsyis_23[[#This Row],[Atheletes ]],Games_11[RESULT 12],"win"),COUNTIFS(Games_11[ATHLETE 3],Analsyis_23[[#This Row],[Atheletes ]],Games_11[RESULT 34],"win"),COUNTIFS(Games_11[ATHLETE 4],Analsyis_23[[#This Row],[Atheletes ]],Games_11[RESULT 34],"win"))</calculatedColumnFormula>
    </tableColumn>
    <tableColumn id="5" xr3:uid="{06344D8D-9FF4-D348-9C0E-1D70B7ECBE53}" name="LOSE" dataDxfId="2552">
      <calculatedColumnFormula>SUM(COUNTIFS(Games_11[ATHLETE 1],Analsyis_23[[#This Row],[Atheletes ]],Games_11[RESULT 12],"lose"),COUNTIFS(Games_11[ATHLETE 2],Analsyis_23[[#This Row],[Atheletes ]],Games_11[RESULT 12],"lose"),COUNTIFS(Games_11[ATHLETE 3],Analsyis_23[[#This Row],[Atheletes ]],Games_11[RESULT 34],"lose"),COUNTIFS(Games_11[ATHLETE 4],Analsyis_23[[#This Row],[Atheletes ]],Games_11[RESULT 34],"lose"))</calculatedColumnFormula>
    </tableColumn>
    <tableColumn id="3" xr3:uid="{3E83283F-C253-9F4E-B91A-B7C45D993E38}" name="Saldo" dataDxfId="2551">
      <calculatedColumnFormula>SUM(SUMIF(Games_11[ATHLETE 1],Analsyis_23[[#This Row],[Atheletes ]],Games_11[SALDO 12]),SUMIF(Games_11[ATHLETE 2],Analsyis_23[[#This Row],[Atheletes ]],Games_11[SALDO 12]),SUMIF(Games_11[ATHLETE 3],Analsyis_23[[#This Row],[Atheletes ]],Games_11[SALDO 34]),SUMIF(Games_11[ATHLETE 4],Analsyis_23[[#This Row],[Atheletes ]],Games_11[SALDO 34]))</calculatedColumnFormula>
    </tableColumn>
    <tableColumn id="4" xr3:uid="{FC100E66-3008-714D-B4E9-57FF091DA650}" name="PM" dataDxfId="2550">
      <calculatedColumnFormula>SUM(SUMIF(Games_11[ATHLETE 1],Analsyis_23[[#This Row],[Atheletes ]],Games_11[PM 12]),SUMIF(Games_11[ATHLETE 2],Analsyis_23[[#This Row],[Atheletes ]],Games_11[PM 12]),SUMIF(Games_11[ATHLETE 3],Analsyis_23[[#This Row],[Atheletes ]],Games_11[PM 34]),SUMIF(Games_11[ATHLETE 4],Analsyis_23[[#This Row],[Atheletes ]],Games_11[PM 34]))</calculatedColumnFormula>
    </tableColumn>
    <tableColumn id="6" xr3:uid="{4F165401-422C-1D4D-8292-18C060B41480}" name="Rank" dataDxfId="2549">
      <calculatedColumnFormula>IF(COUNTBLANK(Games_11[[SCORE 1]:[SCORE 2]])=0,IF(RANK(H27,$H$27:$H$31)=1,RANK(H27,$H$27:$H$31)&amp;"st",IF(RANK(H27,$H$27:$H$31)=2,RANK(H27,$H$27:$H$31)&amp;"nd",IF(RANK(H27,$H$27:$H$31)=3,RANK(H27,$H$27:$H$31)&amp;"rd",RANK(H27,$H$27:$H$31)&amp;"th"))),"")</calculatedColumnFormula>
    </tableColumn>
    <tableColumn id="8" xr3:uid="{DACBABF6-6454-934B-A61D-6FBE7733E314}" name="Rank Support" dataDxfId="2548">
      <calculatedColumnFormula>Analsyis_23[[#This Row],[WIN]]*1000000+Analsyis_23[[#This Row],[Saldo]]*1000+Analsyis_23[[#This Row],[PM]]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252794C4-A5BF-5640-ACBA-CFCA7F2C7585}" name="Table15722354466784681112" displayName="Table15722354466784681112" ref="S2:T17" totalsRowShown="0" headerRowDxfId="2547" headerRowBorderDxfId="2545" tableBorderDxfId="2546">
  <autoFilter ref="S2:T17" xr:uid="{908C589F-0CD0-4EFE-993D-5B2ECC06D04A}">
    <filterColumn colId="0" hiddenButton="1"/>
    <filterColumn colId="1" hiddenButton="1"/>
  </autoFilter>
  <tableColumns count="2">
    <tableColumn id="1" xr3:uid="{579F557A-B6A3-6741-A329-CAAD3576FBE7}" name="Athlete" dataDxfId="2544"/>
    <tableColumn id="2" xr3:uid="{1421A515-C9CB-654F-B76F-C812477249B6}" name="Rank" dataDxfId="2543"/>
  </tableColumns>
  <tableStyleInfo name="TableStyleMedium2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A6EBCCC8-7711-F647-8E13-2AAA9CEE4D5E}" name="Analysis_24" displayName="Analysis_24" ref="A33:H38" totalsRowShown="0" headerRowDxfId="2542" dataDxfId="2541" headerRowBorderDxfId="2539" tableBorderDxfId="2540" totalsRowBorderDxfId="2538">
  <autoFilter ref="A33:H38" xr:uid="{A6EBCCC8-7711-F647-8E13-2AAA9CEE4D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34:G38">
    <sortCondition descending="1" ref="D27:D31"/>
    <sortCondition descending="1" ref="E27:E31"/>
    <sortCondition descending="1" ref="F27:F31"/>
  </sortState>
  <tableColumns count="8">
    <tableColumn id="1" xr3:uid="{4FF87398-9B8D-D442-9D8E-74104710C012}" name="Group" dataDxfId="2537"/>
    <tableColumn id="2" xr3:uid="{36897259-623D-5B4A-83B3-C24FC4799D86}" name="Atheletes " dataDxfId="2536"/>
    <tableColumn id="7" xr3:uid="{8E7582CA-BB0E-064B-A2B0-0358BF00FCD6}" name="WIN" dataDxfId="2535">
      <calculatedColumnFormula>SUM(COUNTIFS(Games_11[ATHLETE 1],Analysis_24[[#This Row],[Atheletes ]],Games_11[RESULT 12],"win"),COUNTIFS(Games_11[ATHLETE 2],Analysis_24[[#This Row],[Atheletes ]],Games_11[RESULT 12],"win"),COUNTIFS(Games_11[ATHLETE 3],Analysis_24[[#This Row],[Atheletes ]],Games_11[RESULT 34],"win"),COUNTIFS(Games_11[ATHLETE 4],Analysis_24[[#This Row],[Atheletes ]],Games_11[RESULT 34],"win"))</calculatedColumnFormula>
    </tableColumn>
    <tableColumn id="5" xr3:uid="{757220E0-2A79-A642-A33B-173E1966F7A6}" name="LOSE" dataDxfId="2534">
      <calculatedColumnFormula>SUM(COUNTIFS(Games_11[ATHLETE 1],Analysis_24[[#This Row],[Atheletes ]],Games_11[RESULT 12],"lose"),COUNTIFS(Games_11[ATHLETE 2],Analysis_24[[#This Row],[Atheletes ]],Games_11[RESULT 12],"lose"),COUNTIFS(Games_11[ATHLETE 3],Analysis_24[[#This Row],[Atheletes ]],Games_11[RESULT 34],"lose"),COUNTIFS(Games_11[ATHLETE 4],Analysis_24[[#This Row],[Atheletes ]],Games_11[RESULT 34],"lose"))</calculatedColumnFormula>
    </tableColumn>
    <tableColumn id="3" xr3:uid="{E22242B5-7259-7040-A487-0C6538A9675F}" name="Saldo" dataDxfId="2533">
      <calculatedColumnFormula>SUM(SUMIF(Games_11[ATHLETE 1],Analysis_24[[#This Row],[Atheletes ]],Games_11[SALDO 12]),SUMIF(Games_11[ATHLETE 2],Analysis_24[[#This Row],[Atheletes ]],Games_11[SALDO 12]),SUMIF(Games_11[ATHLETE 3],Analysis_24[[#This Row],[Atheletes ]],Games_11[SALDO 34]),SUMIF(Games_11[ATHLETE 4],Analysis_24[[#This Row],[Atheletes ]],Games_11[SALDO 34]))</calculatedColumnFormula>
    </tableColumn>
    <tableColumn id="4" xr3:uid="{6419280D-100E-A249-9CA8-E146C9CB122A}" name="PM" dataDxfId="2532">
      <calculatedColumnFormula>SUM(SUMIF(Games_11[ATHLETE 1],Analysis_24[[#This Row],[Atheletes ]],Games_11[PM 12]),SUMIF(Games_11[ATHLETE 2],Analysis_24[[#This Row],[Atheletes ]],Games_11[PM 12]),SUMIF(Games_11[ATHLETE 3],Analysis_24[[#This Row],[Atheletes ]],Games_11[PM 34]),SUMIF(Games_11[ATHLETE 4],Analysis_24[[#This Row],[Atheletes ]],Games_11[PM 34]))</calculatedColumnFormula>
    </tableColumn>
    <tableColumn id="6" xr3:uid="{7E1B20DF-95B3-4B47-8A32-CBD7F0AC27C5}" name="Rank" dataDxfId="2531">
      <calculatedColumnFormula>IF(COUNTBLANK(Games_11[[SCORE 1]:[SCORE 2]])=0,IF(RANK(H34,$H$34:$H$38)=1,RANK(H34,$H$34:$H$38)&amp;"st",IF(RANK(H34,$H$34:$H$38)=2,RANK(H34,$H$34:$H$38)&amp;"nd",IF(RANK(H34,$H$34:$H$38)=3,RANK(H34,$H$34:$H$38)&amp;"rd",RANK(H34,$H$34:$H$38)&amp;"th"))),"")</calculatedColumnFormula>
    </tableColumn>
    <tableColumn id="8" xr3:uid="{7C67C00B-F035-1F4B-AE1B-20DD16DB5DBE}" name="Rank Support" dataDxfId="2530">
      <calculatedColumnFormula>Analysis_24[[#This Row],[WIN]]*1000000+Analysis_24[[#This Row],[Saldo]]*1000+Analysis_24[[#This Row],[PM]]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1CF003E8-D0EA-8F49-90BC-BE177CC76F22}" name="Table41013172512475452986841158" displayName="Table41013172512475452986841158" ref="B1:R10" totalsRowShown="0" headerRowDxfId="2529" dataDxfId="2528" headerRowBorderDxfId="2526" tableBorderDxfId="2527" totalsRowBorderDxfId="2525">
  <autoFilter ref="B1:R10" xr:uid="{C79D687B-AEB2-42F8-B262-AEDE9265CB48}"/>
  <tableColumns count="17">
    <tableColumn id="3" xr3:uid="{70799E75-DF25-C346-8577-E71E4ECBA1B6}" name="GROUP" dataDxfId="2524"/>
    <tableColumn id="4" xr3:uid="{22AD722F-4216-D941-9278-535B42757901}" name="ATHLETE 1" dataDxfId="2523"/>
    <tableColumn id="5" xr3:uid="{6912B499-FE10-AD4E-A40E-DE4540B8228B}" name="ATHLETE 2" dataDxfId="2522"/>
    <tableColumn id="8" xr3:uid="{6B1740B0-2FB2-9F4D-AB7A-7D3BEB732D8E}" name="SCORE 1" dataDxfId="2521"/>
    <tableColumn id="9" xr3:uid="{3AE2C290-043C-8D47-B1EA-5A913ABBE96D}" name="SCORE 2" dataDxfId="2520"/>
    <tableColumn id="6" xr3:uid="{386FB822-DC62-074E-90B3-950070D3D894}" name="ATHLETE 3" dataDxfId="2519"/>
    <tableColumn id="17" xr3:uid="{1E703E27-D136-FB4C-BEBC-4759162138E7}" name="X" dataDxfId="2518"/>
    <tableColumn id="16" xr3:uid="{E2F52B15-BDBE-774B-8C28-99E4195BB805}" name="Y" dataDxfId="2517"/>
    <tableColumn id="2" xr3:uid="{4E9DBD8D-6276-8A49-9483-639B3DADC771}" name="Z" dataDxfId="2516"/>
    <tableColumn id="1" xr3:uid="{7A0F9B50-B3FE-B840-94E6-1A4FB32B5B69}" name="A" dataDxfId="2515"/>
    <tableColumn id="7" xr3:uid="{E7163D8A-3494-9848-80F5-AF40E7928980}" name="ATHLETE 4" dataDxfId="2514"/>
    <tableColumn id="10" xr3:uid="{DC3B7C75-FF17-684A-AAE2-855AE0E5C4FF}" name="SALDO 12" dataDxfId="2513">
      <calculatedColumnFormula>IF(OR(Table41013172512475452986841158[[#This Row],[SCORE 1]]="",Table41013172512475452986841158[[#This Row],[SCORE 2]]=""),"",Table41013172512475452986841158[[#This Row],[SCORE 1]]-Table41013172512475452986841158[[#This Row],[SCORE 2]])</calculatedColumnFormula>
    </tableColumn>
    <tableColumn id="11" xr3:uid="{598CCAEA-A012-994E-B5AB-0228800B8CDC}" name="SALDO 34" dataDxfId="2512">
      <calculatedColumnFormula>IF(OR(Table41013172512475452986841158[[#This Row],[SCORE 1]]="",Table41013172512475452986841158[[#This Row],[SCORE 2]]=""),"",Table41013172512475452986841158[[#This Row],[SCORE 2]]-Table41013172512475452986841158[[#This Row],[SCORE 1]])</calculatedColumnFormula>
    </tableColumn>
    <tableColumn id="12" xr3:uid="{187DB90F-8352-B647-9572-D5C2FCC34CC9}" name="PM 12" dataDxfId="2511">
      <calculatedColumnFormula>IF(Table41013172512475452986841158[[#This Row],[SCORE 1]]="","",Table41013172512475452986841158[[#This Row],[SCORE 1]])</calculatedColumnFormula>
    </tableColumn>
    <tableColumn id="13" xr3:uid="{40121A23-EACC-2745-A5DC-52878EE546C8}" name="PM 34" dataDxfId="2510">
      <calculatedColumnFormula>IF(Table41013172512475452986841158[[#This Row],[SCORE 2]]="","",Table41013172512475452986841158[[#This Row],[SCORE 2]])</calculatedColumnFormula>
    </tableColumn>
    <tableColumn id="14" xr3:uid="{5D034824-8F65-2A40-929F-6444EEEC848C}" name="RESULT 12" dataDxfId="2509">
      <calculatedColumnFormula>IF(OR(Table41013172512475452986841158[[#This Row],[SCORE 1]]="",Table41013172512475452986841158[[#This Row],[SCORE 2]]=""),"",IF(Table41013172512475452986841158[[#This Row],[SALDO 12]]&gt;0, "WIN","LOSE"))</calculatedColumnFormula>
    </tableColumn>
    <tableColumn id="15" xr3:uid="{B2C8A9AC-7E33-364B-B01D-F62EDA76D0B6}" name="RESULT 34" dataDxfId="2508">
      <calculatedColumnFormula>IF(OR(Table41013172512475452986841158[[#This Row],[SCORE 1]]="",Table41013172512475452986841158[[#This Row],[SCORE 2]]=""),"",IF(Table41013172512475452986841158[[#This Row],[SALDO 34]]&gt;0, "WIN","LOSE"))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5971352C-841C-0845-B9E0-C24FB9AD9490}" name="Table361114182630485553996943159" displayName="Table361114182630485553996943159" ref="A13:H17" totalsRowShown="0" headerRowDxfId="2507" dataDxfId="2506" headerRowBorderDxfId="2504" tableBorderDxfId="2505" totalsRowBorderDxfId="2503">
  <autoFilter ref="A13:H17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4:G17">
    <sortCondition descending="1" ref="D14:D17"/>
    <sortCondition descending="1" ref="E14:E17"/>
    <sortCondition descending="1" ref="F14:F17"/>
  </sortState>
  <tableColumns count="8">
    <tableColumn id="7" xr3:uid="{C435BA46-B934-C040-9B9C-4CC82A331E83}" name="Group" dataDxfId="2502"/>
    <tableColumn id="1" xr3:uid="{58CF10FC-A588-3147-9546-5F70782CC282}" name="Athletes" dataDxfId="2501"/>
    <tableColumn id="8" xr3:uid="{DE8D43FC-FAA5-1948-A57C-ECA88165CA28}" name="WIN" dataDxfId="2500">
      <calculatedColumnFormula>SUM(COUNTIFS(Table41013172512475452986841158[ATHLETE 1],Table361114182630485553996943159[[#This Row],[Athletes]],Table41013172512475452986841158[RESULT 12],Table361114182630485553996943159[[#Headers],[WIN]]),COUNTIFS(Table41013172512475452986841158[ATHLETE 2],Table361114182630485553996943159[[#This Row],[Athletes]],Table41013172512475452986841158[RESULT 12],Table361114182630485553996943159[[#Headers],[WIN]]),COUNTIFS(Table41013172512475452986841158[ATHLETE 3],Table361114182630485553996943159[[#This Row],[Athletes]],Table41013172512475452986841158[RESULT 34],Table361114182630485553996943159[[#Headers],[WIN]]),COUNTIFS(Table41013172512475452986841158[ATHLETE 4],Table361114182630485553996943159[[#This Row],[Athletes]],Table41013172512475452986841158[RESULT 34],Table361114182630485553996943159[[#Headers],[WIN]]))</calculatedColumnFormula>
    </tableColumn>
    <tableColumn id="5" xr3:uid="{DFBB3625-3BAA-144F-91DF-0F3DA77A0387}" name="LOSE" dataDxfId="2499">
      <calculatedColumnFormula>SUM(COUNTIFS(Table41013172512475452986841158[ATHLETE 1],Table361114182630485553996943159[[#This Row],[Athletes]],Table41013172512475452986841158[RESULT 12],Table361114182630485553996943159[[#Headers],[LOSE]]),COUNTIFS(Table41013172512475452986841158[ATHLETE 2],Table361114182630485553996943159[[#This Row],[Athletes]],Table41013172512475452986841158[RESULT 12],Table361114182630485553996943159[[#Headers],[LOSE]]),COUNTIFS(Table41013172512475452986841158[ATHLETE 3],Table361114182630485553996943159[[#This Row],[Athletes]],Table41013172512475452986841158[RESULT 34],Table361114182630485553996943159[[#Headers],[LOSE]]),COUNTIFS(Table41013172512475452986841158[ATHLETE 4],Table361114182630485553996943159[[#This Row],[Athletes]],Table41013172512475452986841158[RESULT 34],Table361114182630485553996943159[[#Headers],[LOSE]]))</calculatedColumnFormula>
    </tableColumn>
    <tableColumn id="3" xr3:uid="{A1B4BC76-FD7D-BA4D-9256-0064CAC6CCAE}" name="Saldo" dataDxfId="2498">
      <calculatedColumnFormula>SUM(SUMIF(Table41013172512475452986841158[ATHLETE 1],Table361114182630485553996943159[[#This Row],[Athletes]],Table41013172512475452986841158[SALDO 12]),SUMIF(Table41013172512475452986841158[ATHLETE 2],Table361114182630485553996943159[[#This Row],[Athletes]],Table41013172512475452986841158[SALDO 12]),SUMIF(Table41013172512475452986841158[ATHLETE 3],Table361114182630485553996943159[[#This Row],[Athletes]],Table41013172512475452986841158[SALDO 34]),SUMIF(Table41013172512475452986841158[ATHLETE 4],Table361114182630485553996943159[[#This Row],[Athletes]],Table41013172512475452986841158[SALDO 34]))</calculatedColumnFormula>
    </tableColumn>
    <tableColumn id="4" xr3:uid="{5E512496-6114-F141-967A-69E33C245D10}" name="PM" dataDxfId="2497">
      <calculatedColumnFormula>SUM(SUMIF(Table41013172512475452986841158[ATHLETE 1],Table361114182630485553996943159[[#This Row],[Athletes]],Table41013172512475452986841158[PM 12]),SUMIF(Table41013172512475452986841158[ATHLETE 2],Table361114182630485553996943159[[#This Row],[Athletes]],Table41013172512475452986841158[PM 12]),SUMIF(Table41013172512475452986841158[ATHLETE 3],Table361114182630485553996943159[[#This Row],[Athletes]],Table41013172512475452986841158[PM 34]),SUMIF(Table41013172512475452986841158[ATHLETE 4],Table361114182630485553996943159[[#This Row],[Athletes]],Table41013172512475452986841158[PM 34]))</calculatedColumnFormula>
    </tableColumn>
    <tableColumn id="6" xr3:uid="{F94627FF-FFD1-0E4F-B5F9-92692FA16E31}" name="Rank" dataDxfId="2496">
      <calculatedColumnFormula>IF(COUNTBLANK(Table41013172512475452986841158[[SCORE 1]:[SCORE 2]])=0,IF(RANK(H14,$H$14:$H$17)=1,RANK(H14,$H$14:$H$17)&amp;"st",IF(RANK(H14,$H$14:$H$17)=2,RANK(H14,$H$14:$H$17)&amp;"nd",RANK(H14,$H$14:$H$17)&amp;"th")),"")</calculatedColumnFormula>
    </tableColumn>
    <tableColumn id="2" xr3:uid="{7D45B902-77D0-A14B-977B-A1AADD17C7F2}" name="Rank support" dataDxfId="2495">
      <calculatedColumnFormula>Table361114182630485553996943159[[#This Row],[WIN]]*1000000+Table361114182630485553996943159[[#This Row],[Saldo]]*1000+Table361114182630485553996943159[[#This Row],[PM]]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23A8C9AD-9C66-8D47-B94A-5CD616209FD7}" name="Table612151927314956711007044160" displayName="Table612151927314956711007044160" ref="A19:H23" totalsRowShown="0" headerRowDxfId="2494" dataDxfId="2493" headerRowBorderDxfId="2491" tableBorderDxfId="2492" totalsRowBorderDxfId="2490">
  <autoFilter ref="A19:H23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0:G23">
    <sortCondition descending="1" ref="D20:D23"/>
    <sortCondition descending="1" ref="E20:E23"/>
    <sortCondition descending="1" ref="F20:F23"/>
  </sortState>
  <tableColumns count="8">
    <tableColumn id="1" xr3:uid="{07DDE437-DE0F-6342-B0A3-5F80EE5FCACD}" name="Group" dataDxfId="2489"/>
    <tableColumn id="2" xr3:uid="{F31674C4-8CD4-2D49-9579-05EA93ED505F}" name="Athletes" dataDxfId="2488"/>
    <tableColumn id="7" xr3:uid="{EECCACF0-A989-024C-9A29-03F6F24DC7DD}" name="WIN" dataDxfId="2487">
      <calculatedColumnFormula>SUM(COUNTIFS(Table41013172512475452986841158[ATHLETE 1],Table612151927314956711007044160[[#This Row],[Athletes]],Table41013172512475452986841158[RESULT 12],Table361114182630485553996943159[[#Headers],[WIN]]),COUNTIFS(Table41013172512475452986841158[ATHLETE 2],Table612151927314956711007044160[[#This Row],[Athletes]],Table41013172512475452986841158[RESULT 12],Table361114182630485553996943159[[#Headers],[WIN]]),COUNTIFS(Table41013172512475452986841158[ATHLETE 3],Table612151927314956711007044160[[#This Row],[Athletes]],Table41013172512475452986841158[RESULT 34],Table361114182630485553996943159[[#Headers],[WIN]]),COUNTIFS(Table41013172512475452986841158[ATHLETE 4],Table612151927314956711007044160[[#This Row],[Athletes]],Table41013172512475452986841158[RESULT 34],Table361114182630485553996943159[[#Headers],[WIN]]))</calculatedColumnFormula>
    </tableColumn>
    <tableColumn id="5" xr3:uid="{ABFA88EA-C824-F444-8993-95FE4320E0D0}" name="LOSE" dataDxfId="2486">
      <calculatedColumnFormula>SUM(COUNTIFS(Table41013172512475452986841158[ATHLETE 1],Table612151927314956711007044160[[#This Row],[Athletes]],Table41013172512475452986841158[RESULT 12],Table361114182630485553996943159[[#Headers],[LOSE]]),COUNTIFS(Table41013172512475452986841158[ATHLETE 2],Table612151927314956711007044160[[#This Row],[Athletes]],Table41013172512475452986841158[RESULT 12],Table361114182630485553996943159[[#Headers],[LOSE]]),COUNTIFS(Table41013172512475452986841158[ATHLETE 3],Table612151927314956711007044160[[#This Row],[Athletes]],Table41013172512475452986841158[RESULT 34],Table361114182630485553996943159[[#Headers],[LOSE]]),COUNTIFS(Table41013172512475452986841158[ATHLETE 4],Table612151927314956711007044160[[#This Row],[Athletes]],Table41013172512475452986841158[RESULT 34],Table361114182630485553996943159[[#Headers],[LOSE]]))</calculatedColumnFormula>
    </tableColumn>
    <tableColumn id="3" xr3:uid="{0BA9BA44-0D3A-D642-87AC-5F534C02FAC7}" name="Saldo" dataDxfId="2485">
      <calculatedColumnFormula>SUM(SUMIF(Table41013172512475452986841158[ATHLETE 1],Table612151927314956711007044160[[#This Row],[Athletes]],Table41013172512475452986841158[SALDO 12]),SUMIF(Table41013172512475452986841158[ATHLETE 2],Table612151927314956711007044160[[#This Row],[Athletes]],Table41013172512475452986841158[SALDO 12]),SUMIF(Table41013172512475452986841158[ATHLETE 3],Table612151927314956711007044160[[#This Row],[Athletes]],Table41013172512475452986841158[SALDO 34]),SUMIF(Table41013172512475452986841158[ATHLETE 4],Table612151927314956711007044160[[#This Row],[Athletes]],Table41013172512475452986841158[SALDO 34]))</calculatedColumnFormula>
    </tableColumn>
    <tableColumn id="4" xr3:uid="{1900F182-7D87-804F-87E9-CB92DF6F6FE0}" name="PM" dataDxfId="2484">
      <calculatedColumnFormula>SUM(SUMIF(Table41013172512475452986841158[ATHLETE 1],Table612151927314956711007044160[[#This Row],[Athletes]],Table41013172512475452986841158[PM 12]),SUMIF(Table41013172512475452986841158[ATHLETE 2],Table612151927314956711007044160[[#This Row],[Athletes]],Table41013172512475452986841158[PM 12]),SUMIF(Table41013172512475452986841158[ATHLETE 3],Table612151927314956711007044160[[#This Row],[Athletes]],Table41013172512475452986841158[PM 34]),SUMIF(Table41013172512475452986841158[ATHLETE 4],Table612151927314956711007044160[[#This Row],[Athletes]],Table41013172512475452986841158[PM 34]))</calculatedColumnFormula>
    </tableColumn>
    <tableColumn id="6" xr3:uid="{EC0890D1-D312-6941-BD02-9D4AE9945E9F}" name="Rank" dataDxfId="2483">
      <calculatedColumnFormula>IF(COUNTBLANK(Table41013172512475452986841158[[SCORE 1]:[SCORE 2]])=0,IF(RANK(H20,$H$20:$H$23)=1,RANK(H20,$H$20:$H$23)&amp;"st",IF(RANK(H20,$H$20:$H$23)=2,RANK(H20,$H$20:$H$23)&amp;"nd",RANK(H20,$H$20:$H$23)&amp;"th")),"")</calculatedColumnFormula>
    </tableColumn>
    <tableColumn id="8" xr3:uid="{B7454546-2EF6-9D41-8022-B41138E339C0}" name="Rank support" dataDxfId="2482">
      <calculatedColumnFormula>Table612151927314956711007044160[[#This Row],[WIN]]*1000000+Table612151927314956711007044160[[#This Row],[Saldo]]*1000+Table612151927314956711007044160[[#This Row],[PM]]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E66D799A-11D9-B449-BBE9-26CC18391A1F}" name="Table152028325060721017145161" displayName="Table152028325060721017145161" ref="T2:U14" totalsRowShown="0" headerRowDxfId="2481" dataDxfId="2480" headerRowBorderDxfId="2478" tableBorderDxfId="2479">
  <autoFilter ref="T2:U14" xr:uid="{908C589F-0CD0-4EFE-993D-5B2ECC06D04A}">
    <filterColumn colId="0" hiddenButton="1"/>
    <filterColumn colId="1" hiddenButton="1"/>
  </autoFilter>
  <tableColumns count="2">
    <tableColumn id="1" xr3:uid="{031C9F14-E1F4-C742-AF4C-18238BA5CAA6}" name="Athlete" dataDxfId="2477"/>
    <tableColumn id="2" xr3:uid="{01D5003D-9C01-2C43-B9CB-0DBEE5EE9CEF}" name="Rank" dataDxfId="2476"/>
  </tableColumns>
  <tableStyleInfo name="TableStyleMedium2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1F2FF815-CF20-DA4E-8AF2-61428ABD7EB5}" name="Table61215192729335162731027262162" displayName="Table61215192729335162731027262162" ref="A25:H29" totalsRowShown="0" headerRowDxfId="2475" dataDxfId="2474" headerRowBorderDxfId="2472" tableBorderDxfId="2473" totalsRowBorderDxfId="2471">
  <autoFilter ref="A25:H29" xr:uid="{C1D8D95A-3D53-41E8-AABC-9D152E7B02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6:G29">
    <sortCondition descending="1" ref="D20:D23"/>
    <sortCondition descending="1" ref="E20:E23"/>
    <sortCondition descending="1" ref="F20:F23"/>
  </sortState>
  <tableColumns count="8">
    <tableColumn id="1" xr3:uid="{A4416E25-7AF5-964A-912D-DEC1409EF9A3}" name="Group" dataDxfId="2470"/>
    <tableColumn id="2" xr3:uid="{E3491445-B097-4B4E-8FFC-81870CD27894}" name="Athletes" dataDxfId="2469"/>
    <tableColumn id="7" xr3:uid="{05B8D936-9639-F346-A953-2B01DF5DFA2F}" name="WIN" dataDxfId="2468">
      <calculatedColumnFormula>SUM(COUNTIFS(Table41013172512475452986841158[ATHLETE 1],Table61215192729335162731027262162[[#This Row],[Athletes]],Table41013172512475452986841158[RESULT 12],Table361114182630485553996943159[[#Headers],[WIN]]),COUNTIFS(Table41013172512475452986841158[ATHLETE 2],Table61215192729335162731027262162[[#This Row],[Athletes]],Table41013172512475452986841158[RESULT 12],Table361114182630485553996943159[[#Headers],[WIN]]),COUNTIFS(Table41013172512475452986841158[ATHLETE 3],Table61215192729335162731027262162[[#This Row],[Athletes]],Table41013172512475452986841158[RESULT 34],Table361114182630485553996943159[[#Headers],[WIN]]),COUNTIFS(Table41013172512475452986841158[ATHLETE 4],Table61215192729335162731027262162[[#This Row],[Athletes]],Table41013172512475452986841158[RESULT 34],Table361114182630485553996943159[[#Headers],[WIN]]))</calculatedColumnFormula>
    </tableColumn>
    <tableColumn id="5" xr3:uid="{67B35B8C-B09E-3349-BEC8-BA2271CEB234}" name="LOSE" dataDxfId="2467">
      <calculatedColumnFormula>SUM(COUNTIFS(Table41013172512475452986841158[ATHLETE 1],Table61215192729335162731027262162[[#This Row],[Athletes]],Table41013172512475452986841158[RESULT 12],Table361114182630485553996943159[[#Headers],[LOSE]]),COUNTIFS(Table41013172512475452986841158[ATHLETE 2],Table61215192729335162731027262162[[#This Row],[Athletes]],Table41013172512475452986841158[RESULT 12],Table361114182630485553996943159[[#Headers],[LOSE]]),COUNTIFS(Table41013172512475452986841158[ATHLETE 3],Table61215192729335162731027262162[[#This Row],[Athletes]],Table41013172512475452986841158[RESULT 34],Table361114182630485553996943159[[#Headers],[LOSE]]),COUNTIFS(Table41013172512475452986841158[ATHLETE 4],Table61215192729335162731027262162[[#This Row],[Athletes]],Table41013172512475452986841158[RESULT 34],Table361114182630485553996943159[[#Headers],[LOSE]]))</calculatedColumnFormula>
    </tableColumn>
    <tableColumn id="3" xr3:uid="{C76BCA0E-F46C-EC44-9C43-A61FAE6F394A}" name="Saldo" dataDxfId="2466">
      <calculatedColumnFormula>SUM(SUMIF(Table41013172512475452986841158[ATHLETE 1],Table61215192729335162731027262162[[#This Row],[Athletes]],Table41013172512475452986841158[SALDO 12]),SUMIF(Table41013172512475452986841158[ATHLETE 2],Table61215192729335162731027262162[[#This Row],[Athletes]],Table41013172512475452986841158[SALDO 12]),SUMIF(Table41013172512475452986841158[ATHLETE 3],Table61215192729335162731027262162[[#This Row],[Athletes]],Table41013172512475452986841158[SALDO 34]),SUMIF(Table41013172512475452986841158[ATHLETE 4],Table61215192729335162731027262162[[#This Row],[Athletes]],Table41013172512475452986841158[SALDO 34]))</calculatedColumnFormula>
    </tableColumn>
    <tableColumn id="4" xr3:uid="{64FF2499-A751-FE40-B5AB-2C3FDB56F778}" name="PM" dataDxfId="2465">
      <calculatedColumnFormula>SUM(SUMIF(Table41013172512475452986841158[ATHLETE 1],Table61215192729335162731027262162[[#This Row],[Athletes]],Table41013172512475452986841158[PM 12]),SUMIF(Table41013172512475452986841158[ATHLETE 2],Table61215192729335162731027262162[[#This Row],[Athletes]],Table41013172512475452986841158[PM 12]),SUMIF(Table41013172512475452986841158[ATHLETE 3],Table61215192729335162731027262162[[#This Row],[Athletes]],Table41013172512475452986841158[PM 34]),SUMIF(Table41013172512475452986841158[ATHLETE 4],Table61215192729335162731027262162[[#This Row],[Athletes]],Table41013172512475452986841158[PM 34]))</calculatedColumnFormula>
    </tableColumn>
    <tableColumn id="6" xr3:uid="{41B27211-0D84-454C-87D8-D6C2124821BA}" name="Rank" dataDxfId="2464">
      <calculatedColumnFormula>IF(COUNTBLANK(Table41013172512475452986841158[[SCORE 1]:[SCORE 2]])=0,IF(RANK(H26,$H$26:$H$29)=1,RANK(H26,$H$26:$H$29)&amp;"st",IF(RANK(H26,$H$26:$H$29)=2,RANK(H26,$H$26:$H$29)&amp;"nd",RANK(H26,$H$26:$H$29)&amp;"th")),"")</calculatedColumnFormula>
    </tableColumn>
    <tableColumn id="8" xr3:uid="{E718D221-FE98-B342-833D-C6D8C8973321}" name="Rank support" dataDxfId="2463">
      <calculatedColumnFormula>Table61215192729335162731027262162[[#This Row],[WIN]]*1000000+Table61215192729335162731027262162[[#This Row],[Saldo]]*1000+Table61215192729335162731027262162[[#This Row],[PM]]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6CD3F0-2D55-AA48-8156-45E13AC82AE7}" name="Table41013172512475452986878" displayName="Table41013172512475452986878" ref="B1:R10" totalsRowShown="0" headerRowDxfId="2462" dataDxfId="2461" headerRowBorderDxfId="2459" tableBorderDxfId="2460" totalsRowBorderDxfId="2458">
  <autoFilter ref="B1:R10" xr:uid="{006CD3F0-2D55-AA48-8156-45E13AC82AE7}"/>
  <tableColumns count="17">
    <tableColumn id="3" xr3:uid="{EC1A8400-963C-9240-AE7F-A51A0D585DF1}" name="GROUP" dataDxfId="2457"/>
    <tableColumn id="4" xr3:uid="{C3F7DA4C-C4DE-3B4E-B6D0-06479488608F}" name="ATHLETE 1" dataDxfId="2456"/>
    <tableColumn id="5" xr3:uid="{752356A2-7B9C-C947-A8C6-9FF27C1EC7DF}" name="ATHLETE 2" dataDxfId="2455"/>
    <tableColumn id="8" xr3:uid="{B4242751-642D-934F-9269-399CB9061768}" name="SCORE 1" dataDxfId="2454"/>
    <tableColumn id="9" xr3:uid="{DC7C734C-8A00-984B-B20E-4D54441F7EDD}" name="SCORE 2" dataDxfId="2453"/>
    <tableColumn id="6" xr3:uid="{21A137F2-4E29-EF4D-9A3D-816766E674E1}" name="ATHLETE 3" dataDxfId="2452"/>
    <tableColumn id="17" xr3:uid="{95F73D27-BA30-6847-BF42-B8D2A3ACCF6A}" name="X" dataDxfId="2451"/>
    <tableColumn id="16" xr3:uid="{6F3EA484-8A8E-F94B-AF1B-FAA73151C863}" name="Y" dataDxfId="2450"/>
    <tableColumn id="2" xr3:uid="{86D1EF34-4D31-7B44-A701-5E235A5E5925}" name="Z" dataDxfId="2449"/>
    <tableColumn id="1" xr3:uid="{CA069FF0-A1C6-9648-9233-F23D3A6FDBAA}" name="A" dataDxfId="2448"/>
    <tableColumn id="7" xr3:uid="{47479BA0-FB52-AB48-A70F-6E2173D70E30}" name="ATHLETE 4" dataDxfId="2447"/>
    <tableColumn id="10" xr3:uid="{BE7F58F3-FCC0-294A-82A4-6ADB6E733D01}" name="SALDO 12" dataDxfId="2446">
      <calculatedColumnFormula>IF(OR(Table41013172512475452986878[[#This Row],[SCORE 1]]="",Table41013172512475452986878[[#This Row],[SCORE 2]]=""),"",Table41013172512475452986878[[#This Row],[SCORE 1]]-Table41013172512475452986878[[#This Row],[SCORE 2]])</calculatedColumnFormula>
    </tableColumn>
    <tableColumn id="11" xr3:uid="{E3730FAA-5EDA-0C41-A7E9-7AD77DCF8055}" name="SALDO 34" dataDxfId="2445">
      <calculatedColumnFormula>IF(OR(Table41013172512475452986878[[#This Row],[SCORE 1]]="",Table41013172512475452986878[[#This Row],[SCORE 2]]=""),"",Table41013172512475452986878[[#This Row],[SCORE 2]]-Table41013172512475452986878[[#This Row],[SCORE 1]])</calculatedColumnFormula>
    </tableColumn>
    <tableColumn id="12" xr3:uid="{AAA857CE-43F6-524C-AB96-1C50639419FD}" name="PM 12" dataDxfId="2444">
      <calculatedColumnFormula>IF(Table41013172512475452986878[[#This Row],[SCORE 1]]="","",Table41013172512475452986878[[#This Row],[SCORE 1]])</calculatedColumnFormula>
    </tableColumn>
    <tableColumn id="13" xr3:uid="{020D0196-F5E4-334A-A9D8-26193B17CD03}" name="PM 34" dataDxfId="2443">
      <calculatedColumnFormula>IF(Table41013172512475452986878[[#This Row],[SCORE 2]]="","",Table41013172512475452986878[[#This Row],[SCORE 2]])</calculatedColumnFormula>
    </tableColumn>
    <tableColumn id="14" xr3:uid="{4661DDD5-8FEE-1F49-BA11-C1A9652DAF47}" name="RESULT 12" dataDxfId="2442">
      <calculatedColumnFormula>IF(OR(Table41013172512475452986878[[#This Row],[SCORE 1]]="",Table41013172512475452986878[[#This Row],[SCORE 2]]=""),"",IF(Table41013172512475452986878[[#This Row],[SALDO 12]]&gt;0, "WIN","LOSE"))</calculatedColumnFormula>
    </tableColumn>
    <tableColumn id="15" xr3:uid="{B7B81608-1501-B64A-8372-E94BD54946A0}" name="RESULT 34" dataDxfId="2441">
      <calculatedColumnFormula>IF(OR(Table41013172512475452986878[[#This Row],[SCORE 1]]="",Table41013172512475452986878[[#This Row],[SCORE 2]]=""),"",IF(Table41013172512475452986878[[#This Row],[SALDO 34]]&gt;0, "WIN","LOSE"))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86B28B5-9F63-E949-A23E-9F5B16466369}" name="Table3611141826304855539969103" displayName="Table3611141826304855539969103" ref="A13:H17" totalsRowShown="0" headerRowDxfId="2440" dataDxfId="2439" headerRowBorderDxfId="2437" tableBorderDxfId="2438" totalsRowBorderDxfId="2436">
  <autoFilter ref="A13:H17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4:G17">
    <sortCondition descending="1" ref="D14:D17"/>
    <sortCondition descending="1" ref="E14:E17"/>
    <sortCondition descending="1" ref="F14:F17"/>
  </sortState>
  <tableColumns count="8">
    <tableColumn id="7" xr3:uid="{4264AFC0-13B2-B14B-9B02-69DD66FCC707}" name="Group" dataDxfId="2435"/>
    <tableColumn id="1" xr3:uid="{A343D339-1526-D646-97B9-0E1E00BFD4BC}" name="Athletes" dataDxfId="2434"/>
    <tableColumn id="8" xr3:uid="{EDFC879C-E507-844A-9189-DDD33ECA076A}" name="WIN" dataDxfId="2433">
      <calculatedColumnFormula>SUM(COUNTIFS(Table41013172512475452986878[ATHLETE 1],Table3611141826304855539969103[[#This Row],[Athletes]],Table41013172512475452986878[RESULT 12],Table3611141826304855539969103[[#Headers],[WIN]]),COUNTIFS(Table41013172512475452986878[ATHLETE 2],Table3611141826304855539969103[[#This Row],[Athletes]],Table41013172512475452986878[RESULT 12],Table3611141826304855539969103[[#Headers],[WIN]]),COUNTIFS(Table41013172512475452986878[ATHLETE 3],Table3611141826304855539969103[[#This Row],[Athletes]],Table41013172512475452986878[RESULT 34],Table3611141826304855539969103[[#Headers],[WIN]]),COUNTIFS(Table41013172512475452986878[ATHLETE 4],Table3611141826304855539969103[[#This Row],[Athletes]],Table41013172512475452986878[RESULT 34],Table3611141826304855539969103[[#Headers],[WIN]]))</calculatedColumnFormula>
    </tableColumn>
    <tableColumn id="5" xr3:uid="{8AA99EF6-1F18-4C4F-8E6F-79365911C8C5}" name="LOSE" dataDxfId="2432">
      <calculatedColumnFormula>SUM(COUNTIFS(Table41013172512475452986878[ATHLETE 1],Table3611141826304855539969103[[#This Row],[Athletes]],Table41013172512475452986878[RESULT 12],Table3611141826304855539969103[[#Headers],[LOSE]]),COUNTIFS(Table41013172512475452986878[ATHLETE 2],Table3611141826304855539969103[[#This Row],[Athletes]],Table41013172512475452986878[RESULT 12],Table3611141826304855539969103[[#Headers],[LOSE]]),COUNTIFS(Table41013172512475452986878[ATHLETE 3],Table3611141826304855539969103[[#This Row],[Athletes]],Table41013172512475452986878[RESULT 34],Table3611141826304855539969103[[#Headers],[LOSE]]),COUNTIFS(Table41013172512475452986878[ATHLETE 4],Table3611141826304855539969103[[#This Row],[Athletes]],Table41013172512475452986878[RESULT 34],Table3611141826304855539969103[[#Headers],[LOSE]]))</calculatedColumnFormula>
    </tableColumn>
    <tableColumn id="3" xr3:uid="{C93D395F-D354-8F46-96E0-CC03607EE0AD}" name="Saldo" dataDxfId="2431">
      <calculatedColumnFormula>SUM(SUMIF(Table41013172512475452986878[ATHLETE 1],Table3611141826304855539969103[[#This Row],[Athletes]],Table41013172512475452986878[SALDO 12]),SUMIF(Table41013172512475452986878[ATHLETE 2],Table3611141826304855539969103[[#This Row],[Athletes]],Table41013172512475452986878[SALDO 12]),SUMIF(Table41013172512475452986878[ATHLETE 3],Table3611141826304855539969103[[#This Row],[Athletes]],Table41013172512475452986878[SALDO 34]),SUMIF(Table41013172512475452986878[ATHLETE 4],Table3611141826304855539969103[[#This Row],[Athletes]],Table41013172512475452986878[SALDO 34]))</calculatedColumnFormula>
    </tableColumn>
    <tableColumn id="4" xr3:uid="{17393899-FD91-7C44-BF68-F59D7B94F820}" name="PM" dataDxfId="2430">
      <calculatedColumnFormula>SUM(SUMIF(Table41013172512475452986878[ATHLETE 1],Table3611141826304855539969103[[#This Row],[Athletes]],Table41013172512475452986878[PM 12]),SUMIF(Table41013172512475452986878[ATHLETE 2],Table3611141826304855539969103[[#This Row],[Athletes]],Table41013172512475452986878[PM 12]),SUMIF(Table41013172512475452986878[ATHLETE 3],Table3611141826304855539969103[[#This Row],[Athletes]],Table41013172512475452986878[PM 34]),SUMIF(Table41013172512475452986878[ATHLETE 4],Table3611141826304855539969103[[#This Row],[Athletes]],Table41013172512475452986878[PM 34]))</calculatedColumnFormula>
    </tableColumn>
    <tableColumn id="6" xr3:uid="{735BDB88-EDD5-194C-A4BC-96D968DA96EF}" name="Rank" dataDxfId="2429">
      <calculatedColumnFormula>IF(COUNTBLANK(Table41013172512475452986878[[SCORE 1]:[SCORE 2]])=0,IF(RANK(H14,$H$14:$H$17)=1,RANK(H14,$H$14:$H$17)&amp;"st",IF(RANK(H14,$H$14:$H$17)=2,RANK(H14,$H$14:$H$17)&amp;"nd",RANK(H14,$H$14:$H$17)&amp;"th")),"")</calculatedColumnFormula>
    </tableColumn>
    <tableColumn id="2" xr3:uid="{408DBCDF-75AE-9A49-9D17-2D453CFE0393}" name="Rank support" dataDxfId="2428">
      <calculatedColumnFormula>Table3611141826304855539969103[[#This Row],[WIN]]*1000000+Table3611141826304855539969103[[#This Row],[Saldo]]*1000+Table3611141826304855539969103[[#This Row],[PM]]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B27092CD-1EC4-694A-937B-A284FFD2E928}" name="Table6121519273149567110070104" displayName="Table6121519273149567110070104" ref="A19:H23" totalsRowShown="0" headerRowDxfId="2427" dataDxfId="2426" headerRowBorderDxfId="2424" tableBorderDxfId="2425" totalsRowBorderDxfId="2423">
  <autoFilter ref="A19:H23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0:G23">
    <sortCondition descending="1" ref="D20:D23"/>
    <sortCondition descending="1" ref="E20:E23"/>
    <sortCondition descending="1" ref="F20:F23"/>
  </sortState>
  <tableColumns count="8">
    <tableColumn id="1" xr3:uid="{72918847-5D43-D942-ABE3-3817FA6A6F6D}" name="Group" dataDxfId="2422"/>
    <tableColumn id="2" xr3:uid="{B9CD0EC0-DD2C-AC4E-B35A-F708359D3F65}" name="Athletes" dataDxfId="2421"/>
    <tableColumn id="7" xr3:uid="{35FA499D-B354-1F45-8203-7A9DF3878FC8}" name="WIN" dataDxfId="2420">
      <calculatedColumnFormula>SUM(COUNTIFS(Table41013172512475452986878[ATHLETE 1],Table6121519273149567110070104[[#This Row],[Athletes]],Table41013172512475452986878[RESULT 12],Table3611141826304855539969103[[#Headers],[WIN]]),COUNTIFS(Table41013172512475452986878[ATHLETE 2],Table6121519273149567110070104[[#This Row],[Athletes]],Table41013172512475452986878[RESULT 12],Table3611141826304855539969103[[#Headers],[WIN]]),COUNTIFS(Table41013172512475452986878[ATHLETE 3],Table6121519273149567110070104[[#This Row],[Athletes]],Table41013172512475452986878[RESULT 34],Table3611141826304855539969103[[#Headers],[WIN]]),COUNTIFS(Table41013172512475452986878[ATHLETE 4],Table6121519273149567110070104[[#This Row],[Athletes]],Table41013172512475452986878[RESULT 34],Table3611141826304855539969103[[#Headers],[WIN]]))</calculatedColumnFormula>
    </tableColumn>
    <tableColumn id="5" xr3:uid="{61CFA6C1-EAC5-8D4F-ADE8-D8EFBCEBA31B}" name="LOSE" dataDxfId="2419">
      <calculatedColumnFormula>SUM(COUNTIFS(Table41013172512475452986878[ATHLETE 1],Table6121519273149567110070104[[#This Row],[Athletes]],Table41013172512475452986878[RESULT 12],Table3611141826304855539969103[[#Headers],[LOSE]]),COUNTIFS(Table41013172512475452986878[ATHLETE 2],Table6121519273149567110070104[[#This Row],[Athletes]],Table41013172512475452986878[RESULT 12],Table3611141826304855539969103[[#Headers],[LOSE]]),COUNTIFS(Table41013172512475452986878[ATHLETE 3],Table6121519273149567110070104[[#This Row],[Athletes]],Table41013172512475452986878[RESULT 34],Table3611141826304855539969103[[#Headers],[LOSE]]),COUNTIFS(Table41013172512475452986878[ATHLETE 4],Table6121519273149567110070104[[#This Row],[Athletes]],Table41013172512475452986878[RESULT 34],Table3611141826304855539969103[[#Headers],[LOSE]]))</calculatedColumnFormula>
    </tableColumn>
    <tableColumn id="3" xr3:uid="{69C9F772-E5A3-9942-8903-91DF4010B9EB}" name="Saldo" dataDxfId="2418">
      <calculatedColumnFormula>SUM(SUMIF(Table41013172512475452986878[ATHLETE 1],Table6121519273149567110070104[[#This Row],[Athletes]],Table41013172512475452986878[SALDO 12]),SUMIF(Table41013172512475452986878[ATHLETE 2],Table6121519273149567110070104[[#This Row],[Athletes]],Table41013172512475452986878[SALDO 12]),SUMIF(Table41013172512475452986878[ATHLETE 3],Table6121519273149567110070104[[#This Row],[Athletes]],Table41013172512475452986878[SALDO 34]),SUMIF(Table41013172512475452986878[ATHLETE 4],Table6121519273149567110070104[[#This Row],[Athletes]],Table41013172512475452986878[SALDO 34]))</calculatedColumnFormula>
    </tableColumn>
    <tableColumn id="4" xr3:uid="{AADEE18A-3504-E14D-A68A-EA6725F1C140}" name="PM" dataDxfId="2417">
      <calculatedColumnFormula>SUM(SUMIF(Table41013172512475452986878[ATHLETE 1],Table6121519273149567110070104[[#This Row],[Athletes]],Table41013172512475452986878[PM 12]),SUMIF(Table41013172512475452986878[ATHLETE 2],Table6121519273149567110070104[[#This Row],[Athletes]],Table41013172512475452986878[PM 12]),SUMIF(Table41013172512475452986878[ATHLETE 3],Table6121519273149567110070104[[#This Row],[Athletes]],Table41013172512475452986878[PM 34]),SUMIF(Table41013172512475452986878[ATHLETE 4],Table6121519273149567110070104[[#This Row],[Athletes]],Table41013172512475452986878[PM 34]))</calculatedColumnFormula>
    </tableColumn>
    <tableColumn id="6" xr3:uid="{C0A1D9B9-31D5-6743-B821-394EA14CF2F3}" name="Rank" dataDxfId="2416">
      <calculatedColumnFormula>IF(COUNTBLANK(Table41013172512475452986878[[SCORE 1]:[SCORE 2]])=0,IF(RANK(H20,$H$20:$H$23)=1,RANK(H20,$H$20:$H$23)&amp;"st",IF(RANK(H20,$H$20:$H$23)=2,RANK(H20,$H$20:$H$23)&amp;"nd",RANK(H20,$H$20:$H$23)&amp;"th")),"")</calculatedColumnFormula>
    </tableColumn>
    <tableColumn id="8" xr3:uid="{61AEE76F-09F4-3C46-A1DD-C5323583EB59}" name="Rank support" dataDxfId="2415">
      <calculatedColumnFormula>Table6121519273149567110070104[[#This Row],[WIN]]*1000000+Table6121519273149567110070104[[#This Row],[Saldo]]*1000+Table6121519273149567110070104[[#This Row],[PM]]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B6380097-C041-EE43-A055-298155F14E12}" name="Table1520283250607210171105" displayName="Table1520283250607210171105" ref="T2:U14" totalsRowShown="0" headerRowDxfId="2414" dataDxfId="2413" headerRowBorderDxfId="2411" tableBorderDxfId="2412">
  <autoFilter ref="T2:U14" xr:uid="{908C589F-0CD0-4EFE-993D-5B2ECC06D04A}">
    <filterColumn colId="0" hiddenButton="1"/>
    <filterColumn colId="1" hiddenButton="1"/>
  </autoFilter>
  <tableColumns count="2">
    <tableColumn id="1" xr3:uid="{889462FD-5CF5-3241-9530-AD9B342B69EB}" name="Athlete" dataDxfId="2410"/>
    <tableColumn id="2" xr3:uid="{6F394690-C13F-8446-830D-5B372C4C62E6}" name="Rank" dataDxfId="2409"/>
  </tableColumns>
  <tableStyleInfo name="TableStyleMedium2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3277833-4213-1847-A832-F1574A1A390B}" name="Table612151927293351627310272106" displayName="Table612151927293351627310272106" ref="A25:H29" totalsRowShown="0" headerRowDxfId="2408" dataDxfId="2407" headerRowBorderDxfId="2405" tableBorderDxfId="2406" totalsRowBorderDxfId="2404">
  <autoFilter ref="A25:H29" xr:uid="{C1D8D95A-3D53-41E8-AABC-9D152E7B02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6:G29">
    <sortCondition descending="1" ref="D20:D23"/>
    <sortCondition descending="1" ref="E20:E23"/>
    <sortCondition descending="1" ref="F20:F23"/>
  </sortState>
  <tableColumns count="8">
    <tableColumn id="1" xr3:uid="{022A53F1-1B80-3D48-BDD2-71F3C99F227B}" name="Group" dataDxfId="2403"/>
    <tableColumn id="2" xr3:uid="{1B966E26-A22C-4C44-8DBE-A8A8E618F516}" name="Athletes" dataDxfId="2402"/>
    <tableColumn id="7" xr3:uid="{6D0DA09A-1543-7242-8748-B51A7275C5AD}" name="WIN" dataDxfId="2401">
      <calculatedColumnFormula>SUM(COUNTIFS(Table41013172512475452986878[ATHLETE 1],Table612151927293351627310272106[[#This Row],[Athletes]],Table41013172512475452986878[RESULT 12],Table3611141826304855539969103[[#Headers],[WIN]]),COUNTIFS(Table41013172512475452986878[ATHLETE 2],Table612151927293351627310272106[[#This Row],[Athletes]],Table41013172512475452986878[RESULT 12],Table3611141826304855539969103[[#Headers],[WIN]]),COUNTIFS(Table41013172512475452986878[ATHLETE 3],Table612151927293351627310272106[[#This Row],[Athletes]],Table41013172512475452986878[RESULT 34],Table3611141826304855539969103[[#Headers],[WIN]]),COUNTIFS(Table41013172512475452986878[ATHLETE 4],Table612151927293351627310272106[[#This Row],[Athletes]],Table41013172512475452986878[RESULT 34],Table3611141826304855539969103[[#Headers],[WIN]]))</calculatedColumnFormula>
    </tableColumn>
    <tableColumn id="5" xr3:uid="{3863BA0A-824E-F740-A34E-4D3B0DB1D3BF}" name="LOSE" dataDxfId="2400">
      <calculatedColumnFormula>SUM(COUNTIFS(Table41013172512475452986878[ATHLETE 1],Table612151927293351627310272106[[#This Row],[Athletes]],Table41013172512475452986878[RESULT 12],Table3611141826304855539969103[[#Headers],[LOSE]]),COUNTIFS(Table41013172512475452986878[ATHLETE 2],Table612151927293351627310272106[[#This Row],[Athletes]],Table41013172512475452986878[RESULT 12],Table3611141826304855539969103[[#Headers],[LOSE]]),COUNTIFS(Table41013172512475452986878[ATHLETE 3],Table612151927293351627310272106[[#This Row],[Athletes]],Table41013172512475452986878[RESULT 34],Table3611141826304855539969103[[#Headers],[LOSE]]),COUNTIFS(Table41013172512475452986878[ATHLETE 4],Table612151927293351627310272106[[#This Row],[Athletes]],Table41013172512475452986878[RESULT 34],Table3611141826304855539969103[[#Headers],[LOSE]]))</calculatedColumnFormula>
    </tableColumn>
    <tableColumn id="3" xr3:uid="{D8384B73-D08D-6440-AAD7-FB3825871EFB}" name="Saldo" dataDxfId="2399">
      <calculatedColumnFormula>SUM(SUMIF(Table41013172512475452986878[ATHLETE 1],Table612151927293351627310272106[[#This Row],[Athletes]],Table41013172512475452986878[SALDO 12]),SUMIF(Table41013172512475452986878[ATHLETE 2],Table612151927293351627310272106[[#This Row],[Athletes]],Table41013172512475452986878[SALDO 12]),SUMIF(Table41013172512475452986878[ATHLETE 3],Table612151927293351627310272106[[#This Row],[Athletes]],Table41013172512475452986878[SALDO 34]),SUMIF(Table41013172512475452986878[ATHLETE 4],Table612151927293351627310272106[[#This Row],[Athletes]],Table41013172512475452986878[SALDO 34]))</calculatedColumnFormula>
    </tableColumn>
    <tableColumn id="4" xr3:uid="{10EF76C9-95C0-9145-A228-870D8EE26543}" name="PM" dataDxfId="2398">
      <calculatedColumnFormula>SUM(SUMIF(Table41013172512475452986878[ATHLETE 1],Table612151927293351627310272106[[#This Row],[Athletes]],Table41013172512475452986878[PM 12]),SUMIF(Table41013172512475452986878[ATHLETE 2],Table612151927293351627310272106[[#This Row],[Athletes]],Table41013172512475452986878[PM 12]),SUMIF(Table41013172512475452986878[ATHLETE 3],Table612151927293351627310272106[[#This Row],[Athletes]],Table41013172512475452986878[PM 34]),SUMIF(Table41013172512475452986878[ATHLETE 4],Table612151927293351627310272106[[#This Row],[Athletes]],Table41013172512475452986878[PM 34]))</calculatedColumnFormula>
    </tableColumn>
    <tableColumn id="6" xr3:uid="{54D8A65C-E1BC-784E-B7EF-648FAE4A1CF2}" name="Rank" dataDxfId="2397">
      <calculatedColumnFormula>IF(COUNTBLANK(Table41013172512475452986878[[SCORE 1]:[SCORE 2]])=0,IF(RANK(H26,$H$26:$H$29)=1,RANK(H26,$H$26:$H$29)&amp;"st",IF(RANK(H26,$H$26:$H$29)=2,RANK(H26,$H$26:$H$29)&amp;"nd",RANK(H26,$H$26:$H$29)&amp;"th")),"")</calculatedColumnFormula>
    </tableColumn>
    <tableColumn id="8" xr3:uid="{464C1EFA-2F6B-8D4A-BFCF-75302512AFF8}" name="Rank support" dataDxfId="2396">
      <calculatedColumnFormula>Table612151927293351627310272106[[#This Row],[WIN]]*1000000+Table612151927293351627310272106[[#This Row],[Saldo]]*1000+Table612151927293351627310272106[[#This Row],[PM]]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6D5A8757-D9DD-C441-A65B-D1816C4E7801}" name="Table4101317251247545298684173172" displayName="Table4101317251247545298684173172" ref="B1:R7" totalsRowShown="0" headerRowDxfId="2395" dataDxfId="2394" headerRowBorderDxfId="2392" tableBorderDxfId="2393" totalsRowBorderDxfId="2391">
  <autoFilter ref="B1:R7" xr:uid="{C79D687B-AEB2-42F8-B262-AEDE9265CB48}"/>
  <tableColumns count="17">
    <tableColumn id="3" xr3:uid="{5264700F-38C0-1544-8553-DD62B232EB62}" name="GROUP" dataDxfId="2390"/>
    <tableColumn id="4" xr3:uid="{DA1CB9AA-12DC-D745-A68C-66A8ECBA7C70}" name="ATHLETE 1" dataDxfId="2389"/>
    <tableColumn id="5" xr3:uid="{6062D1C2-CE08-AD4B-982A-1BEDAF820101}" name="ATHLETE 2" dataDxfId="2388"/>
    <tableColumn id="8" xr3:uid="{F33A02A0-EF52-F645-94D9-34B2654E2F93}" name="SCORE 1" dataDxfId="2387"/>
    <tableColumn id="9" xr3:uid="{40C91D09-2E9A-D64D-AB82-A4D794A6822E}" name="SCORE 2" dataDxfId="2386"/>
    <tableColumn id="6" xr3:uid="{3EB2C313-20BC-1044-8876-8C26F39D7293}" name="ATHLETE 3" dataDxfId="2385"/>
    <tableColumn id="17" xr3:uid="{3A643271-3CAB-4A4C-A4C1-20F4EDBDE747}" name="X" dataDxfId="2384"/>
    <tableColumn id="16" xr3:uid="{23D123B5-5C4D-1445-A29C-EF6310BAD4FC}" name="Y" dataDxfId="2383"/>
    <tableColumn id="2" xr3:uid="{D9A626BC-3A70-8E47-BC1D-5E5F3967E0A1}" name="Z" dataDxfId="2382"/>
    <tableColumn id="1" xr3:uid="{403743C2-F431-124F-A5F3-2881C473834D}" name="A" dataDxfId="2381"/>
    <tableColumn id="7" xr3:uid="{329DDD96-82D1-3040-BB85-2F98AB7132AD}" name="ATHLETE 4" dataDxfId="2380"/>
    <tableColumn id="10" xr3:uid="{31BCE900-30CB-7B43-AB99-E4004F6354B8}" name="SALDO 12" dataDxfId="2379">
      <calculatedColumnFormula>IF(OR(Table4101317251247545298684173172[[#This Row],[SCORE 1]]="",Table4101317251247545298684173172[[#This Row],[SCORE 2]]=""),"",Table4101317251247545298684173172[[#This Row],[SCORE 1]]-Table4101317251247545298684173172[[#This Row],[SCORE 2]])</calculatedColumnFormula>
    </tableColumn>
    <tableColumn id="11" xr3:uid="{1CA699AA-92B8-7E46-A47E-5DE74CF9A03F}" name="SALDO 34" dataDxfId="2378">
      <calculatedColumnFormula>IF(OR(Table4101317251247545298684173172[[#This Row],[SCORE 1]]="",Table4101317251247545298684173172[[#This Row],[SCORE 2]]=""),"",Table4101317251247545298684173172[[#This Row],[SCORE 2]]-Table4101317251247545298684173172[[#This Row],[SCORE 1]])</calculatedColumnFormula>
    </tableColumn>
    <tableColumn id="12" xr3:uid="{EA330609-9A9F-C942-862A-926E3EF0757A}" name="PM 12" dataDxfId="2377">
      <calculatedColumnFormula>IF(Table4101317251247545298684173172[[#This Row],[SCORE 1]]="","",Table4101317251247545298684173172[[#This Row],[SCORE 1]])</calculatedColumnFormula>
    </tableColumn>
    <tableColumn id="13" xr3:uid="{07E2AAE7-8E9B-7840-8985-3E289FA31F1D}" name="PM 34" dataDxfId="2376">
      <calculatedColumnFormula>IF(Table4101317251247545298684173172[[#This Row],[SCORE 2]]="","",Table4101317251247545298684173172[[#This Row],[SCORE 2]])</calculatedColumnFormula>
    </tableColumn>
    <tableColumn id="14" xr3:uid="{CE5087D9-EB64-1A4C-A188-5BF0DFC48B18}" name="RESULT 12" dataDxfId="2375">
      <calculatedColumnFormula>IF(OR(Table4101317251247545298684173172[[#This Row],[SCORE 1]]="",Table4101317251247545298684173172[[#This Row],[SCORE 2]]=""),"",IF(Table4101317251247545298684173172[[#This Row],[SALDO 12]]&gt;0, "WIN","LOSE"))</calculatedColumnFormula>
    </tableColumn>
    <tableColumn id="15" xr3:uid="{754321DA-1DCA-F343-B4E0-6D2F7E66EE53}" name="RESULT 34" dataDxfId="2374">
      <calculatedColumnFormula>IF(OR(Table4101317251247545298684173172[[#This Row],[SCORE 1]]="",Table4101317251247545298684173172[[#This Row],[SCORE 2]]=""),"",IF(Table4101317251247545298684173172[[#This Row],[SALDO 34]]&gt;0, "WIN","LOSE"))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9966813F-A97E-8D42-842D-B999D49BAC5A}" name="Table36111418263048555399694375173" displayName="Table36111418263048555399694375173" ref="A10:H14" totalsRowShown="0" headerRowDxfId="2373" dataDxfId="2372" headerRowBorderDxfId="2370" tableBorderDxfId="2371" totalsRowBorderDxfId="2369">
  <autoFilter ref="A10:H14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1:G14">
    <sortCondition descending="1" ref="D11:D14"/>
    <sortCondition descending="1" ref="E11:E14"/>
    <sortCondition descending="1" ref="F11:F14"/>
  </sortState>
  <tableColumns count="8">
    <tableColumn id="7" xr3:uid="{1B5A353B-92E4-964D-92FE-26CDFD351E4E}" name="Group" dataDxfId="2368"/>
    <tableColumn id="1" xr3:uid="{C2F3E207-B021-0F46-A813-77632E2057FC}" name="Athletes" dataDxfId="2367"/>
    <tableColumn id="8" xr3:uid="{5C1918B9-60AC-0547-8F91-A39CD1FAA06E}" name="WIN" dataDxfId="2366">
      <calculatedColumnFormula>SUM(COUNTIFS(Table4101317251247545298684173172[ATHLETE 1],Table36111418263048555399694375173[[#This Row],[Athletes]],Table4101317251247545298684173172[RESULT 12],Table36111418263048555399694375173[[#Headers],[WIN]]),COUNTIFS(Table4101317251247545298684173172[ATHLETE 2],Table36111418263048555399694375173[[#This Row],[Athletes]],Table4101317251247545298684173172[RESULT 12],Table36111418263048555399694375173[[#Headers],[WIN]]),COUNTIFS(Table4101317251247545298684173172[ATHLETE 3],Table36111418263048555399694375173[[#This Row],[Athletes]],Table4101317251247545298684173172[RESULT 34],Table36111418263048555399694375173[[#Headers],[WIN]]),COUNTIFS(Table4101317251247545298684173172[ATHLETE 4],Table36111418263048555399694375173[[#This Row],[Athletes]],Table4101317251247545298684173172[RESULT 34],Table36111418263048555399694375173[[#Headers],[WIN]]))</calculatedColumnFormula>
    </tableColumn>
    <tableColumn id="5" xr3:uid="{6656241C-2A7F-8648-9122-C3432CEF12CE}" name="LOSE" dataDxfId="2365">
      <calculatedColumnFormula>SUM(COUNTIFS(Table4101317251247545298684173172[ATHLETE 1],Table36111418263048555399694375173[[#This Row],[Athletes]],Table4101317251247545298684173172[RESULT 12],Table36111418263048555399694375173[[#Headers],[LOSE]]),COUNTIFS(Table4101317251247545298684173172[ATHLETE 2],Table36111418263048555399694375173[[#This Row],[Athletes]],Table4101317251247545298684173172[RESULT 12],Table36111418263048555399694375173[[#Headers],[LOSE]]),COUNTIFS(Table4101317251247545298684173172[ATHLETE 3],Table36111418263048555399694375173[[#This Row],[Athletes]],Table4101317251247545298684173172[RESULT 34],Table36111418263048555399694375173[[#Headers],[LOSE]]),COUNTIFS(Table4101317251247545298684173172[ATHLETE 4],Table36111418263048555399694375173[[#This Row],[Athletes]],Table4101317251247545298684173172[RESULT 34],Table36111418263048555399694375173[[#Headers],[LOSE]]))</calculatedColumnFormula>
    </tableColumn>
    <tableColumn id="3" xr3:uid="{DB1AA110-F08B-7949-A9F2-947A494BA9CD}" name="Saldo" dataDxfId="2364">
      <calculatedColumnFormula>SUM(SUMIF(Table4101317251247545298684173172[ATHLETE 1],Table36111418263048555399694375173[[#This Row],[Athletes]],Table4101317251247545298684173172[SALDO 12]),SUMIF(Table4101317251247545298684173172[ATHLETE 2],Table36111418263048555399694375173[[#This Row],[Athletes]],Table4101317251247545298684173172[SALDO 12]),SUMIF(Table4101317251247545298684173172[ATHLETE 3],Table36111418263048555399694375173[[#This Row],[Athletes]],Table4101317251247545298684173172[SALDO 34]),SUMIF(Table4101317251247545298684173172[ATHLETE 4],Table36111418263048555399694375173[[#This Row],[Athletes]],Table4101317251247545298684173172[SALDO 34]))</calculatedColumnFormula>
    </tableColumn>
    <tableColumn id="4" xr3:uid="{84940236-2963-F04F-A167-494F80A2DC78}" name="PM" dataDxfId="2363">
      <calculatedColumnFormula>SUM(SUMIF(Table4101317251247545298684173172[ATHLETE 1],Table36111418263048555399694375173[[#This Row],[Athletes]],Table4101317251247545298684173172[PM 12]),SUMIF(Table4101317251247545298684173172[ATHLETE 2],Table36111418263048555399694375173[[#This Row],[Athletes]],Table4101317251247545298684173172[PM 12]),SUMIF(Table4101317251247545298684173172[ATHLETE 3],Table36111418263048555399694375173[[#This Row],[Athletes]],Table4101317251247545298684173172[PM 34]),SUMIF(Table4101317251247545298684173172[ATHLETE 4],Table36111418263048555399694375173[[#This Row],[Athletes]],Table4101317251247545298684173172[PM 34]))</calculatedColumnFormula>
    </tableColumn>
    <tableColumn id="6" xr3:uid="{498BCEB5-BF47-1F4B-843D-69C4BAE27C41}" name="Rank" dataDxfId="2362">
      <calculatedColumnFormula>IF(COUNTBLANK(Table4101317251247545298684173172[[SCORE 1]:[SCORE 2]])=0,IF(RANK(H11,$H$11:$H$14)=1,RANK(H11,$H$11:$H$14)&amp;"st",IF(RANK(H11,$H$11:$H$14)=2,RANK(H11,$H$11:$H$14)&amp;"nd",RANK(H11,$H$11:$H$14)&amp;"th")),"")</calculatedColumnFormula>
    </tableColumn>
    <tableColumn id="2" xr3:uid="{966FF084-AF5F-C742-B7E3-EC91E5FD3D8D}" name="Rank support" dataDxfId="2361">
      <calculatedColumnFormula>Table36111418263048555399694375173[[#This Row],[WIN]]*1000000+Table36111418263048555399694375173[[#This Row],[Saldo]]*1000+Table36111418263048555399694375173[[#This Row],[PM]]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CD656260-744E-6142-A529-921705559FB4}" name="Table61215192731495671100704476174" displayName="Table61215192731495671100704476174" ref="A16:H20" totalsRowShown="0" headerRowDxfId="2360" dataDxfId="2359" headerRowBorderDxfId="2357" tableBorderDxfId="2358" totalsRowBorderDxfId="2356">
  <autoFilter ref="A16:H20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1" xr3:uid="{76E3C1CB-5AD5-0447-9B57-0A0B3E7CD45D}" name="Group" dataDxfId="2355"/>
    <tableColumn id="2" xr3:uid="{40AA4BDE-887B-484A-8F1D-A3472E4FA5C0}" name="Athletes" dataDxfId="2354"/>
    <tableColumn id="7" xr3:uid="{05B94508-BEE2-1343-A33A-0B9C68A0BC1F}" name="WIN" dataDxfId="2353">
      <calculatedColumnFormula>SUM(COUNTIFS(Table4101317251247545298684173172[ATHLETE 1],Table61215192731495671100704476174[[#This Row],[Athletes]],Table4101317251247545298684173172[RESULT 12],Table36111418263048555399694375173[[#Headers],[WIN]]),COUNTIFS(Table4101317251247545298684173172[ATHLETE 2],Table61215192731495671100704476174[[#This Row],[Athletes]],Table4101317251247545298684173172[RESULT 12],Table36111418263048555399694375173[[#Headers],[WIN]]),COUNTIFS(Table4101317251247545298684173172[ATHLETE 3],Table61215192731495671100704476174[[#This Row],[Athletes]],Table4101317251247545298684173172[RESULT 34],Table36111418263048555399694375173[[#Headers],[WIN]]),COUNTIFS(Table4101317251247545298684173172[ATHLETE 4],Table61215192731495671100704476174[[#This Row],[Athletes]],Table4101317251247545298684173172[RESULT 34],Table36111418263048555399694375173[[#Headers],[WIN]]))</calculatedColumnFormula>
    </tableColumn>
    <tableColumn id="5" xr3:uid="{830545E7-87C6-1241-B78B-98939BEC903D}" name="LOSE" dataDxfId="2352">
      <calculatedColumnFormula>SUM(COUNTIFS(Table4101317251247545298684173172[ATHLETE 1],Table61215192731495671100704476174[[#This Row],[Athletes]],Table4101317251247545298684173172[RESULT 12],Table36111418263048555399694375173[[#Headers],[LOSE]]),COUNTIFS(Table4101317251247545298684173172[ATHLETE 2],Table61215192731495671100704476174[[#This Row],[Athletes]],Table4101317251247545298684173172[RESULT 12],Table36111418263048555399694375173[[#Headers],[LOSE]]),COUNTIFS(Table4101317251247545298684173172[ATHLETE 3],Table61215192731495671100704476174[[#This Row],[Athletes]],Table4101317251247545298684173172[RESULT 34],Table36111418263048555399694375173[[#Headers],[LOSE]]),COUNTIFS(Table4101317251247545298684173172[ATHLETE 4],Table61215192731495671100704476174[[#This Row],[Athletes]],Table4101317251247545298684173172[RESULT 34],Table36111418263048555399694375173[[#Headers],[LOSE]]))</calculatedColumnFormula>
    </tableColumn>
    <tableColumn id="3" xr3:uid="{118A5170-2428-B040-94CB-26646289691C}" name="Saldo" dataDxfId="2351">
      <calculatedColumnFormula>SUM(SUMIF(Table4101317251247545298684173172[ATHLETE 1],Table61215192731495671100704476174[[#This Row],[Athletes]],Table4101317251247545298684173172[SALDO 12]),SUMIF(Table4101317251247545298684173172[ATHLETE 2],Table61215192731495671100704476174[[#This Row],[Athletes]],Table4101317251247545298684173172[SALDO 12]),SUMIF(Table4101317251247545298684173172[ATHLETE 3],Table61215192731495671100704476174[[#This Row],[Athletes]],Table4101317251247545298684173172[SALDO 34]),SUMIF(Table4101317251247545298684173172[ATHLETE 4],Table61215192731495671100704476174[[#This Row],[Athletes]],Table4101317251247545298684173172[SALDO 34]))</calculatedColumnFormula>
    </tableColumn>
    <tableColumn id="4" xr3:uid="{B221BE68-BED4-4E43-8D48-860809630B98}" name="PM" dataDxfId="2350">
      <calculatedColumnFormula>SUM(SUMIF(Table4101317251247545298684173172[ATHLETE 1],Table61215192731495671100704476174[[#This Row],[Athletes]],Table4101317251247545298684173172[PM 12]),SUMIF(Table4101317251247545298684173172[ATHLETE 2],Table61215192731495671100704476174[[#This Row],[Athletes]],Table4101317251247545298684173172[PM 12]),SUMIF(Table4101317251247545298684173172[ATHLETE 3],Table61215192731495671100704476174[[#This Row],[Athletes]],Table4101317251247545298684173172[PM 34]),SUMIF(Table4101317251247545298684173172[ATHLETE 4],Table61215192731495671100704476174[[#This Row],[Athletes]],Table4101317251247545298684173172[PM 34]))</calculatedColumnFormula>
    </tableColumn>
    <tableColumn id="6" xr3:uid="{FEB6B70D-33CE-6349-8348-B81747145C3A}" name="Rank" dataDxfId="2349">
      <calculatedColumnFormula>IF(COUNTBLANK(Table4101317251247545298684173172[[SCORE 1]:[SCORE 2]])=0,IF(RANK(H17,$H$17:$H$20)=1,RANK(H17,$H$17:$H$20)&amp;"st",IF(RANK(H17,$H$17:$H$20)=2,RANK(H17,$H$17:$H$20)&amp;"nd",RANK(H17,$H$17:$H$20)&amp;"th")),"")</calculatedColumnFormula>
    </tableColumn>
    <tableColumn id="8" xr3:uid="{66A891B0-D927-0844-AB0F-DB41DE4465D9}" name="Rank support" dataDxfId="2348">
      <calculatedColumnFormula>Table61215192731495671100704476174[[#This Row],[WIN]]*1000000+Table61215192731495671100704476174[[#This Row],[Saldo]]*1000+Table61215192731495671100704476174[[#This Row],[PM]]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3F3D5282-9AFE-CD4E-A37F-ED6A3C2A75CB}" name="Table15202832506072101714577175" displayName="Table15202832506072101714577175" ref="T2:U10" totalsRowShown="0" headerRowDxfId="2347" dataDxfId="2346" headerRowBorderDxfId="2344" tableBorderDxfId="2345">
  <autoFilter ref="T2:U10" xr:uid="{908C589F-0CD0-4EFE-993D-5B2ECC06D04A}">
    <filterColumn colId="0" hiddenButton="1"/>
    <filterColumn colId="1" hiddenButton="1"/>
  </autoFilter>
  <tableColumns count="2">
    <tableColumn id="1" xr3:uid="{5C83A22B-88F4-6F45-B7BB-634EDD8F0CDE}" name="Athlete" dataDxfId="2343"/>
    <tableColumn id="2" xr3:uid="{58842FBA-52C9-8A49-A2A3-45FB90F4580C}" name="Rank" dataDxfId="2342"/>
  </tableColumns>
  <tableStyleInfo name="TableStyleMedium2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3EFE44D-D364-884F-82FF-4FAA0AB5437B}" name="Games_45056" displayName="Games_45056" ref="B1:R21" totalsRowShown="0" headerRowDxfId="2341" dataDxfId="2340" headerRowBorderDxfId="2338" tableBorderDxfId="2339" totalsRowBorderDxfId="2337">
  <autoFilter ref="B1:R21" xr:uid="{C79D687B-AEB2-42F8-B262-AEDE9265CB48}"/>
  <tableColumns count="17">
    <tableColumn id="3" xr3:uid="{E3C116E6-D44C-B84C-A673-F8BD03100F2D}" name="GROUP" dataDxfId="2336"/>
    <tableColumn id="4" xr3:uid="{AA49A914-834B-AA49-9007-B2E8B826D2B1}" name="ATHLETE 1" dataDxfId="2335"/>
    <tableColumn id="5" xr3:uid="{BB467C3C-153F-6349-8330-95CC9B985B0C}" name="ATHLETE 2" dataDxfId="2334"/>
    <tableColumn id="8" xr3:uid="{B0461568-77BD-E649-BCB7-C6A291811A29}" name="SCORE 1" dataDxfId="2333"/>
    <tableColumn id="9" xr3:uid="{57BCBA9F-8B4D-2C46-94A1-5DBF5D8E72C3}" name="SCORE 2" dataDxfId="2332"/>
    <tableColumn id="6" xr3:uid="{7B407455-E73C-F14A-9F64-2215EE2561FC}" name="ATHLETE 3" dataDxfId="2331"/>
    <tableColumn id="17" xr3:uid="{BED7B251-C842-A643-B7AC-17421C306FF0}" name="X" dataDxfId="2330"/>
    <tableColumn id="16" xr3:uid="{204A3ABB-520F-604D-B2FB-62845280F5BC}" name="Y" dataDxfId="2329"/>
    <tableColumn id="2" xr3:uid="{7AC54C57-3213-9C4A-B75D-1E583A333F46}" name="Z" dataDxfId="2328"/>
    <tableColumn id="1" xr3:uid="{9EB77BB8-460B-6746-A3E7-07355FF8E59D}" name="A" dataDxfId="2327"/>
    <tableColumn id="7" xr3:uid="{E54B5FFC-5EB1-544D-903B-80C8AFAAB7E5}" name="ATHLETE 4" dataDxfId="2326"/>
    <tableColumn id="10" xr3:uid="{4937959E-BB2D-974C-B94C-B97A991E0A6D}" name="SALDO 12" dataDxfId="2325">
      <calculatedColumnFormula>IF(OR(Games_45056[[#This Row],[SCORE 1]]="",Games_45056[[#This Row],[SCORE 2]]=""),"",Games_45056[[#This Row],[SCORE 1]]-Games_45056[[#This Row],[SCORE 2]])</calculatedColumnFormula>
    </tableColumn>
    <tableColumn id="11" xr3:uid="{BB0F53EE-0F50-1940-9A84-9A91E0451DDC}" name="SALDO 34" dataDxfId="2324">
      <calculatedColumnFormula>IF(OR(Games_45056[[#This Row],[SCORE 1]]="",Games_45056[[#This Row],[SCORE 2]]=""),"",Games_45056[[#This Row],[SCORE 2]]-Games_45056[[#This Row],[SCORE 1]])</calculatedColumnFormula>
    </tableColumn>
    <tableColumn id="12" xr3:uid="{FABF597C-43B4-AE42-8639-B27E549B03BD}" name="PM 12" dataDxfId="2323">
      <calculatedColumnFormula>IF(Games_45056[[#This Row],[SCORE 1]]="","",Games_45056[[#This Row],[SCORE 1]])</calculatedColumnFormula>
    </tableColumn>
    <tableColumn id="13" xr3:uid="{E1AB8537-2A0C-5146-A0FB-F1F47B224851}" name="PM 34" dataDxfId="2322">
      <calculatedColumnFormula>IF(Games_45056[[#This Row],[SCORE 2]]="","",Games_45056[[#This Row],[SCORE 2]])</calculatedColumnFormula>
    </tableColumn>
    <tableColumn id="14" xr3:uid="{D7760633-3B66-4F4A-A0D4-ACA362C8D7E3}" name="RESULT 12" dataDxfId="2321">
      <calculatedColumnFormula>IF(OR(Games_45056[[#This Row],[SCORE 1]]="",Games_45056[[#This Row],[SCORE 2]]=""),"",IF(Games_45056[[#This Row],[SALDO 12]]&gt;0, "WIN","LOSE"))</calculatedColumnFormula>
    </tableColumn>
    <tableColumn id="15" xr3:uid="{B0998143-216F-6043-A696-480CC484B24B}" name="RESULT 34" dataDxfId="2320">
      <calculatedColumnFormula>IF(OR(Games_45056[[#This Row],[SCORE 1]]="",Games_45056[[#This Row],[SCORE 2]]=""),"",IF(Games_45056[[#This Row],[SALDO 34]]&gt;0, "WIN","LOSE"))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686C5EB-C7E5-EA4D-A31B-1CE68DD75AD8}" name="Analysis_95157" displayName="Analysis_95157" ref="A24:H29" totalsRowShown="0" headerRowDxfId="2319" dataDxfId="2318" headerRowBorderDxfId="2316" tableBorderDxfId="2317" totalsRowBorderDxfId="2315">
  <autoFilter ref="A24:H2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5:G29">
    <sortCondition descending="1" ref="D25:D29"/>
    <sortCondition descending="1" ref="E25:E29"/>
    <sortCondition descending="1" ref="F25:F29"/>
  </sortState>
  <tableColumns count="8">
    <tableColumn id="7" xr3:uid="{CA8D09E8-97D0-DA47-A707-510D3087C066}" name="Group" dataDxfId="2314"/>
    <tableColumn id="1" xr3:uid="{487B6B19-5C1E-534F-AC62-C53F139CE017}" name="Athletes" dataDxfId="2313"/>
    <tableColumn id="8" xr3:uid="{A3459138-B608-9547-8CF9-867EE8766DDB}" name="WIN" dataDxfId="2312">
      <calculatedColumnFormula>SUM(COUNTIFS(Games_45056[ATHLETE 1],Analysis_95157[[#This Row],[Athletes]],Games_45056[RESULT 12],Analysis_95157[[#Headers],[WIN]]),COUNTIFS(Games_45056[ATHLETE 2],Analysis_95157[[#This Row],[Athletes]],Games_45056[RESULT 12],Analysis_95157[[#Headers],[WIN]]),COUNTIFS(Games_45056[ATHLETE 3],Analysis_95157[[#This Row],[Athletes]],Games_45056[RESULT 34],Analysis_95157[[#Headers],[WIN]]),COUNTIFS(Games_45056[ATHLETE 4],Analysis_95157[[#This Row],[Athletes]],Games_45056[RESULT 34],Analysis_95157[[#Headers],[WIN]]))</calculatedColumnFormula>
    </tableColumn>
    <tableColumn id="5" xr3:uid="{9662D189-5F41-D245-8EB5-5D22CB5C2FBF}" name="LOSE" dataDxfId="2311">
      <calculatedColumnFormula>SUM(COUNTIFS(Games_45056[ATHLETE 1],Analysis_95157[[#This Row],[Athletes]],Games_45056[RESULT 12],Analysis_95157[[#Headers],[LOSE]]),COUNTIFS(Games_45056[ATHLETE 2],Analysis_95157[[#This Row],[Athletes]],Games_45056[RESULT 12],Analysis_95157[[#Headers],[LOSE]]),COUNTIFS(Games_45056[ATHLETE 3],Analysis_95157[[#This Row],[Athletes]],Games_45056[RESULT 34],Analysis_95157[[#Headers],[LOSE]]),COUNTIFS(Games_45056[ATHLETE 4],Analysis_95157[[#This Row],[Athletes]],Games_45056[RESULT 34],Analysis_95157[[#Headers],[LOSE]]))</calculatedColumnFormula>
    </tableColumn>
    <tableColumn id="3" xr3:uid="{BC93DD22-A8CC-F34C-90A5-2F1690EE65EA}" name="Saldo" dataDxfId="2310">
      <calculatedColumnFormula>SUM(SUMIF(Games_45056[ATHLETE 1],Analysis_95157[[#This Row],[Athletes]],Games_45056[SALDO 12]),SUMIF(Games_45056[ATHLETE 2],Analysis_95157[[#This Row],[Athletes]],Games_45056[SALDO 12]),SUMIF(Games_45056[ATHLETE 3],Analysis_95157[[#This Row],[Athletes]],Games_45056[SALDO 34]),SUMIF(Games_45056[ATHLETE 4],Analysis_95157[[#This Row],[Athletes]],Games_45056[SALDO 34]))</calculatedColumnFormula>
    </tableColumn>
    <tableColumn id="4" xr3:uid="{E153A8C5-5762-B34A-893F-C9A3A9F7C850}" name="PM" dataDxfId="2309">
      <calculatedColumnFormula>SUM(SUMIF(Games_45056[ATHLETE 1],Analysis_95157[[#This Row],[Athletes]],Games_45056[PM 12]),SUMIF(Games_45056[ATHLETE 2],Analysis_95157[[#This Row],[Athletes]],Games_45056[PM 12]),SUMIF(Games_45056[ATHLETE 3],Analysis_95157[[#This Row],[Athletes]],Games_45056[PM 34]),SUMIF(Games_45056[ATHLETE 4],Analysis_95157[[#This Row],[Athletes]],Games_45056[PM 34]))</calculatedColumnFormula>
    </tableColumn>
    <tableColumn id="6" xr3:uid="{2F913961-294A-1147-82F2-010F8A06824B}" name="Rank" dataDxfId="2308">
      <calculatedColumnFormula>IF(COUNTBLANK(Games_45056[[SCORE 1]:[SCORE 2]])=0,IF(RANK(H25,$H$25:$H$29)=1,RANK(H25,$H$25:$H$29)&amp;"st",IF(RANK(H25,$H$25:$H$29)=2,RANK(H25,$H$25:$H$29)&amp;"nd",IF(RANK(H25,$H$25:$H$29)=3,RANK(H25,$H$25:$H$29)&amp;"rd",RANK(H25,$H$25:$H$29)&amp;"th"))),"")</calculatedColumnFormula>
    </tableColumn>
    <tableColumn id="2" xr3:uid="{745C1AFB-B812-EE4E-B2D0-78D104EA89DD}" name="Rank support" dataDxfId="2307">
      <calculatedColumnFormula>IF(COUNTBLANK(Games_45056[[SCORE 1]:[SCORE 2]])=0,Analysis_95157[[#This Row],[WIN]]*1000000+Analysis_95157[[#This Row],[Saldo]]*1000+Analysis_95157[[#This Row],[PM]],"")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E8FBDE18-0746-0A4F-A01F-B214153B17C4}" name="Analysis_105258" displayName="Analysis_105258" ref="A31:H36" totalsRowShown="0" headerRowDxfId="2306" dataDxfId="2305" headerRowBorderDxfId="2303" tableBorderDxfId="2304" totalsRowBorderDxfId="2302">
  <autoFilter ref="A31:H3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32:G36">
    <sortCondition descending="1" ref="D32:D36"/>
    <sortCondition descending="1" ref="E32:E36"/>
    <sortCondition descending="1" ref="F32:F36"/>
  </sortState>
  <tableColumns count="8">
    <tableColumn id="1" xr3:uid="{54C5ED2D-C62B-C844-82BD-F79C53EE2DF4}" name="Group" dataDxfId="2301"/>
    <tableColumn id="2" xr3:uid="{848BF640-909A-094A-96C0-321EBF30887E}" name="Athletes" dataDxfId="2300"/>
    <tableColumn id="7" xr3:uid="{A4A2B694-A9CB-DC43-95DB-CD6419E143FF}" name="WIN" dataDxfId="2299">
      <calculatedColumnFormula>SUM(COUNTIFS(Games_45056[ATHLETE 1],Analysis_105258[[#This Row],[Athletes]],Games_45056[RESULT 12],Analysis_95157[[#Headers],[WIN]]),COUNTIFS(Games_45056[ATHLETE 2],Analysis_105258[[#This Row],[Athletes]],Games_45056[RESULT 12],Analysis_95157[[#Headers],[WIN]]),COUNTIFS(Games_45056[ATHLETE 3],Analysis_105258[[#This Row],[Athletes]],Games_45056[RESULT 34],Analysis_95157[[#Headers],[WIN]]),COUNTIFS(Games_45056[ATHLETE 4],Analysis_105258[[#This Row],[Athletes]],Games_45056[RESULT 34],Analysis_95157[[#Headers],[WIN]]))</calculatedColumnFormula>
    </tableColumn>
    <tableColumn id="5" xr3:uid="{7602C2FF-6A9A-2A4F-9870-D594CD974C38}" name="LOSE" dataDxfId="2298">
      <calculatedColumnFormula>SUM(COUNTIFS(Games_45056[ATHLETE 1],Analysis_105258[[#This Row],[Athletes]],Games_45056[RESULT 12],Analysis_95157[[#Headers],[LOSE]]),COUNTIFS(Games_45056[ATHLETE 2],Analysis_105258[[#This Row],[Athletes]],Games_45056[RESULT 12],Analysis_95157[[#Headers],[LOSE]]),COUNTIFS(Games_45056[ATHLETE 3],Analysis_105258[[#This Row],[Athletes]],Games_45056[RESULT 34],Analysis_95157[[#Headers],[LOSE]]),COUNTIFS(Games_45056[ATHLETE 4],Analysis_105258[[#This Row],[Athletes]],Games_45056[RESULT 34],Analysis_95157[[#Headers],[LOSE]]))</calculatedColumnFormula>
    </tableColumn>
    <tableColumn id="3" xr3:uid="{AEF1B3FB-E96D-614F-9960-6377DED6D393}" name="Saldo" dataDxfId="2297">
      <calculatedColumnFormula>SUM(SUMIF(Games_45056[ATHLETE 1],Analysis_105258[[#This Row],[Athletes]],Games_45056[SALDO 12]),SUMIF(Games_45056[ATHLETE 2],Analysis_105258[[#This Row],[Athletes]],Games_45056[SALDO 12]),SUMIF(Games_45056[ATHLETE 3],Analysis_105258[[#This Row],[Athletes]],Games_45056[SALDO 34]),SUMIF(Games_45056[ATHLETE 4],Analysis_105258[[#This Row],[Athletes]],Games_45056[SALDO 34]))</calculatedColumnFormula>
    </tableColumn>
    <tableColumn id="4" xr3:uid="{21787B7F-95C2-B642-8F64-14C5321BE2C2}" name="PM" dataDxfId="2296">
      <calculatedColumnFormula>SUM(SUMIF(Games_45056[ATHLETE 1],Analysis_105258[[#This Row],[Athletes]],Games_45056[PM 12]),SUMIF(Games_45056[ATHLETE 2],Analysis_105258[[#This Row],[Athletes]],Games_45056[PM 12]),SUMIF(Games_45056[ATHLETE 3],Analysis_105258[[#This Row],[Athletes]],Games_45056[PM 34]),SUMIF(Games_45056[ATHLETE 4],Analysis_105258[[#This Row],[Athletes]],Games_45056[PM 34]))</calculatedColumnFormula>
    </tableColumn>
    <tableColumn id="6" xr3:uid="{4D3F2184-7192-3344-87B4-817138D9CD57}" name="Rank" dataDxfId="2295">
      <calculatedColumnFormula>IF(COUNTBLANK(Games_45056[[SCORE 1]:[SCORE 2]])=0,IF(RANK(H32,$H$32:$H$36)=1,RANK(H32,$H$32:$H$36)&amp;"st",IF(RANK(H32,$H$32:$H$36)=2,RANK(H32,$H$32:$H$36)&amp;"nd",IF(RANK(H32,$H$32:$H$36)=3,RANK(H32,$H$32:$H$36)&amp;"rd",RANK(H32,$H$32:$H$36)&amp;"th"))),"")</calculatedColumnFormula>
    </tableColumn>
    <tableColumn id="8" xr3:uid="{EB8C49D6-86E8-4943-A3C2-D7779C713B45}" name="Rank support" dataDxfId="2294">
      <calculatedColumnFormula>IF(COUNTBLANK(Games_45056[[SCORE 1]:[SCORE 2]])=0,Analysis_105258[[#This Row],[WIN]]*1000000+Analysis_105258[[#This Row],[Saldo]]*1000+Analysis_105258[[#This Row],[PM]],"")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EB5A9421-6974-0843-A3A8-22E93832AEBC}" name="Table1520283250607293215359" displayName="Table1520283250607293215359" ref="T2:U22" totalsRowShown="0" headerRowDxfId="2293" dataDxfId="2292" headerRowBorderDxfId="2290" tableBorderDxfId="2291">
  <autoFilter ref="T2:U22" xr:uid="{908C589F-0CD0-4EFE-993D-5B2ECC06D04A}">
    <filterColumn colId="0" hiddenButton="1"/>
    <filterColumn colId="1" hiddenButton="1"/>
  </autoFilter>
  <tableColumns count="2">
    <tableColumn id="1" xr3:uid="{3158DE08-3A87-2A44-91FC-F9A599A0AF34}" name="Athlete" dataDxfId="2289"/>
    <tableColumn id="2" xr3:uid="{9C5AF69D-FB04-B34A-90C3-C762616EE17A}" name="Rank" dataDxfId="2288"/>
  </tableColumns>
  <tableStyleInfo name="TableStyleMedium2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67E1C3F-9250-214F-82F1-2B069583791B}" name="Analysis_115460" displayName="Analysis_115460" ref="A38:H43" totalsRowShown="0" headerRowDxfId="2287" dataDxfId="2286" headerRowBorderDxfId="2284" tableBorderDxfId="2285" totalsRowBorderDxfId="2283">
  <autoFilter ref="A38:H43" xr:uid="{C1D8D95A-3D53-41E8-AABC-9D152E7B02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39:G43">
    <sortCondition descending="1" ref="D32:D36"/>
    <sortCondition descending="1" ref="E32:E36"/>
    <sortCondition descending="1" ref="F32:F36"/>
  </sortState>
  <tableColumns count="8">
    <tableColumn id="1" xr3:uid="{5503EA34-048A-9144-918D-E9BFD3ABDD81}" name="Group" dataDxfId="2282"/>
    <tableColumn id="2" xr3:uid="{E02F2929-FB02-894B-8365-C5432F4992DC}" name="Athletes" dataDxfId="2281"/>
    <tableColumn id="7" xr3:uid="{9A29E184-131E-0941-B02A-83E1C8575424}" name="WIN" dataDxfId="2280">
      <calculatedColumnFormula>SUM(COUNTIFS(Games_45056[ATHLETE 1],Analysis_115460[[#This Row],[Athletes]],Games_45056[RESULT 12],Analysis_95157[[#Headers],[WIN]]),COUNTIFS(Games_45056[ATHLETE 2],Analysis_115460[[#This Row],[Athletes]],Games_45056[RESULT 12],Analysis_95157[[#Headers],[WIN]]),COUNTIFS(Games_45056[ATHLETE 3],Analysis_115460[[#This Row],[Athletes]],Games_45056[RESULT 34],Analysis_95157[[#Headers],[WIN]]),COUNTIFS(Games_45056[ATHLETE 4],Analysis_115460[[#This Row],[Athletes]],Games_45056[RESULT 34],Analysis_95157[[#Headers],[WIN]]))</calculatedColumnFormula>
    </tableColumn>
    <tableColumn id="5" xr3:uid="{35254A30-4206-4440-AE5F-519522AD7C18}" name="LOSE" dataDxfId="2279">
      <calculatedColumnFormula>SUM(COUNTIFS(Games_45056[ATHLETE 1],Analysis_115460[[#This Row],[Athletes]],Games_45056[RESULT 12],Analysis_95157[[#Headers],[LOSE]]),COUNTIFS(Games_45056[ATHLETE 2],Analysis_115460[[#This Row],[Athletes]],Games_45056[RESULT 12],Analysis_95157[[#Headers],[LOSE]]),COUNTIFS(Games_45056[ATHLETE 3],Analysis_115460[[#This Row],[Athletes]],Games_45056[RESULT 34],Analysis_95157[[#Headers],[LOSE]]),COUNTIFS(Games_45056[ATHLETE 4],Analysis_115460[[#This Row],[Athletes]],Games_45056[RESULT 34],Analysis_95157[[#Headers],[LOSE]]))</calculatedColumnFormula>
    </tableColumn>
    <tableColumn id="3" xr3:uid="{7CF3C4EA-7F6F-7C4D-AC4D-67317DB48D52}" name="Saldo" dataDxfId="2278">
      <calculatedColumnFormula>SUM(SUMIF(Games_45056[ATHLETE 1],Analysis_115460[[#This Row],[Athletes]],Games_45056[SALDO 12]),SUMIF(Games_45056[ATHLETE 2],Analysis_115460[[#This Row],[Athletes]],Games_45056[SALDO 12]),SUMIF(Games_45056[ATHLETE 3],Analysis_115460[[#This Row],[Athletes]],Games_45056[SALDO 34]),SUMIF(Games_45056[ATHLETE 4],Analysis_115460[[#This Row],[Athletes]],Games_45056[SALDO 34]))</calculatedColumnFormula>
    </tableColumn>
    <tableColumn id="4" xr3:uid="{6050EFC1-8723-D840-9925-1E1584F866E5}" name="PM" dataDxfId="2277">
      <calculatedColumnFormula>SUM(SUMIF(Games_45056[ATHLETE 1],Analysis_115460[[#This Row],[Athletes]],Games_45056[PM 12]),SUMIF(Games_45056[ATHLETE 2],Analysis_115460[[#This Row],[Athletes]],Games_45056[PM 12]),SUMIF(Games_45056[ATHLETE 3],Analysis_115460[[#This Row],[Athletes]],Games_45056[PM 34]),SUMIF(Games_45056[ATHLETE 4],Analysis_115460[[#This Row],[Athletes]],Games_45056[PM 34]))</calculatedColumnFormula>
    </tableColumn>
    <tableColumn id="6" xr3:uid="{4F3BAE9B-6164-3B4B-A6DD-41F209DA8D36}" name="Rank" dataDxfId="2276">
      <calculatedColumnFormula>IF(COUNTBLANK(Games_45056[[SCORE 1]:[SCORE 2]])=0,IF(RANK(H39,$H$39:$H$43)=1,RANK(H39,$H$39:$H$43)&amp;"st",IF(RANK(H39,$H$39:$H$43)=2,RANK(H39,$H$39:$H$43)&amp;"nd",IF(RANK(H39,$H$39:$H$43)=3,RANK(H39,$H$39:$H$43)&amp;"rd",RANK(H39,$H$39:$H$43)&amp;"th"))),"")</calculatedColumnFormula>
    </tableColumn>
    <tableColumn id="8" xr3:uid="{B04B0371-015E-2F40-B9AD-BB5C0D4BC16B}" name="Rank support" dataDxfId="2275">
      <calculatedColumnFormula>IF(COUNTBLANK(Games_45056[[SCORE 1]:[SCORE 2]])=0,Analysis_115460[[#This Row],[WIN]]*1000000+Analysis_115460[[#This Row],[Saldo]]*1000+Analysis_115460[[#This Row],[PM]],"")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5032030-BA4C-224D-8636-2A21A878F006}" name="Analysis_125561" displayName="Analysis_125561" ref="A45:H50" totalsRowShown="0" headerRowDxfId="2274" dataDxfId="2273" headerRowBorderDxfId="2271" tableBorderDxfId="2272" totalsRowBorderDxfId="2270">
  <autoFilter ref="A45:H50" xr:uid="{9F4F8760-BA71-124B-B0E6-15798FF188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46:G50">
    <sortCondition descending="1" ref="D32:D36"/>
    <sortCondition descending="1" ref="E32:E36"/>
    <sortCondition descending="1" ref="F32:F36"/>
  </sortState>
  <tableColumns count="8">
    <tableColumn id="1" xr3:uid="{7D902F33-EF9F-3744-84E2-76211F63F2AF}" name="Group" dataDxfId="2269"/>
    <tableColumn id="2" xr3:uid="{D90B0DCF-C128-124A-A544-54EDB4F43159}" name="Athletes" dataDxfId="2268"/>
    <tableColumn id="7" xr3:uid="{8BE1CBC9-9CC5-6747-AC5F-911A6B16C65F}" name="WIN" dataDxfId="2267">
      <calculatedColumnFormula>SUM(COUNTIFS(Games_45056[ATHLETE 1],Analysis_125561[[#This Row],[Athletes]],Games_45056[RESULT 12],Analysis_95157[[#Headers],[WIN]]),COUNTIFS(Games_45056[ATHLETE 2],Analysis_125561[[#This Row],[Athletes]],Games_45056[RESULT 12],Analysis_95157[[#Headers],[WIN]]),COUNTIFS(Games_45056[ATHLETE 3],Analysis_125561[[#This Row],[Athletes]],Games_45056[RESULT 34],Analysis_95157[[#Headers],[WIN]]),COUNTIFS(Games_45056[ATHLETE 4],Analysis_125561[[#This Row],[Athletes]],Games_45056[RESULT 34],Analysis_95157[[#Headers],[WIN]]))</calculatedColumnFormula>
    </tableColumn>
    <tableColumn id="5" xr3:uid="{3C2E3185-847C-5844-A55A-15F9A51ECB6E}" name="LOSE" dataDxfId="2266">
      <calculatedColumnFormula>SUM(COUNTIFS(Games_45056[ATHLETE 1],Analysis_125561[[#This Row],[Athletes]],Games_45056[RESULT 12],Analysis_95157[[#Headers],[LOSE]]),COUNTIFS(Games_45056[ATHLETE 2],Analysis_125561[[#This Row],[Athletes]],Games_45056[RESULT 12],Analysis_95157[[#Headers],[LOSE]]),COUNTIFS(Games_45056[ATHLETE 3],Analysis_125561[[#This Row],[Athletes]],Games_45056[RESULT 34],Analysis_95157[[#Headers],[LOSE]]),COUNTIFS(Games_45056[ATHLETE 4],Analysis_125561[[#This Row],[Athletes]],Games_45056[RESULT 34],Analysis_95157[[#Headers],[LOSE]]))</calculatedColumnFormula>
    </tableColumn>
    <tableColumn id="3" xr3:uid="{18A15D08-6DB4-6344-8D57-8796FF3AFCEF}" name="Saldo" dataDxfId="2265">
      <calculatedColumnFormula>SUM(SUMIF(Games_45056[ATHLETE 1],Analysis_125561[[#This Row],[Athletes]],Games_45056[SALDO 12]),SUMIF(Games_45056[ATHLETE 2],Analysis_125561[[#This Row],[Athletes]],Games_45056[SALDO 12]),SUMIF(Games_45056[ATHLETE 3],Analysis_125561[[#This Row],[Athletes]],Games_45056[SALDO 34]),SUMIF(Games_45056[ATHLETE 4],Analysis_125561[[#This Row],[Athletes]],Games_45056[SALDO 34]))</calculatedColumnFormula>
    </tableColumn>
    <tableColumn id="4" xr3:uid="{53044AB3-2919-E74C-9F44-E1B951F79DD8}" name="PM" dataDxfId="2264">
      <calculatedColumnFormula>SUM(SUMIF(Games_45056[ATHLETE 1],Analysis_125561[[#This Row],[Athletes]],Games_45056[PM 12]),SUMIF(Games_45056[ATHLETE 2],Analysis_125561[[#This Row],[Athletes]],Games_45056[PM 12]),SUMIF(Games_45056[ATHLETE 3],Analysis_125561[[#This Row],[Athletes]],Games_45056[PM 34]),SUMIF(Games_45056[ATHLETE 4],Analysis_125561[[#This Row],[Athletes]],Games_45056[PM 34]))</calculatedColumnFormula>
    </tableColumn>
    <tableColumn id="6" xr3:uid="{C181AAD6-9ADB-3A49-AD9D-0FB31FA2720F}" name="Rank" dataDxfId="2263">
      <calculatedColumnFormula>IF(COUNTBLANK(Games_45056[[SCORE 1]:[SCORE 2]])=0,IF(RANK(H46,$H$46:$H$50)=1,RANK(H46,$H$46:$H$50)&amp;"st",IF(RANK(H46,$H$46:$H$50)=2,RANK(H46,$H$46:$H$50)&amp;"nd",IF(RANK(H46,$H$46:$H$50)=3,RANK(H46,$H$46:$H$50)&amp;"rd",RANK(H46,$H$46:$H$50)&amp;"th"))),"")</calculatedColumnFormula>
    </tableColumn>
    <tableColumn id="8" xr3:uid="{CD826B8A-A82A-794D-8548-31B93BD728A3}" name="Rank support" dataDxfId="2262">
      <calculatedColumnFormula>IF(COUNTBLANK(Games_45056[[SCORE 1]:[SCORE 2]])=0,Analysis_125561[[#This Row],[WIN]]*1000000+Analysis_125561[[#This Row],[Saldo]]*1000+Analysis_125561[[#This Row],[PM]],"")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174E9E82-C6FC-5E4B-8562-F763BEBBC000}" name="Table41013172512475452986841163" displayName="Table41013172512475452986841163" ref="B1:R10" totalsRowShown="0" headerRowDxfId="2261" dataDxfId="2260" headerRowBorderDxfId="2258" tableBorderDxfId="2259" totalsRowBorderDxfId="2257">
  <autoFilter ref="B1:R10" xr:uid="{C79D687B-AEB2-42F8-B262-AEDE9265CB48}"/>
  <tableColumns count="17">
    <tableColumn id="3" xr3:uid="{2F3482C7-6EB7-4245-A228-556C968E5537}" name="GROUP" dataDxfId="2256"/>
    <tableColumn id="4" xr3:uid="{43A4F1DC-C01F-684B-BDDA-543D14DE260A}" name="ATHLETE 1" dataDxfId="2255"/>
    <tableColumn id="5" xr3:uid="{F9235CFC-FA02-764B-AA31-150C3E44D706}" name="ATHLETE 2" dataDxfId="2254"/>
    <tableColumn id="8" xr3:uid="{07645A6E-2993-6B46-A65B-58A1B204C736}" name="SCORE 1" dataDxfId="2253"/>
    <tableColumn id="9" xr3:uid="{80D26617-CC36-3948-9374-E898CFBA3682}" name="SCORE 2" dataDxfId="2252"/>
    <tableColumn id="6" xr3:uid="{F74FEAE9-0C45-7D42-B77F-5BDC83365217}" name="ATHLETE 3" dataDxfId="2251"/>
    <tableColumn id="17" xr3:uid="{1343B651-C1CE-F843-90CA-7CD1138E5BA9}" name="X" dataDxfId="2250"/>
    <tableColumn id="16" xr3:uid="{1144E209-D03C-3641-A65C-636857E932AA}" name="Y" dataDxfId="2249"/>
    <tableColumn id="2" xr3:uid="{1FFF2F96-6538-F645-A908-DC436DEFDB53}" name="Z" dataDxfId="2248"/>
    <tableColumn id="1" xr3:uid="{CC2C9D32-9CB5-B14E-ABB4-9760371DCDF7}" name="A" dataDxfId="2247"/>
    <tableColumn id="7" xr3:uid="{79F8896D-E6AB-BC47-B8AF-AF8102CE0261}" name="ATHLETE 4" dataDxfId="2246"/>
    <tableColumn id="10" xr3:uid="{0825D2D6-BB18-5C43-B000-C8EC4514CFB1}" name="SALDO 12" dataDxfId="2245">
      <calculatedColumnFormula>IF(OR(Table41013172512475452986841163[[#This Row],[SCORE 1]]="",Table41013172512475452986841163[[#This Row],[SCORE 2]]=""),"",Table41013172512475452986841163[[#This Row],[SCORE 1]]-Table41013172512475452986841163[[#This Row],[SCORE 2]])</calculatedColumnFormula>
    </tableColumn>
    <tableColumn id="11" xr3:uid="{5324A08A-131C-E14C-A7AC-A82BB71194C8}" name="SALDO 34" dataDxfId="2244">
      <calculatedColumnFormula>IF(OR(Table41013172512475452986841163[[#This Row],[SCORE 1]]="",Table41013172512475452986841163[[#This Row],[SCORE 2]]=""),"",Table41013172512475452986841163[[#This Row],[SCORE 2]]-Table41013172512475452986841163[[#This Row],[SCORE 1]])</calculatedColumnFormula>
    </tableColumn>
    <tableColumn id="12" xr3:uid="{9E941D9E-D565-DA45-9221-331BB23170DE}" name="PM 12" dataDxfId="2243">
      <calculatedColumnFormula>IF(Table41013172512475452986841163[[#This Row],[SCORE 1]]="","",Table41013172512475452986841163[[#This Row],[SCORE 1]])</calculatedColumnFormula>
    </tableColumn>
    <tableColumn id="13" xr3:uid="{A7AD8A61-449C-AA4D-B94A-E4701475FEC3}" name="PM 34" dataDxfId="2242">
      <calculatedColumnFormula>IF(Table41013172512475452986841163[[#This Row],[SCORE 2]]="","",Table41013172512475452986841163[[#This Row],[SCORE 2]])</calculatedColumnFormula>
    </tableColumn>
    <tableColumn id="14" xr3:uid="{D92004DE-18EF-5A4F-98F4-A13B7D743771}" name="RESULT 12" dataDxfId="2241">
      <calculatedColumnFormula>IF(OR(Table41013172512475452986841163[[#This Row],[SCORE 1]]="",Table41013172512475452986841163[[#This Row],[SCORE 2]]=""),"",IF(Table41013172512475452986841163[[#This Row],[SALDO 12]]&gt;0, "WIN","LOSE"))</calculatedColumnFormula>
    </tableColumn>
    <tableColumn id="15" xr3:uid="{FD0D38C5-F296-D647-9FCD-C8833458DD65}" name="RESULT 34" dataDxfId="2240">
      <calculatedColumnFormula>IF(OR(Table41013172512475452986841163[[#This Row],[SCORE 1]]="",Table41013172512475452986841163[[#This Row],[SCORE 2]]=""),"",IF(Table41013172512475452986841163[[#This Row],[SALDO 34]]&gt;0, "WIN","LOSE"))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6D2C2A53-0C71-AD49-AC7B-496187973D87}" name="Table361114182630485553996943164" displayName="Table361114182630485553996943164" ref="A13:H17" totalsRowShown="0" headerRowDxfId="2239" dataDxfId="2238" headerRowBorderDxfId="2236" tableBorderDxfId="2237" totalsRowBorderDxfId="2235">
  <autoFilter ref="A13:H17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4:G17">
    <sortCondition descending="1" ref="D14:D17"/>
    <sortCondition descending="1" ref="E14:E17"/>
    <sortCondition descending="1" ref="F14:F17"/>
  </sortState>
  <tableColumns count="8">
    <tableColumn id="7" xr3:uid="{1FB70655-A923-8F48-B0A2-BE335BB585C5}" name="Group" dataDxfId="2234"/>
    <tableColumn id="1" xr3:uid="{DF2AB902-5221-B045-AA2C-E2AEC8065672}" name="Athletes" dataDxfId="2233"/>
    <tableColumn id="8" xr3:uid="{F99F8F94-B079-9449-A4FC-0854FC2083DD}" name="WIN" dataDxfId="2232">
      <calculatedColumnFormula>SUM(COUNTIFS(Table41013172512475452986841163[ATHLETE 1],Table361114182630485553996943164[[#This Row],[Athletes]],Table41013172512475452986841163[RESULT 12],Table361114182630485553996943164[[#Headers],[WIN]]),COUNTIFS(Table41013172512475452986841163[ATHLETE 2],Table361114182630485553996943164[[#This Row],[Athletes]],Table41013172512475452986841163[RESULT 12],Table361114182630485553996943164[[#Headers],[WIN]]),COUNTIFS(Table41013172512475452986841163[ATHLETE 3],Table361114182630485553996943164[[#This Row],[Athletes]],Table41013172512475452986841163[RESULT 34],Table361114182630485553996943164[[#Headers],[WIN]]),COUNTIFS(Table41013172512475452986841163[ATHLETE 4],Table361114182630485553996943164[[#This Row],[Athletes]],Table41013172512475452986841163[RESULT 34],Table361114182630485553996943164[[#Headers],[WIN]]))</calculatedColumnFormula>
    </tableColumn>
    <tableColumn id="5" xr3:uid="{4E5350CF-612F-5440-8B2E-EAE40BDD36F0}" name="LOSE" dataDxfId="2231">
      <calculatedColumnFormula>SUM(COUNTIFS(Table41013172512475452986841163[ATHLETE 1],Table361114182630485553996943164[[#This Row],[Athletes]],Table41013172512475452986841163[RESULT 12],Table361114182630485553996943164[[#Headers],[LOSE]]),COUNTIFS(Table41013172512475452986841163[ATHLETE 2],Table361114182630485553996943164[[#This Row],[Athletes]],Table41013172512475452986841163[RESULT 12],Table361114182630485553996943164[[#Headers],[LOSE]]),COUNTIFS(Table41013172512475452986841163[ATHLETE 3],Table361114182630485553996943164[[#This Row],[Athletes]],Table41013172512475452986841163[RESULT 34],Table361114182630485553996943164[[#Headers],[LOSE]]),COUNTIFS(Table41013172512475452986841163[ATHLETE 4],Table361114182630485553996943164[[#This Row],[Athletes]],Table41013172512475452986841163[RESULT 34],Table361114182630485553996943164[[#Headers],[LOSE]]))</calculatedColumnFormula>
    </tableColumn>
    <tableColumn id="3" xr3:uid="{CE47A50A-DD5C-644E-95CB-E9EB78F26A6E}" name="Saldo" dataDxfId="2230">
      <calculatedColumnFormula>SUM(SUMIF(Table41013172512475452986841163[ATHLETE 1],Table361114182630485553996943164[[#This Row],[Athletes]],Table41013172512475452986841163[SALDO 12]),SUMIF(Table41013172512475452986841163[ATHLETE 2],Table361114182630485553996943164[[#This Row],[Athletes]],Table41013172512475452986841163[SALDO 12]),SUMIF(Table41013172512475452986841163[ATHLETE 3],Table361114182630485553996943164[[#This Row],[Athletes]],Table41013172512475452986841163[SALDO 34]),SUMIF(Table41013172512475452986841163[ATHLETE 4],Table361114182630485553996943164[[#This Row],[Athletes]],Table41013172512475452986841163[SALDO 34]))</calculatedColumnFormula>
    </tableColumn>
    <tableColumn id="4" xr3:uid="{2ED5FAAD-8066-254C-81DF-57D1FF85F79B}" name="PM" dataDxfId="2229">
      <calculatedColumnFormula>SUM(SUMIF(Table41013172512475452986841163[ATHLETE 1],Table361114182630485553996943164[[#This Row],[Athletes]],Table41013172512475452986841163[PM 12]),SUMIF(Table41013172512475452986841163[ATHLETE 2],Table361114182630485553996943164[[#This Row],[Athletes]],Table41013172512475452986841163[PM 12]),SUMIF(Table41013172512475452986841163[ATHLETE 3],Table361114182630485553996943164[[#This Row],[Athletes]],Table41013172512475452986841163[PM 34]),SUMIF(Table41013172512475452986841163[ATHLETE 4],Table361114182630485553996943164[[#This Row],[Athletes]],Table41013172512475452986841163[PM 34]))</calculatedColumnFormula>
    </tableColumn>
    <tableColumn id="6" xr3:uid="{B2E9B092-7898-2F4F-99DC-23CE1E5E8BDB}" name="Rank" dataDxfId="2228">
      <calculatedColumnFormula>IF(COUNTBLANK(Table41013172512475452986841163[[SCORE 1]:[SCORE 2]])=0,IF(RANK(H14,$H$14:$H$17)=1,RANK(H14,$H$14:$H$17)&amp;"st",IF(RANK(H14,$H$14:$H$17)=2,RANK(H14,$H$14:$H$17)&amp;"nd",RANK(H14,$H$14:$H$17)&amp;"th")),"")</calculatedColumnFormula>
    </tableColumn>
    <tableColumn id="2" xr3:uid="{55722E9F-6585-EF46-B107-8EEE28B5F26D}" name="Rank support" dataDxfId="2227">
      <calculatedColumnFormula>Table361114182630485553996943164[[#This Row],[WIN]]*1000000+Table361114182630485553996943164[[#This Row],[Saldo]]*1000+Table361114182630485553996943164[[#This Row],[PM]]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2511D302-6094-BF45-A9B0-BEFBDA4683CD}" name="Table612151927314956711007044165" displayName="Table612151927314956711007044165" ref="A19:H23" totalsRowShown="0" headerRowDxfId="2226" dataDxfId="2225" headerRowBorderDxfId="2223" tableBorderDxfId="2224" totalsRowBorderDxfId="2222">
  <autoFilter ref="A19:H23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0:G23">
    <sortCondition descending="1" ref="D20:D23"/>
    <sortCondition descending="1" ref="E20:E23"/>
    <sortCondition descending="1" ref="F20:F23"/>
  </sortState>
  <tableColumns count="8">
    <tableColumn id="1" xr3:uid="{D985505D-AAC1-AC4D-A4FE-E387D3B2A185}" name="Group" dataDxfId="2221"/>
    <tableColumn id="2" xr3:uid="{A13F78C6-1B82-7148-8FBD-0DB1489A17F6}" name="Athletes" dataDxfId="2220"/>
    <tableColumn id="7" xr3:uid="{14708318-D80C-6C45-BBD2-83FD01681D52}" name="WIN" dataDxfId="2219">
      <calculatedColumnFormula>SUM(COUNTIFS(Table41013172512475452986841163[ATHLETE 1],Table612151927314956711007044165[[#This Row],[Athletes]],Table41013172512475452986841163[RESULT 12],Table361114182630485553996943164[[#Headers],[WIN]]),COUNTIFS(Table41013172512475452986841163[ATHLETE 2],Table612151927314956711007044165[[#This Row],[Athletes]],Table41013172512475452986841163[RESULT 12],Table361114182630485553996943164[[#Headers],[WIN]]),COUNTIFS(Table41013172512475452986841163[ATHLETE 3],Table612151927314956711007044165[[#This Row],[Athletes]],Table41013172512475452986841163[RESULT 34],Table361114182630485553996943164[[#Headers],[WIN]]),COUNTIFS(Table41013172512475452986841163[ATHLETE 4],Table612151927314956711007044165[[#This Row],[Athletes]],Table41013172512475452986841163[RESULT 34],Table361114182630485553996943164[[#Headers],[WIN]]))</calculatedColumnFormula>
    </tableColumn>
    <tableColumn id="5" xr3:uid="{4288C414-9D94-FC42-8293-E7635A2EBCAE}" name="LOSE" dataDxfId="2218">
      <calculatedColumnFormula>SUM(COUNTIFS(Table41013172512475452986841163[ATHLETE 1],Table612151927314956711007044165[[#This Row],[Athletes]],Table41013172512475452986841163[RESULT 12],Table361114182630485553996943164[[#Headers],[LOSE]]),COUNTIFS(Table41013172512475452986841163[ATHLETE 2],Table612151927314956711007044165[[#This Row],[Athletes]],Table41013172512475452986841163[RESULT 12],Table361114182630485553996943164[[#Headers],[LOSE]]),COUNTIFS(Table41013172512475452986841163[ATHLETE 3],Table612151927314956711007044165[[#This Row],[Athletes]],Table41013172512475452986841163[RESULT 34],Table361114182630485553996943164[[#Headers],[LOSE]]),COUNTIFS(Table41013172512475452986841163[ATHLETE 4],Table612151927314956711007044165[[#This Row],[Athletes]],Table41013172512475452986841163[RESULT 34],Table361114182630485553996943164[[#Headers],[LOSE]]))</calculatedColumnFormula>
    </tableColumn>
    <tableColumn id="3" xr3:uid="{DD7727C0-3B34-5B45-989B-A490C777404F}" name="Saldo" dataDxfId="2217">
      <calculatedColumnFormula>SUM(SUMIF(Table41013172512475452986841163[ATHLETE 1],Table612151927314956711007044165[[#This Row],[Athletes]],Table41013172512475452986841163[SALDO 12]),SUMIF(Table41013172512475452986841163[ATHLETE 2],Table612151927314956711007044165[[#This Row],[Athletes]],Table41013172512475452986841163[SALDO 12]),SUMIF(Table41013172512475452986841163[ATHLETE 3],Table612151927314956711007044165[[#This Row],[Athletes]],Table41013172512475452986841163[SALDO 34]),SUMIF(Table41013172512475452986841163[ATHLETE 4],Table612151927314956711007044165[[#This Row],[Athletes]],Table41013172512475452986841163[SALDO 34]))</calculatedColumnFormula>
    </tableColumn>
    <tableColumn id="4" xr3:uid="{810D7D2C-2CBD-F041-855E-798C0581C820}" name="PM" dataDxfId="2216">
      <calculatedColumnFormula>SUM(SUMIF(Table41013172512475452986841163[ATHLETE 1],Table612151927314956711007044165[[#This Row],[Athletes]],Table41013172512475452986841163[PM 12]),SUMIF(Table41013172512475452986841163[ATHLETE 2],Table612151927314956711007044165[[#This Row],[Athletes]],Table41013172512475452986841163[PM 12]),SUMIF(Table41013172512475452986841163[ATHLETE 3],Table612151927314956711007044165[[#This Row],[Athletes]],Table41013172512475452986841163[PM 34]),SUMIF(Table41013172512475452986841163[ATHLETE 4],Table612151927314956711007044165[[#This Row],[Athletes]],Table41013172512475452986841163[PM 34]))</calculatedColumnFormula>
    </tableColumn>
    <tableColumn id="6" xr3:uid="{2E0712D7-D2DC-9A4B-AFB0-D6CF06B716E2}" name="Rank" dataDxfId="2215">
      <calculatedColumnFormula>IF(COUNTBLANK(Table41013172512475452986841163[[SCORE 1]:[SCORE 2]])=0,IF(RANK(H20,$H$20:$H$23)=1,RANK(H20,$H$20:$H$23)&amp;"st",IF(RANK(H20,$H$20:$H$23)=2,RANK(H20,$H$20:$H$23)&amp;"nd",RANK(H20,$H$20:$H$23)&amp;"th")),"")</calculatedColumnFormula>
    </tableColumn>
    <tableColumn id="8" xr3:uid="{B22E1F22-D7EC-184E-AFCA-79511E191DE4}" name="Rank support" dataDxfId="2214">
      <calculatedColumnFormula>Table612151927314956711007044165[[#This Row],[WIN]]*1000000+Table612151927314956711007044165[[#This Row],[Saldo]]*1000+Table612151927314956711007044165[[#This Row],[PM]]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D22908D-895C-264B-9E6E-621146862276}" name="Table152028325060721017145166" displayName="Table152028325060721017145166" ref="T2:U14" totalsRowShown="0" headerRowDxfId="2213" dataDxfId="2212" headerRowBorderDxfId="2210" tableBorderDxfId="2211">
  <autoFilter ref="T2:U14" xr:uid="{908C589F-0CD0-4EFE-993D-5B2ECC06D04A}">
    <filterColumn colId="0" hiddenButton="1"/>
    <filterColumn colId="1" hiddenButton="1"/>
  </autoFilter>
  <tableColumns count="2">
    <tableColumn id="1" xr3:uid="{5618A7F5-141E-AB47-B35A-B200B32BF501}" name="Athlete" dataDxfId="2209"/>
    <tableColumn id="2" xr3:uid="{F0146261-B939-804D-B955-A9EBF33DCAFC}" name="Rank" dataDxfId="2208"/>
  </tableColumns>
  <tableStyleInfo name="TableStyleMedium2"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567AEA6-BF14-8E4B-B90D-DF861857E248}" name="Table61215192729335162731027262167" displayName="Table61215192729335162731027262167" ref="A25:H29" totalsRowShown="0" headerRowDxfId="2207" dataDxfId="2206" headerRowBorderDxfId="2204" tableBorderDxfId="2205" totalsRowBorderDxfId="2203">
  <autoFilter ref="A25:H29" xr:uid="{C1D8D95A-3D53-41E8-AABC-9D152E7B02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6:G29">
    <sortCondition descending="1" ref="D20:D23"/>
    <sortCondition descending="1" ref="E20:E23"/>
    <sortCondition descending="1" ref="F20:F23"/>
  </sortState>
  <tableColumns count="8">
    <tableColumn id="1" xr3:uid="{DF9B06CC-8143-9642-8881-307E814C9801}" name="Group" dataDxfId="2202"/>
    <tableColumn id="2" xr3:uid="{8F8B3C0B-36C0-F545-9A40-D4C05AEA7AB2}" name="Athletes" dataDxfId="2201"/>
    <tableColumn id="7" xr3:uid="{0E422ADD-26D6-5C43-A231-F0FF44F5634A}" name="WIN" dataDxfId="2200">
      <calculatedColumnFormula>SUM(COUNTIFS(Table41013172512475452986841163[ATHLETE 1],Table61215192729335162731027262167[[#This Row],[Athletes]],Table41013172512475452986841163[RESULT 12],Table361114182630485553996943164[[#Headers],[WIN]]),COUNTIFS(Table41013172512475452986841163[ATHLETE 2],Table61215192729335162731027262167[[#This Row],[Athletes]],Table41013172512475452986841163[RESULT 12],Table361114182630485553996943164[[#Headers],[WIN]]),COUNTIFS(Table41013172512475452986841163[ATHLETE 3],Table61215192729335162731027262167[[#This Row],[Athletes]],Table41013172512475452986841163[RESULT 34],Table361114182630485553996943164[[#Headers],[WIN]]),COUNTIFS(Table41013172512475452986841163[ATHLETE 4],Table61215192729335162731027262167[[#This Row],[Athletes]],Table41013172512475452986841163[RESULT 34],Table361114182630485553996943164[[#Headers],[WIN]]))</calculatedColumnFormula>
    </tableColumn>
    <tableColumn id="5" xr3:uid="{125B62D6-949A-E142-B7EC-741498A468E3}" name="LOSE" dataDxfId="2199">
      <calculatedColumnFormula>SUM(COUNTIFS(Table41013172512475452986841163[ATHLETE 1],Table61215192729335162731027262167[[#This Row],[Athletes]],Table41013172512475452986841163[RESULT 12],Table361114182630485553996943164[[#Headers],[LOSE]]),COUNTIFS(Table41013172512475452986841163[ATHLETE 2],Table61215192729335162731027262167[[#This Row],[Athletes]],Table41013172512475452986841163[RESULT 12],Table361114182630485553996943164[[#Headers],[LOSE]]),COUNTIFS(Table41013172512475452986841163[ATHLETE 3],Table61215192729335162731027262167[[#This Row],[Athletes]],Table41013172512475452986841163[RESULT 34],Table361114182630485553996943164[[#Headers],[LOSE]]),COUNTIFS(Table41013172512475452986841163[ATHLETE 4],Table61215192729335162731027262167[[#This Row],[Athletes]],Table41013172512475452986841163[RESULT 34],Table361114182630485553996943164[[#Headers],[LOSE]]))</calculatedColumnFormula>
    </tableColumn>
    <tableColumn id="3" xr3:uid="{29B7D154-338F-1143-85DE-C0CDD8F79E73}" name="Saldo" dataDxfId="2198">
      <calculatedColumnFormula>SUM(SUMIF(Table41013172512475452986841163[ATHLETE 1],Table61215192729335162731027262167[[#This Row],[Athletes]],Table41013172512475452986841163[SALDO 12]),SUMIF(Table41013172512475452986841163[ATHLETE 2],Table61215192729335162731027262167[[#This Row],[Athletes]],Table41013172512475452986841163[SALDO 12]),SUMIF(Table41013172512475452986841163[ATHLETE 3],Table61215192729335162731027262167[[#This Row],[Athletes]],Table41013172512475452986841163[SALDO 34]),SUMIF(Table41013172512475452986841163[ATHLETE 4],Table61215192729335162731027262167[[#This Row],[Athletes]],Table41013172512475452986841163[SALDO 34]))</calculatedColumnFormula>
    </tableColumn>
    <tableColumn id="4" xr3:uid="{A2CC89BD-3A51-0B42-9790-F19D45CAEED9}" name="PM" dataDxfId="2197">
      <calculatedColumnFormula>SUM(SUMIF(Table41013172512475452986841163[ATHLETE 1],Table61215192729335162731027262167[[#This Row],[Athletes]],Table41013172512475452986841163[PM 12]),SUMIF(Table41013172512475452986841163[ATHLETE 2],Table61215192729335162731027262167[[#This Row],[Athletes]],Table41013172512475452986841163[PM 12]),SUMIF(Table41013172512475452986841163[ATHLETE 3],Table61215192729335162731027262167[[#This Row],[Athletes]],Table41013172512475452986841163[PM 34]),SUMIF(Table41013172512475452986841163[ATHLETE 4],Table61215192729335162731027262167[[#This Row],[Athletes]],Table41013172512475452986841163[PM 34]))</calculatedColumnFormula>
    </tableColumn>
    <tableColumn id="6" xr3:uid="{838F75F2-5BDF-F041-A6E1-0C81AA758C10}" name="Rank" dataDxfId="2196">
      <calculatedColumnFormula>IF(COUNTBLANK(Table41013172512475452986841163[[SCORE 1]:[SCORE 2]])=0,IF(RANK(H26,$H$26:$H$29)=1,RANK(H26,$H$26:$H$29)&amp;"st",IF(RANK(H26,$H$26:$H$29)=2,RANK(H26,$H$26:$H$29)&amp;"nd",RANK(H26,$H$26:$H$29)&amp;"th")),"")</calculatedColumnFormula>
    </tableColumn>
    <tableColumn id="8" xr3:uid="{FA0B6A29-2774-544C-9FCA-CF82BFAE120D}" name="Rank support" dataDxfId="2195">
      <calculatedColumnFormula>Table61215192729335162731027262167[[#This Row],[WIN]]*1000000+Table61215192729335162731027262167[[#This Row],[Saldo]]*1000+Table61215192729335162731027262167[[#This Row],[PM]]</calculatedColumnFormula>
    </tableColumn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49E67D2-9AE7-E048-BFD8-EDB620C73319}" name="Games_226" displayName="Games_226" ref="B1:R13" totalsRowShown="0" headerRowDxfId="2194" dataDxfId="2193" headerRowBorderDxfId="2191" tableBorderDxfId="2192" totalsRowBorderDxfId="2190">
  <autoFilter ref="B1:R13" xr:uid="{C79D687B-AEB2-42F8-B262-AEDE9265CB48}"/>
  <tableColumns count="17">
    <tableColumn id="3" xr3:uid="{139F60A8-7AB7-8A4C-8462-49CD5E316D40}" name="GROUP" dataDxfId="2189"/>
    <tableColumn id="4" xr3:uid="{DF1E2444-CE08-7D45-AAF6-233A31295FCE}" name="ATHLETE 1" dataDxfId="2188"/>
    <tableColumn id="5" xr3:uid="{06180940-2605-014F-9CA8-42DC2830EE57}" name="ATHLETE 2" dataDxfId="2187"/>
    <tableColumn id="8" xr3:uid="{149C7059-F96A-664E-AC02-D38C8F407179}" name="SCORE 1" dataDxfId="2186"/>
    <tableColumn id="9" xr3:uid="{7CF31713-79F5-934F-902F-4D70C7C6395A}" name="SCORE 2" dataDxfId="2185"/>
    <tableColumn id="6" xr3:uid="{94315958-F755-BA47-B469-B9C0B83C6957}" name="ATHLETE 3" dataDxfId="2184"/>
    <tableColumn id="1" xr3:uid="{F3EA91BD-0060-8549-995F-6FD948D9A452}" name="X" dataDxfId="2183"/>
    <tableColumn id="2" xr3:uid="{5A0B3469-E7A9-BE48-809D-34DAF9035735}" name="Y" dataDxfId="2182"/>
    <tableColumn id="16" xr3:uid="{BACEE401-AE3F-3547-8A4A-741C33CA626C}" name="Z" dataDxfId="2181"/>
    <tableColumn id="17" xr3:uid="{5269E78A-469D-D148-82B7-9954155A0CFE}" name="A" dataDxfId="2180"/>
    <tableColumn id="7" xr3:uid="{18EDB8C4-08BC-7747-B939-6E95E9DCF818}" name="ATHLETE 4" dataDxfId="2179"/>
    <tableColumn id="10" xr3:uid="{98FB2297-6253-4C42-B764-6EC57C61B7A7}" name="SALDO 12" dataDxfId="2178">
      <calculatedColumnFormula>IF(OR(Games_226[[#This Row],[SCORE 1]]="",Games_226[[#This Row],[SCORE 2]]=""),"",Games_226[[#This Row],[SCORE 1]]-Games_226[[#This Row],[SCORE 2]])</calculatedColumnFormula>
    </tableColumn>
    <tableColumn id="11" xr3:uid="{C0FC4D8C-9562-3440-A2D4-2F75F8BFBC4C}" name="SALDO 34" dataDxfId="2177">
      <calculatedColumnFormula>IF(OR(Games_226[[#This Row],[SCORE 1]]="",Games_226[[#This Row],[SCORE 2]]=""),"",Games_226[[#This Row],[SCORE 2]]-Games_226[[#This Row],[SCORE 1]])</calculatedColumnFormula>
    </tableColumn>
    <tableColumn id="12" xr3:uid="{88199A2C-03EF-364E-88DF-9351E3C03465}" name="PM 12" dataDxfId="2176">
      <calculatedColumnFormula>IF(Games_226[[#This Row],[SCORE 1]]="","",Games_226[[#This Row],[SCORE 1]])</calculatedColumnFormula>
    </tableColumn>
    <tableColumn id="13" xr3:uid="{21353028-6B09-564A-8E3A-33C34E7612C3}" name="PM 34" dataDxfId="2175">
      <calculatedColumnFormula>IF(Games_226[[#This Row],[SCORE 2]]="","",Games_226[[#This Row],[SCORE 2]])</calculatedColumnFormula>
    </tableColumn>
    <tableColumn id="14" xr3:uid="{1247A90F-48F6-A240-BB07-4707FF3CA29A}" name="RESULT 12" dataDxfId="2174">
      <calculatedColumnFormula>IF(OR(Games_226[[#This Row],[SCORE 1]]="",Games_226[[#This Row],[SCORE 2]]=""),"",IF(Games_226[[#This Row],[SALDO 12]]&gt;0, "WIN","LOSE"))</calculatedColumnFormula>
    </tableColumn>
    <tableColumn id="15" xr3:uid="{DF07A371-5813-DE40-A225-71A7098D0411}" name="RESULT 34" dataDxfId="2173">
      <calculatedColumnFormula>IF(OR(Games_226[[#This Row],[SCORE 2]]="",Games_226[[#This Row],[SCORE 1]]=""),"",IF(Games_226[[#This Row],[SALDO 34]]&gt;0, "WIN","LOSE"))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2D75173-23FF-5C45-88D9-1004A05912E1}" name="Analysis_327" displayName="Analysis_327" ref="A16:H22" totalsRowShown="0" headerRowDxfId="2172" dataDxfId="2171" headerRowBorderDxfId="2169" tableBorderDxfId="2170" totalsRowBorderDxfId="2168">
  <autoFilter ref="A16:H22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A89EF666-3713-9C4A-A12C-181CD557AC90}" name="Reference" dataDxfId="2167"/>
    <tableColumn id="1" xr3:uid="{03D4A7AB-5C93-BE4C-83D8-6874B9B16916}" name="Atheletes " dataDxfId="2166"/>
    <tableColumn id="8" xr3:uid="{6A467D0F-7E0E-6E46-A644-EA7338DAAE0E}" name="WIN" dataDxfId="2165"/>
    <tableColumn id="5" xr3:uid="{8E68F49F-E6FF-1644-A2D2-5C0C3694723B}" name="LOSE" dataDxfId="2164"/>
    <tableColumn id="3" xr3:uid="{BDC2A4FA-775F-344F-95C7-D1874FEB55CA}" name="Saldo" dataDxfId="2163"/>
    <tableColumn id="4" xr3:uid="{1EFB682D-63F1-5647-8335-4F59D5AEEBE5}" name="PM" dataDxfId="2162"/>
    <tableColumn id="6" xr3:uid="{617B751A-8CFE-1C40-A818-AB0DAB0CF324}" name="Rank" dataDxfId="2161">
      <calculatedColumnFormula>IF(COUNTBLANK(Games_226[[SCORE 1]:[SCORE 2]])=0,IF(RANK(H17,$H$17:$H$22)=1,RANK(H17,$H$17:$H$22)&amp;"st",IF(RANK(H17,$H$17:$H$22)=2,RANK(H17,$H$17:$H$22)&amp;"nd",IF(RANK(H17,$H$17:$H$22)=3,RANK(H17,$H$17:$H$22)&amp;"rd",RANK(H17,$H$17:$H$22)&amp;"th"))),"")</calculatedColumnFormula>
    </tableColumn>
    <tableColumn id="2" xr3:uid="{7373D59D-CF13-E345-B44E-72B51D4341CB}" name="Rank support" dataDxfId="216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83DE1B8-4DD2-6248-B752-D22DED2E68F6}" name="Table15722354478913351028" displayName="Table15722354478913351028" ref="T2:U10" totalsRowShown="0" headerRowDxfId="2159" dataDxfId="2158" headerRowBorderDxfId="2156" tableBorderDxfId="2157">
  <autoFilter ref="T2:U10" xr:uid="{908C589F-0CD0-4EFE-993D-5B2ECC06D04A}">
    <filterColumn colId="0" hiddenButton="1"/>
    <filterColumn colId="1" hiddenButton="1"/>
  </autoFilter>
  <tableColumns count="2">
    <tableColumn id="1" xr3:uid="{B8146C6D-EFF1-A741-88F6-21146AFE907F}" name="Athlete" dataDxfId="2155"/>
    <tableColumn id="2" xr3:uid="{077388B8-301B-F14F-B1B5-2E98B9FF415A}" name="Rank" dataDxfId="2154"/>
  </tableColumns>
  <tableStyleInfo name="TableStyleMedium2"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6BC3FA6-DFEB-D14B-9B72-CA643502CC7E}" name="Analysis_429" displayName="Analysis_429" ref="A24:H30" totalsRowShown="0" headerRowDxfId="2153" headerRowBorderDxfId="2151" tableBorderDxfId="2152" totalsRowBorderDxfId="2150">
  <autoFilter ref="A24:H30" xr:uid="{56A7DA99-B3FE-004D-BFF6-DA1337F7D6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DC3CCA-9E9D-F740-A29F-52349F3925E8}" name="Reference" dataDxfId="2149"/>
    <tableColumn id="2" xr3:uid="{6BF6B0CB-F172-6A48-B08C-6079834C336C}" name="Atheletes " dataDxfId="2148"/>
    <tableColumn id="3" xr3:uid="{3769D72D-154D-D849-A046-7D84A7DF1086}" name="WIN"/>
    <tableColumn id="4" xr3:uid="{B9BC8986-F2E0-A941-B4BA-7DE88F99154F}" name="LOSE"/>
    <tableColumn id="5" xr3:uid="{0EADFD12-0F7E-D740-9EAF-B6D22AF8F8D6}" name="Saldo"/>
    <tableColumn id="6" xr3:uid="{D5B8F2FA-29A0-FF49-9ED0-6ED7B31D7227}" name="PM"/>
    <tableColumn id="7" xr3:uid="{8F4AF089-3C28-7D4E-A5AD-6EE0BF177B1F}" name="Rank"/>
    <tableColumn id="9" xr3:uid="{EDD6DE11-A54C-9241-A595-D0236DA438BF}" name="Rank support" dataDxfId="2147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C11045CB-45D0-B748-A5B2-A4900D2C4739}" name="Table4101317251247545298684173122" displayName="Table4101317251247545298684173122" ref="B1:R7" totalsRowShown="0" headerRowDxfId="2146" dataDxfId="2145" headerRowBorderDxfId="2143" tableBorderDxfId="2144" totalsRowBorderDxfId="2142">
  <autoFilter ref="B1:R7" xr:uid="{C79D687B-AEB2-42F8-B262-AEDE9265CB48}"/>
  <tableColumns count="17">
    <tableColumn id="3" xr3:uid="{185FFCD6-C474-7143-A516-4E6702646EB2}" name="GROUP" dataDxfId="2141"/>
    <tableColumn id="4" xr3:uid="{BB98FAE8-6B3C-444F-AF12-FE46DA0BE70E}" name="ATHLETE 1" dataDxfId="2140"/>
    <tableColumn id="5" xr3:uid="{D4536AEC-C6BB-EB43-BDA7-BDEB4F615898}" name="ATHLETE 2" dataDxfId="2139"/>
    <tableColumn id="8" xr3:uid="{A7580B77-C0E8-7A43-91F5-13129DA37C72}" name="SCORE 1" dataDxfId="2138"/>
    <tableColumn id="9" xr3:uid="{0CCF74AF-177C-474C-8219-10C9F2B886C1}" name="SCORE 2" dataDxfId="2137"/>
    <tableColumn id="6" xr3:uid="{2F5570E6-883C-834B-AFAC-CEF2B65220BC}" name="ATHLETE 3" dataDxfId="2136"/>
    <tableColumn id="17" xr3:uid="{6B80E8B8-3C57-9149-B823-B81052918202}" name="X" dataDxfId="2135"/>
    <tableColumn id="16" xr3:uid="{8A577874-DC3D-3F49-81C8-231ADA82188F}" name="Y" dataDxfId="2134"/>
    <tableColumn id="2" xr3:uid="{A51AC222-C288-B547-867A-7811308D9D55}" name="Z" dataDxfId="2133"/>
    <tableColumn id="1" xr3:uid="{CE9C878C-FCB9-F54F-842C-B9F10AA002BD}" name="A" dataDxfId="2132"/>
    <tableColumn id="7" xr3:uid="{E8CB28D0-417E-DF4C-A070-CE3DE38FC98E}" name="ATHLETE 4" dataDxfId="2131"/>
    <tableColumn id="10" xr3:uid="{FCF0FDC6-C281-CD41-8A09-72DCF122D0AD}" name="SALDO 12" dataDxfId="2130">
      <calculatedColumnFormula>IF(OR(Table4101317251247545298684173122[[#This Row],[SCORE 1]]="",Table4101317251247545298684173122[[#This Row],[SCORE 2]]=""),"",Table4101317251247545298684173122[[#This Row],[SCORE 1]]-Table4101317251247545298684173122[[#This Row],[SCORE 2]])</calculatedColumnFormula>
    </tableColumn>
    <tableColumn id="11" xr3:uid="{A7B7DAA9-A59A-5248-B721-09043DD9DE6A}" name="SALDO 34" dataDxfId="2129">
      <calculatedColumnFormula>IF(OR(Table4101317251247545298684173122[[#This Row],[SCORE 1]]="",Table4101317251247545298684173122[[#This Row],[SCORE 2]]=""),"",Table4101317251247545298684173122[[#This Row],[SCORE 2]]-Table4101317251247545298684173122[[#This Row],[SCORE 1]])</calculatedColumnFormula>
    </tableColumn>
    <tableColumn id="12" xr3:uid="{A1984D98-6928-304C-9DEC-9BD9DFD25057}" name="PM 12" dataDxfId="2128">
      <calculatedColumnFormula>IF(Table4101317251247545298684173122[[#This Row],[SCORE 1]]="","",Table4101317251247545298684173122[[#This Row],[SCORE 1]])</calculatedColumnFormula>
    </tableColumn>
    <tableColumn id="13" xr3:uid="{CEAFB0F8-BFC8-DE4F-9BD2-196E229B3DC0}" name="PM 34" dataDxfId="2127">
      <calculatedColumnFormula>IF(Table4101317251247545298684173122[[#This Row],[SCORE 2]]="","",Table4101317251247545298684173122[[#This Row],[SCORE 2]])</calculatedColumnFormula>
    </tableColumn>
    <tableColumn id="14" xr3:uid="{9D4C7D43-320A-534D-8FA2-8FB48FA5C1C4}" name="RESULT 12" dataDxfId="2126">
      <calculatedColumnFormula>IF(OR(Table4101317251247545298684173122[[#This Row],[SCORE 1]]="",Table4101317251247545298684173122[[#This Row],[SCORE 2]]=""),"",IF(Table4101317251247545298684173122[[#This Row],[SALDO 12]]&gt;0, "WIN","LOSE"))</calculatedColumnFormula>
    </tableColumn>
    <tableColumn id="15" xr3:uid="{33064FD0-CD88-6746-A18A-5906321C69E1}" name="RESULT 34" dataDxfId="2125">
      <calculatedColumnFormula>IF(OR(Table4101317251247545298684173122[[#This Row],[SCORE 1]]="",Table4101317251247545298684173122[[#This Row],[SCORE 2]]=""),"",IF(Table4101317251247545298684173122[[#This Row],[SALDO 34]]&gt;0, "WIN","LOSE"))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1FA86E1F-A5F2-CE4B-9306-86E2E637EFD1}" name="Table36111418263048555399694375123" displayName="Table36111418263048555399694375123" ref="A10:H14" totalsRowShown="0" headerRowDxfId="2124" dataDxfId="2123" headerRowBorderDxfId="2121" tableBorderDxfId="2122" totalsRowBorderDxfId="2120">
  <autoFilter ref="A10:H14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1:G14">
    <sortCondition descending="1" ref="D11:D14"/>
    <sortCondition descending="1" ref="E11:E14"/>
    <sortCondition descending="1" ref="F11:F14"/>
  </sortState>
  <tableColumns count="8">
    <tableColumn id="7" xr3:uid="{C15D82AE-23BA-1540-AD35-8579CFD39150}" name="Group" dataDxfId="2119"/>
    <tableColumn id="1" xr3:uid="{59D31776-020C-1C4D-B02C-CE021C92F2D7}" name="Athletes" dataDxfId="2118"/>
    <tableColumn id="8" xr3:uid="{83E4FA50-1527-A74C-B647-06E3348027E5}" name="WIN" dataDxfId="2117">
      <calculatedColumnFormula>SUM(COUNTIFS(Table4101317251247545298684173122[ATHLETE 1],Table36111418263048555399694375123[[#This Row],[Athletes]],Table4101317251247545298684173122[RESULT 12],Table36111418263048555399694375123[[#Headers],[WIN]]),COUNTIFS(Table4101317251247545298684173122[ATHLETE 2],Table36111418263048555399694375123[[#This Row],[Athletes]],Table4101317251247545298684173122[RESULT 12],Table36111418263048555399694375123[[#Headers],[WIN]]),COUNTIFS(Table4101317251247545298684173122[ATHLETE 3],Table36111418263048555399694375123[[#This Row],[Athletes]],Table4101317251247545298684173122[RESULT 34],Table36111418263048555399694375123[[#Headers],[WIN]]),COUNTIFS(Table4101317251247545298684173122[ATHLETE 4],Table36111418263048555399694375123[[#This Row],[Athletes]],Table4101317251247545298684173122[RESULT 34],Table36111418263048555399694375123[[#Headers],[WIN]]))</calculatedColumnFormula>
    </tableColumn>
    <tableColumn id="5" xr3:uid="{872E9AF6-806D-5F46-A99B-C47FC37EBD0F}" name="LOSE" dataDxfId="2116">
      <calculatedColumnFormula>SUM(COUNTIFS(Table4101317251247545298684173122[ATHLETE 1],Table36111418263048555399694375123[[#This Row],[Athletes]],Table4101317251247545298684173122[RESULT 12],Table36111418263048555399694375123[[#Headers],[LOSE]]),COUNTIFS(Table4101317251247545298684173122[ATHLETE 2],Table36111418263048555399694375123[[#This Row],[Athletes]],Table4101317251247545298684173122[RESULT 12],Table36111418263048555399694375123[[#Headers],[LOSE]]),COUNTIFS(Table4101317251247545298684173122[ATHLETE 3],Table36111418263048555399694375123[[#This Row],[Athletes]],Table4101317251247545298684173122[RESULT 34],Table36111418263048555399694375123[[#Headers],[LOSE]]),COUNTIFS(Table4101317251247545298684173122[ATHLETE 4],Table36111418263048555399694375123[[#This Row],[Athletes]],Table4101317251247545298684173122[RESULT 34],Table36111418263048555399694375123[[#Headers],[LOSE]]))</calculatedColumnFormula>
    </tableColumn>
    <tableColumn id="3" xr3:uid="{C9D0DC9A-967D-4C42-B182-ED3E5D096EB4}" name="Saldo" dataDxfId="2115">
      <calculatedColumnFormula>SUM(SUMIF(Table4101317251247545298684173122[ATHLETE 1],Table36111418263048555399694375123[[#This Row],[Athletes]],Table4101317251247545298684173122[SALDO 12]),SUMIF(Table4101317251247545298684173122[ATHLETE 2],Table36111418263048555399694375123[[#This Row],[Athletes]],Table4101317251247545298684173122[SALDO 12]),SUMIF(Table4101317251247545298684173122[ATHLETE 3],Table36111418263048555399694375123[[#This Row],[Athletes]],Table4101317251247545298684173122[SALDO 34]),SUMIF(Table4101317251247545298684173122[ATHLETE 4],Table36111418263048555399694375123[[#This Row],[Athletes]],Table4101317251247545298684173122[SALDO 34]))</calculatedColumnFormula>
    </tableColumn>
    <tableColumn id="4" xr3:uid="{0BD4024C-9594-C74F-AEFB-A2DD5CC567EC}" name="PM" dataDxfId="2114">
      <calculatedColumnFormula>SUM(SUMIF(Table4101317251247545298684173122[ATHLETE 1],Table36111418263048555399694375123[[#This Row],[Athletes]],Table4101317251247545298684173122[PM 12]),SUMIF(Table4101317251247545298684173122[ATHLETE 2],Table36111418263048555399694375123[[#This Row],[Athletes]],Table4101317251247545298684173122[PM 12]),SUMIF(Table4101317251247545298684173122[ATHLETE 3],Table36111418263048555399694375123[[#This Row],[Athletes]],Table4101317251247545298684173122[PM 34]),SUMIF(Table4101317251247545298684173122[ATHLETE 4],Table36111418263048555399694375123[[#This Row],[Athletes]],Table4101317251247545298684173122[PM 34]))</calculatedColumnFormula>
    </tableColumn>
    <tableColumn id="6" xr3:uid="{67A943AA-26C0-0C41-87E7-54F961BB262F}" name="Rank" dataDxfId="2113">
      <calculatedColumnFormula>IF(COUNTBLANK(Table4101317251247545298684173122[[SCORE 1]:[SCORE 2]])=0,IF(RANK(H11,$H$11:$H$14)=1,RANK(H11,$H$11:$H$14)&amp;"st",IF(RANK(H11,$H$11:$H$14)=2,RANK(H11,$H$11:$H$14)&amp;"nd",RANK(H11,$H$11:$H$14)&amp;"th")),"")</calculatedColumnFormula>
    </tableColumn>
    <tableColumn id="2" xr3:uid="{876DC5A6-35E7-894D-8DC9-18D6965D9098}" name="Rank support" dataDxfId="2112">
      <calculatedColumnFormula>Table36111418263048555399694375123[[#This Row],[WIN]]*1000000+Table36111418263048555399694375123[[#This Row],[Saldo]]*1000+Table36111418263048555399694375123[[#This Row],[PM]]</calculatedColumnFormula>
    </tableColumn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80F61F76-9CA8-1A41-9209-FB694C74C3A4}" name="Table61215192731495671100704476124" displayName="Table61215192731495671100704476124" ref="A16:H20" totalsRowShown="0" headerRowDxfId="2111" dataDxfId="2110" headerRowBorderDxfId="2108" tableBorderDxfId="2109" totalsRowBorderDxfId="2107">
  <autoFilter ref="A16:H20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1" xr3:uid="{F3942198-87DD-E249-A5C1-D6F70DC7CBC0}" name="Group" dataDxfId="2106"/>
    <tableColumn id="2" xr3:uid="{5967867E-B507-FF40-998F-3446449D753B}" name="Athletes" dataDxfId="2105"/>
    <tableColumn id="7" xr3:uid="{A3C7CBDF-91E4-8A4A-B19F-7C29846FB99D}" name="WIN" dataDxfId="2104">
      <calculatedColumnFormula>SUM(COUNTIFS(Table4101317251247545298684173122[ATHLETE 1],Table61215192731495671100704476124[[#This Row],[Athletes]],Table4101317251247545298684173122[RESULT 12],Table36111418263048555399694375123[[#Headers],[WIN]]),COUNTIFS(Table4101317251247545298684173122[ATHLETE 2],Table61215192731495671100704476124[[#This Row],[Athletes]],Table4101317251247545298684173122[RESULT 12],Table36111418263048555399694375123[[#Headers],[WIN]]),COUNTIFS(Table4101317251247545298684173122[ATHLETE 3],Table61215192731495671100704476124[[#This Row],[Athletes]],Table4101317251247545298684173122[RESULT 34],Table36111418263048555399694375123[[#Headers],[WIN]]),COUNTIFS(Table4101317251247545298684173122[ATHLETE 4],Table61215192731495671100704476124[[#This Row],[Athletes]],Table4101317251247545298684173122[RESULT 34],Table36111418263048555399694375123[[#Headers],[WIN]]))</calculatedColumnFormula>
    </tableColumn>
    <tableColumn id="5" xr3:uid="{463DF72C-FE5F-4A47-A145-EE6D107B1AE1}" name="LOSE" dataDxfId="2103">
      <calculatedColumnFormula>SUM(COUNTIFS(Table4101317251247545298684173122[ATHLETE 1],Table61215192731495671100704476124[[#This Row],[Athletes]],Table4101317251247545298684173122[RESULT 12],Table36111418263048555399694375123[[#Headers],[LOSE]]),COUNTIFS(Table4101317251247545298684173122[ATHLETE 2],Table61215192731495671100704476124[[#This Row],[Athletes]],Table4101317251247545298684173122[RESULT 12],Table36111418263048555399694375123[[#Headers],[LOSE]]),COUNTIFS(Table4101317251247545298684173122[ATHLETE 3],Table61215192731495671100704476124[[#This Row],[Athletes]],Table4101317251247545298684173122[RESULT 34],Table36111418263048555399694375123[[#Headers],[LOSE]]),COUNTIFS(Table4101317251247545298684173122[ATHLETE 4],Table61215192731495671100704476124[[#This Row],[Athletes]],Table4101317251247545298684173122[RESULT 34],Table36111418263048555399694375123[[#Headers],[LOSE]]))</calculatedColumnFormula>
    </tableColumn>
    <tableColumn id="3" xr3:uid="{FDB9DFB1-7973-2446-8512-7A7E491CE648}" name="Saldo" dataDxfId="2102">
      <calculatedColumnFormula>SUM(SUMIF(Table4101317251247545298684173122[ATHLETE 1],Table61215192731495671100704476124[[#This Row],[Athletes]],Table4101317251247545298684173122[SALDO 12]),SUMIF(Table4101317251247545298684173122[ATHLETE 2],Table61215192731495671100704476124[[#This Row],[Athletes]],Table4101317251247545298684173122[SALDO 12]),SUMIF(Table4101317251247545298684173122[ATHLETE 3],Table61215192731495671100704476124[[#This Row],[Athletes]],Table4101317251247545298684173122[SALDO 34]),SUMIF(Table4101317251247545298684173122[ATHLETE 4],Table61215192731495671100704476124[[#This Row],[Athletes]],Table4101317251247545298684173122[SALDO 34]))</calculatedColumnFormula>
    </tableColumn>
    <tableColumn id="4" xr3:uid="{7DE8865B-F968-F84F-9F8B-5BE99D34FAED}" name="PM" dataDxfId="2101">
      <calculatedColumnFormula>SUM(SUMIF(Table4101317251247545298684173122[ATHLETE 1],Table61215192731495671100704476124[[#This Row],[Athletes]],Table4101317251247545298684173122[PM 12]),SUMIF(Table4101317251247545298684173122[ATHLETE 2],Table61215192731495671100704476124[[#This Row],[Athletes]],Table4101317251247545298684173122[PM 12]),SUMIF(Table4101317251247545298684173122[ATHLETE 3],Table61215192731495671100704476124[[#This Row],[Athletes]],Table4101317251247545298684173122[PM 34]),SUMIF(Table4101317251247545298684173122[ATHLETE 4],Table61215192731495671100704476124[[#This Row],[Athletes]],Table4101317251247545298684173122[PM 34]))</calculatedColumnFormula>
    </tableColumn>
    <tableColumn id="6" xr3:uid="{245AB83D-D40D-2344-9421-BA87DDCC70F5}" name="Rank" dataDxfId="2100">
      <calculatedColumnFormula>IF(COUNTBLANK(Table4101317251247545298684173122[[SCORE 1]:[SCORE 2]])=0,IF(RANK(H17,$H$17:$H$20)=1,RANK(H17,$H$17:$H$20)&amp;"st",IF(RANK(H17,$H$17:$H$20)=2,RANK(H17,$H$17:$H$20)&amp;"nd",RANK(H17,$H$17:$H$20)&amp;"th")),"")</calculatedColumnFormula>
    </tableColumn>
    <tableColumn id="8" xr3:uid="{363193A7-B224-F845-AA1A-3BC0FC110EEE}" name="Rank support" dataDxfId="2099">
      <calculatedColumnFormula>Table61215192731495671100704476124[[#This Row],[WIN]]*1000000+Table61215192731495671100704476124[[#This Row],[Saldo]]*1000+Table61215192731495671100704476124[[#This Row],[PM]]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F7FCC057-D90B-034E-B849-A408F5088BC9}" name="Table15202832506072101714577125" displayName="Table15202832506072101714577125" ref="T2:U10" totalsRowShown="0" headerRowDxfId="2098" dataDxfId="2097" headerRowBorderDxfId="2095" tableBorderDxfId="2096">
  <autoFilter ref="T2:U10" xr:uid="{908C589F-0CD0-4EFE-993D-5B2ECC06D04A}">
    <filterColumn colId="0" hiddenButton="1"/>
    <filterColumn colId="1" hiddenButton="1"/>
  </autoFilter>
  <tableColumns count="2">
    <tableColumn id="1" xr3:uid="{DC7CCDF4-0DC9-2144-A5D5-2FD319737161}" name="Athlete" dataDxfId="2094"/>
    <tableColumn id="2" xr3:uid="{8FD032EE-6B8B-F044-86BA-377D5B268102}" name="Rank" dataDxfId="2093"/>
  </tableColumns>
  <tableStyleInfo name="TableStyleMedium2"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F752D05A-67DD-4C49-8506-FF2C39B93B6D}" name="Game_52147169" displayName="Game_52147169" ref="B1:R11" totalsRowShown="0" headerRowDxfId="2092" dataDxfId="2091" headerRowBorderDxfId="2089" tableBorderDxfId="2090" totalsRowBorderDxfId="2088">
  <autoFilter ref="B1:R11" xr:uid="{C79D687B-AEB2-42F8-B262-AEDE9265CB48}"/>
  <tableColumns count="17">
    <tableColumn id="3" xr3:uid="{E46EE496-2F1B-3949-8A5D-1F63F827A556}" name="GROUP" dataDxfId="2087"/>
    <tableColumn id="4" xr3:uid="{62B30C2F-2E19-4942-88BB-EF25892F6798}" name="ATHLETE 1" dataDxfId="2086"/>
    <tableColumn id="5" xr3:uid="{4598D7C9-DBF1-A142-A01B-86378449E31A}" name="ATHLETE 2" dataDxfId="2085"/>
    <tableColumn id="8" xr3:uid="{54A4BFD6-138B-7944-A5D5-39E2B5F86166}" name="SCORE 1" dataDxfId="2084"/>
    <tableColumn id="9" xr3:uid="{A38E4908-5D30-7341-94B9-130101E0895D}" name="SCORE 2" dataDxfId="2083"/>
    <tableColumn id="6" xr3:uid="{1D9E0AAE-72A8-E144-970B-5B60A4F9515E}" name="ATHLETE 3" dataDxfId="2082"/>
    <tableColumn id="16" xr3:uid="{D996E114-2DF0-E347-BD68-2E15693FF609}" name="X" dataDxfId="2081"/>
    <tableColumn id="1" xr3:uid="{EFFB8CC5-F9D6-284E-974A-E44EDE78AF5B}" name="Y" dataDxfId="2080"/>
    <tableColumn id="17" xr3:uid="{B7E167CB-6E66-2C48-AF7C-B97A67831F15}" name="Z" dataDxfId="2079"/>
    <tableColumn id="18" xr3:uid="{896CA903-20A8-E346-9529-3B8E2869283D}" name="A" dataDxfId="2078"/>
    <tableColumn id="7" xr3:uid="{E8A56D5B-53DA-6340-8A89-A8DAFF2FE4C5}" name="ATHLETE 4" dataDxfId="2077"/>
    <tableColumn id="10" xr3:uid="{595CD871-F06A-0F49-8DF9-BDA7D1CC6F64}" name="SALDO 12" dataDxfId="2076">
      <calculatedColumnFormula>IF(OR(Game_52147169[[#This Row],[SCORE 1]]="",Game_52147169[[#This Row],[SCORE 2]]=""),"",Game_52147169[[#This Row],[SCORE 1]]-Game_52147169[[#This Row],[SCORE 2]])</calculatedColumnFormula>
    </tableColumn>
    <tableColumn id="11" xr3:uid="{BCF1E535-8130-D84E-88A2-CDD718D7C564}" name="SALDO 34" dataDxfId="2075">
      <calculatedColumnFormula>IF(OR(Game_52147169[[#This Row],[SCORE 1]]="",Game_52147169[[#This Row],[SCORE 2]]=""),"",Game_52147169[[#This Row],[SCORE 2]]-Game_52147169[[#This Row],[SCORE 1]])</calculatedColumnFormula>
    </tableColumn>
    <tableColumn id="12" xr3:uid="{490148A8-AACA-5D4D-A0F5-D4BC75AF805E}" name="PM 12" dataDxfId="2074">
      <calculatedColumnFormula>IF(Game_52147169[[#This Row],[SCORE 1]]="","",Game_52147169[[#This Row],[SCORE 1]])</calculatedColumnFormula>
    </tableColumn>
    <tableColumn id="13" xr3:uid="{C48D4938-7172-A94B-9CC4-CA9A40488BF4}" name="PM 34" dataDxfId="2073">
      <calculatedColumnFormula>IF(Game_52147169[[#This Row],[SCORE 2]]="","",Game_52147169[[#This Row],[SCORE 2]])</calculatedColumnFormula>
    </tableColumn>
    <tableColumn id="14" xr3:uid="{A52D3FD5-97A0-EB45-A3B0-CFFEEC9338ED}" name="RESULT 12" dataDxfId="2072">
      <calculatedColumnFormula>IF(OR(Game_52147169[[#This Row],[SCORE 1]]="",Game_52147169[[#This Row],[SCORE 2]]=""),"",IF(Game_52147169[[#This Row],[SALDO 12]]&gt;0, "WIN","LOSE"))</calculatedColumnFormula>
    </tableColumn>
    <tableColumn id="15" xr3:uid="{67F706F3-B2D9-3F44-B79F-5D5C1803E2F1}" name="RESULT 34" dataDxfId="2071">
      <calculatedColumnFormula>IF(OR(Game_52147169[[#This Row],[SCORE 1]]="",Game_52147169[[#This Row],[SCORE 2]]=""),"",IF(Game_52147169[[#This Row],[SALDO 34]]&gt;0, "WIN","LOSE"))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505EAC52-A111-944B-8D80-458E61AA5892}" name="Analysis_156148170" displayName="Analysis_156148170" ref="A14:H19" totalsRowShown="0" headerRowDxfId="2070" dataDxfId="2069" headerRowBorderDxfId="2067" tableBorderDxfId="2068" totalsRowBorderDxfId="2066">
  <autoFilter ref="A14:H1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5:G19">
    <sortCondition descending="1" ref="D15:D19"/>
    <sortCondition descending="1" ref="E15:E19"/>
    <sortCondition descending="1" ref="F15:F19"/>
  </sortState>
  <tableColumns count="8">
    <tableColumn id="7" xr3:uid="{C60F22A7-BE7E-2F41-9030-D90E851399D4}" name="Reference" dataDxfId="2065"/>
    <tableColumn id="1" xr3:uid="{942B1A92-E98A-CF46-967C-945B79D3C051}" name="Athletes " dataDxfId="2064"/>
    <tableColumn id="8" xr3:uid="{6457E967-A5DC-A24D-8D89-8F13662EEC59}" name="WIN" dataDxfId="2063">
      <calculatedColumnFormula>SUM(COUNTIFS(Game_52147169[ATHLETE 1],Analysis_156148170[[#This Row],[Athletes ]],Game_52147169[RESULT 12],"win"),COUNTIFS(Game_52147169[ATHLETE 2],Analysis_156148170[[#This Row],[Athletes ]],Game_52147169[RESULT 12],"win"),COUNTIFS(Game_52147169[ATHLETE 3],Analysis_156148170[[#This Row],[Athletes ]],Game_52147169[RESULT 34],"win"),COUNTIFS(Game_52147169[ATHLETE 4],Analysis_156148170[[#This Row],[Athletes ]],Game_52147169[RESULT 34],"win"))</calculatedColumnFormula>
    </tableColumn>
    <tableColumn id="5" xr3:uid="{6CC991FB-1DB2-E34F-8DE1-55B08C8DAB82}" name="LOSE" dataDxfId="2062">
      <calculatedColumnFormula>SUM(COUNTIFS(Game_52147169[ATHLETE 1],Analysis_156148170[[#This Row],[Athletes ]],Game_52147169[RESULT 12],"lose"),COUNTIFS(Game_52147169[ATHLETE 2],Analysis_156148170[[#This Row],[Athletes ]],Game_52147169[RESULT 12],"lose"),COUNTIFS(Game_52147169[ATHLETE 3],Analysis_156148170[[#This Row],[Athletes ]],Game_52147169[RESULT 34],"lose"),COUNTIFS(Game_52147169[ATHLETE 4],Analysis_156148170[[#This Row],[Athletes ]],Game_52147169[RESULT 34],"lose"))</calculatedColumnFormula>
    </tableColumn>
    <tableColumn id="3" xr3:uid="{9632465B-C95C-DD46-807C-83D561621339}" name="Saldo" dataDxfId="2061">
      <calculatedColumnFormula>SUM(SUMIF(Game_52147169[ATHLETE 1],Analysis_156148170[[#This Row],[Athletes ]],Game_52147169[SALDO 12]),SUMIF(Game_52147169[ATHLETE 2],Analysis_156148170[[#This Row],[Athletes ]],Game_52147169[SALDO 12]),SUMIF(Game_52147169[ATHLETE 3],Analysis_156148170[[#This Row],[Athletes ]],Game_52147169[SALDO 34]),SUMIF(Game_52147169[ATHLETE 4],Analysis_156148170[[#This Row],[Athletes ]],Game_52147169[SALDO 34]))</calculatedColumnFormula>
    </tableColumn>
    <tableColumn id="4" xr3:uid="{38EF5574-4375-9C43-A2F2-B44F9D731182}" name="PM" dataDxfId="2060">
      <calculatedColumnFormula>SUM(SUMIF(Game_52147169[ATHLETE 1],Analysis_156148170[[#This Row],[Athletes ]],Game_52147169[PM 12]),SUMIF(Game_52147169[ATHLETE 2],Analysis_156148170[[#This Row],[Athletes ]],Game_52147169[PM 12]),SUMIF(Game_52147169[ATHLETE 3],Analysis_156148170[[#This Row],[Athletes ]],Game_52147169[PM 34]),SUMIF(Game_52147169[ATHLETE 4],Analysis_156148170[[#This Row],[Athletes ]],Game_52147169[PM 34]))</calculatedColumnFormula>
    </tableColumn>
    <tableColumn id="6" xr3:uid="{A4643AEB-8865-E541-A880-64618570A27D}" name="Rank" dataDxfId="2059">
      <calculatedColumnFormula>IF(COUNTBLANK(Game_52147169[[SCORE 1]:[SCORE 2]])=0,IF(RANK(H15,$H$15:$H$19)=1,RANK(H15,$H$15:$H$19)&amp;"st",IF(RANK(H15,$H$15:$H$19)=2,RANK(H15,$H$15:$H$19)&amp;"nd",IF(RANK(H15,$H$15:$H$19)=3,RANK(H15,$H$15:$H$19)&amp;"rd",RANK(H15,$H$15:$H$19)&amp;"th"))),"")</calculatedColumnFormula>
    </tableColumn>
    <tableColumn id="2" xr3:uid="{065EAF27-F49A-A54E-A3A2-126AEB96AC3C}" name="Rank Support" dataDxfId="2058">
      <calculatedColumnFormula>Analysis_156148170[[#This Row],[WIN]]*1000000+Analysis_156148170[[#This Row],[Saldo]]*1000+Analysis_156148170[[#This Row],[PM]]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DFFD9106-F262-F748-8E0F-A7191AC1F0E1}" name="Analysis_1664149171" displayName="Analysis_1664149171" ref="A21:H26" totalsRowShown="0" headerRowDxfId="2057" dataDxfId="2056" headerRowBorderDxfId="2054" tableBorderDxfId="2055" totalsRowBorderDxfId="2053">
  <autoFilter ref="A21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2:G26">
    <sortCondition descending="1" ref="D22:D26"/>
    <sortCondition descending="1" ref="E22:E26"/>
    <sortCondition descending="1" ref="F22:F26"/>
  </sortState>
  <tableColumns count="8">
    <tableColumn id="1" xr3:uid="{4C4EA4BB-FA33-3341-B6A4-AA80188A6B14}" name="Reference" dataDxfId="2052"/>
    <tableColumn id="2" xr3:uid="{2DF82958-6735-564D-A895-5BEC491D695D}" name="Athletes " dataDxfId="2051"/>
    <tableColumn id="7" xr3:uid="{352F5650-267D-394F-A71B-185361933C15}" name="WIN" dataDxfId="2050">
      <calculatedColumnFormula>SUM(COUNTIFS(Game_52147169[ATHLETE 1],Analysis_1664149171[[#This Row],[Athletes ]],Game_52147169[RESULT 12],"win"),COUNTIFS(Game_52147169[ATHLETE 2],Analysis_1664149171[[#This Row],[Athletes ]],Game_52147169[RESULT 12],"win"),COUNTIFS(Game_52147169[ATHLETE 3],Analysis_1664149171[[#This Row],[Athletes ]],Game_52147169[RESULT 34],"win"),COUNTIFS(Game_52147169[ATHLETE 4],Analysis_1664149171[[#This Row],[Athletes ]],Game_52147169[RESULT 34],"win"))</calculatedColumnFormula>
    </tableColumn>
    <tableColumn id="5" xr3:uid="{A5836C5F-B78D-5B42-BE0F-4B778476496A}" name="LOSE" dataDxfId="2049">
      <calculatedColumnFormula>SUM(COUNTIFS(Game_52147169[ATHLETE 1],Analysis_1664149171[[#This Row],[Athletes ]],Game_52147169[RESULT 12],"lose"),COUNTIFS(Game_52147169[ATHLETE 2],Analysis_1664149171[[#This Row],[Athletes ]],Game_52147169[RESULT 12],"lose"),COUNTIFS(Game_52147169[ATHLETE 3],Analysis_1664149171[[#This Row],[Athletes ]],Game_52147169[RESULT 34],"lose"),COUNTIFS(Game_52147169[ATHLETE 4],Analysis_1664149171[[#This Row],[Athletes ]],Game_52147169[RESULT 34],"lose"))</calculatedColumnFormula>
    </tableColumn>
    <tableColumn id="3" xr3:uid="{A01E52CD-B39C-C341-AB0A-2E3EA29B968C}" name="Saldo" dataDxfId="2048">
      <calculatedColumnFormula>SUM(SUMIF(Game_52147169[ATHLETE 1],Analysis_1664149171[[#This Row],[Athletes ]],Game_52147169[SALDO 12]),SUMIF(Game_52147169[ATHLETE 2],Analysis_1664149171[[#This Row],[Athletes ]],Game_52147169[SALDO 12]),SUMIF(Game_52147169[ATHLETE 3],Analysis_1664149171[[#This Row],[Athletes ]],Game_52147169[SALDO 34]),SUMIF(Game_52147169[ATHLETE 4],Analysis_1664149171[[#This Row],[Athletes ]],Game_52147169[SALDO 34]))</calculatedColumnFormula>
    </tableColumn>
    <tableColumn id="4" xr3:uid="{315A7FAD-0A4D-0648-A276-10C4A8469538}" name="PM" dataDxfId="2047">
      <calculatedColumnFormula>SUM(SUMIF(Game_52147169[ATHLETE 1],Analysis_1664149171[[#This Row],[Athletes ]],Game_52147169[PM 12]),SUMIF(Game_52147169[ATHLETE 2],Analysis_1664149171[[#This Row],[Athletes ]],Game_52147169[PM 12]),SUMIF(Game_52147169[ATHLETE 3],Analysis_1664149171[[#This Row],[Athletes ]],Game_52147169[PM 34]),SUMIF(Game_52147169[ATHLETE 4],Analysis_1664149171[[#This Row],[Athletes ]],Game_52147169[PM 34]))</calculatedColumnFormula>
    </tableColumn>
    <tableColumn id="6" xr3:uid="{8BA18FD6-E405-A041-950F-8CE2E9D48DB2}" name="Rank" dataDxfId="2046">
      <calculatedColumnFormula>IF(COUNTBLANK(Game_52147169[[SCORE 1]:[SCORE 2]])=0,IF(RANK(H22,$H$22:$H$26)=1,RANK(H22,$H$22:$H$26)&amp;"st",IF(RANK(H22,$H$22:$H$26)=2,RANK(H22,$H$22:$H$26)&amp;"nd",IF(RANK(H22,$H$22:$H$26)=3,RANK(H22,$H$22:$H$26)&amp;"rd",RANK(H22,$H$22:$H$26)&amp;"th"))),"")</calculatedColumnFormula>
    </tableColumn>
    <tableColumn id="8" xr3:uid="{15B3DFE3-9474-274B-8734-F99F96055068}" name="Rank Support" dataDxfId="2045">
      <calculatedColumnFormula>Analysis_1664149171[[#This Row],[WIN]]*1000000+Analysis_1664149171[[#This Row],[Saldo]]*1000+Analysis_1664149171[[#This Row],[PM]]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D650D50F-915A-A94D-8B91-D27150C1EA79}" name="Table1572235446678468165150176" displayName="Table1572235446678468165150176" ref="T2:U12" totalsRowShown="0" headerRowDxfId="2044" headerRowBorderDxfId="2042" tableBorderDxfId="2043">
  <autoFilter ref="T2:U12" xr:uid="{908C589F-0CD0-4EFE-993D-5B2ECC06D04A}">
    <filterColumn colId="0" hiddenButton="1"/>
    <filterColumn colId="1" hiddenButton="1"/>
  </autoFilter>
  <tableColumns count="2">
    <tableColumn id="1" xr3:uid="{14306667-8CDE-C246-A6C0-DD32CFCFE642}" name="Athlete"/>
    <tableColumn id="2" xr3:uid="{AE270878-D794-6E4B-90F3-419AB7A2246D}" name="Rank" dataDxfId="2041"/>
  </tableColumns>
  <tableStyleInfo name="TableStyleMedium2"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2A750EA-5784-554E-80FE-62D8E62ED402}" name="Game_534" displayName="Game_534" ref="B1:Q11" totalsRowShown="0" headerRowDxfId="2040" dataDxfId="2039" headerRowBorderDxfId="2037" tableBorderDxfId="2038" totalsRowBorderDxfId="2036">
  <autoFilter ref="B1:Q11" xr:uid="{C79D687B-AEB2-42F8-B262-AEDE9265CB48}"/>
  <tableColumns count="16">
    <tableColumn id="3" xr3:uid="{457F57D8-8881-044E-B246-D7C92618CF4F}" name="GROUP" dataDxfId="2035"/>
    <tableColumn id="4" xr3:uid="{09024EDC-8856-8642-AB75-1A9A73005722}" name="ATHLETE 1" dataDxfId="2034"/>
    <tableColumn id="5" xr3:uid="{4DBA8A94-A385-A649-B250-17DF9BED54E5}" name="ATHLETE 2" dataDxfId="2033"/>
    <tableColumn id="8" xr3:uid="{97269E1A-8DA9-8045-8322-09E5ED037AD0}" name="SCORE 1" dataDxfId="2032"/>
    <tableColumn id="9" xr3:uid="{CEF0DFEC-1AE6-6742-886A-7D4A546B194A}" name="SCORE 2" dataDxfId="2031"/>
    <tableColumn id="6" xr3:uid="{8F057959-6580-0C4C-8EAF-2B6F0E4E5B56}" name="ATHLETE 3" dataDxfId="2030"/>
    <tableColumn id="16" xr3:uid="{AAFC8AA1-BE7C-D644-892A-E6AC34DFD3CD}" name="X" dataDxfId="2029"/>
    <tableColumn id="1" xr3:uid="{CDD5378E-5059-5449-BA30-C86F76EC0ABB}" name="Y" dataDxfId="2028"/>
    <tableColumn id="17" xr3:uid="{2F7A2D44-B311-4943-AC3E-F34BE6C355E3}" name="Z" dataDxfId="2027"/>
    <tableColumn id="7" xr3:uid="{E1FE7E0D-471E-5949-A7E5-CFC8490616AA}" name="ATHLETE 4" dataDxfId="2026"/>
    <tableColumn id="10" xr3:uid="{990274E9-B3D5-7F4F-A4A0-387D24FD893F}" name="SALDO 12" dataDxfId="2025">
      <calculatedColumnFormula>IF(OR(Game_534[[#This Row],[SCORE 1]]="",Game_534[[#This Row],[SCORE 2]]=""),"",Game_534[[#This Row],[SCORE 1]]-Game_534[[#This Row],[SCORE 2]])</calculatedColumnFormula>
    </tableColumn>
    <tableColumn id="11" xr3:uid="{1B45B882-5A96-E247-BA78-D243D03AB485}" name="SALDO 34" dataDxfId="2024">
      <calculatedColumnFormula>IF(OR(Game_534[[#This Row],[SCORE 1]]="",Game_534[[#This Row],[SCORE 2]]=""),"",Game_534[[#This Row],[SCORE 2]]-Game_534[[#This Row],[SCORE 1]])</calculatedColumnFormula>
    </tableColumn>
    <tableColumn id="12" xr3:uid="{4FE11E68-D057-4943-BDB2-DA0138B2739B}" name="PM 12" dataDxfId="2023">
      <calculatedColumnFormula>IF(Game_534[[#This Row],[SCORE 1]]="","",Game_534[[#This Row],[SCORE 1]])</calculatedColumnFormula>
    </tableColumn>
    <tableColumn id="13" xr3:uid="{F242E8E9-B4F3-2547-BD4F-5B1927005F6C}" name="PM 34" dataDxfId="2022">
      <calculatedColumnFormula>IF(Game_534[[#This Row],[SCORE 2]]="","",Game_534[[#This Row],[SCORE 2]])</calculatedColumnFormula>
    </tableColumn>
    <tableColumn id="14" xr3:uid="{01ECB5C7-CD03-004A-919D-1C6CF8588D46}" name="RESULT 12" dataDxfId="2021">
      <calculatedColumnFormula>IF(OR(Game_534[[#This Row],[SCORE 1]]="",Game_534[[#This Row],[SCORE 2]]=""),"",IF(Game_534[[#This Row],[SALDO 12]]&gt;0, "WIN","LOSE"))</calculatedColumnFormula>
    </tableColumn>
    <tableColumn id="15" xr3:uid="{442FC8B6-E317-9645-9E2A-BB2900AB07DF}" name="RESULT 34" dataDxfId="2020">
      <calculatedColumnFormula>IF(OR(Game_534[[#This Row],[SCORE 1]]="",Game_534[[#This Row],[SCORE 2]]=""),"",IF(Game_534[[#This Row],[SALDO 34]]&gt;0, "WIN","LOSE"))</calculatedColumnFormula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4018225-C0AA-744D-A0DE-3F2269BC7CB2}" name="Analysis_1535" displayName="Analysis_1535" ref="A14:G19" totalsRowShown="0" headerRowDxfId="2019" dataDxfId="2018" headerRowBorderDxfId="2016" tableBorderDxfId="2017" totalsRowBorderDxfId="2015">
  <autoFilter ref="A14:G1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15:G19">
    <sortCondition descending="1" ref="D15:D19"/>
    <sortCondition descending="1" ref="E15:E19"/>
    <sortCondition descending="1" ref="F15:F19"/>
  </sortState>
  <tableColumns count="7">
    <tableColumn id="7" xr3:uid="{8833290D-C08F-5745-88D5-DA54D0A228B9}" name="Reference" dataDxfId="2014"/>
    <tableColumn id="1" xr3:uid="{BE7613AD-9007-5446-88AA-74F5ED0AD110}" name="Atheletes " dataDxfId="2013"/>
    <tableColumn id="8" xr3:uid="{977F2AD8-322F-CC46-BBE4-80B95DE63E09}" name="WIN" dataDxfId="2012">
      <calculatedColumnFormula>SUM(COUNTIFS(Game_534[ATHLETE 1],Analysis_1535[[#This Row],[Atheletes ]],Game_534[RESULT 12],"win"),COUNTIFS(Game_534[ATHLETE 2],Analysis_1535[[#This Row],[Atheletes ]],Game_534[RESULT 12],"win"),COUNTIFS(Game_534[ATHLETE 3],Analysis_1535[[#This Row],[Atheletes ]],Game_534[RESULT 34],"win"),COUNTIFS(Game_534[ATHLETE 4],Analysis_1535[[#This Row],[Atheletes ]],Game_534[RESULT 34],"win"))</calculatedColumnFormula>
    </tableColumn>
    <tableColumn id="5" xr3:uid="{D6DF3018-D6B4-9949-9152-42574C3B716A}" name="LOSE" dataDxfId="2011">
      <calculatedColumnFormula>SUM(COUNTIFS(Game_534[ATHLETE 1],Analysis_1535[[#This Row],[Atheletes ]],Game_534[RESULT 12],"lose"),COUNTIFS(Game_534[ATHLETE 2],Analysis_1535[[#This Row],[Atheletes ]],Game_534[RESULT 12],"lose"),COUNTIFS(Game_534[ATHLETE 3],Analysis_1535[[#This Row],[Atheletes ]],Game_534[RESULT 34],"lose"),COUNTIFS(Game_534[ATHLETE 4],Analysis_1535[[#This Row],[Atheletes ]],Game_534[RESULT 34],"lose"))</calculatedColumnFormula>
    </tableColumn>
    <tableColumn id="3" xr3:uid="{010DC0D5-8BFF-F342-AB80-C4C1968EDF1B}" name="Saldo" dataDxfId="2010">
      <calculatedColumnFormula>SUM(SUMIF(Game_534[ATHLETE 1],Analysis_1535[[#This Row],[Atheletes ]],Game_534[SALDO 12]),SUMIF(Game_534[ATHLETE 2],Analysis_1535[[#This Row],[Atheletes ]],Game_534[SALDO 12]),SUMIF(Game_534[ATHLETE 3],Analysis_1535[[#This Row],[Atheletes ]],Game_534[SALDO 34]),SUMIF(Game_534[ATHLETE 4],Analysis_1535[[#This Row],[Atheletes ]],Game_534[SALDO 34]))</calculatedColumnFormula>
    </tableColumn>
    <tableColumn id="4" xr3:uid="{B1FBB8AE-2614-EE4F-BEC4-DABC1E10970F}" name="PM" dataDxfId="2009">
      <calculatedColumnFormula>SUM(SUMIF(Game_534[ATHLETE 1],Analysis_1535[[#This Row],[Atheletes ]],Game_534[PM 12]),SUMIF(Game_534[ATHLETE 2],Analysis_1535[[#This Row],[Atheletes ]],Game_534[PM 12]),SUMIF(Game_534[ATHLETE 3],Analysis_1535[[#This Row],[Atheletes ]],Game_534[PM 34]),SUMIF(Game_534[ATHLETE 4],Analysis_1535[[#This Row],[Atheletes ]],Game_534[PM 34]))</calculatedColumnFormula>
    </tableColumn>
    <tableColumn id="6" xr3:uid="{BDC3CF3B-46F8-1546-83C1-60EE972B33EB}" name="Rank" dataDxfId="2008">
      <calculatedColumnFormula>IF(COUNTBLANK(Game_534[[SCORE 1]:[SCORE 2]])=0,IF(RANK(H15,$H$15:$H$19)=1,RANK(H15,$H$15:$H$19)&amp;"st",IF(RANK(H15,$H$15:$H$19)=2,RANK(H15,$H$15:$H$19)&amp;"nd",IF(RANK(H15,$H$15:$H$19)=3,RANK(H15,$H$15:$H$19)&amp;"rd",RANK(H15,$H$15:$H$19)&amp;"th"))),"")</calculatedColumnFormula>
    </tableColumn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35DD5DD-0784-0241-B294-82029DD704A0}" name="Analysis_1636" displayName="Analysis_1636" ref="A21:G26" totalsRowShown="0" headerRowDxfId="2007" dataDxfId="2006" headerRowBorderDxfId="2004" tableBorderDxfId="2005" totalsRowBorderDxfId="2003">
  <autoFilter ref="A21:G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2:G26">
    <sortCondition descending="1" ref="D22:D26"/>
    <sortCondition descending="1" ref="E22:E26"/>
    <sortCondition descending="1" ref="F22:F26"/>
  </sortState>
  <tableColumns count="7">
    <tableColumn id="1" xr3:uid="{8F22D4DC-8E32-C74A-8EE7-F7DF39A6F8B6}" name="Reference" dataDxfId="2002"/>
    <tableColumn id="2" xr3:uid="{2AA7AB03-22D9-E940-ACB5-34A0D5CF65DC}" name="Atheletes " dataDxfId="2001"/>
    <tableColumn id="7" xr3:uid="{02F737D0-0871-9B46-85E8-4441C4462165}" name="WIN" dataDxfId="2000">
      <calculatedColumnFormula>SUM(COUNTIFS(Game_534[ATHLETE 1],Analysis_1636[[#This Row],[Atheletes ]],Game_534[RESULT 12],"win"),COUNTIFS(Game_534[ATHLETE 2],Analysis_1636[[#This Row],[Atheletes ]],Game_534[RESULT 12],"win"),COUNTIFS(Game_534[ATHLETE 3],Analysis_1636[[#This Row],[Atheletes ]],Game_534[RESULT 34],"win"),COUNTIFS(Game_534[ATHLETE 4],Analysis_1636[[#This Row],[Atheletes ]],Game_534[RESULT 34],"win"))</calculatedColumnFormula>
    </tableColumn>
    <tableColumn id="5" xr3:uid="{67815A67-935F-9F4A-BD70-5C308A7E356C}" name="LOSE" dataDxfId="1999">
      <calculatedColumnFormula>SUM(COUNTIFS(Game_534[ATHLETE 1],Analysis_1636[[#This Row],[Atheletes ]],Game_534[RESULT 12],"lose"),COUNTIFS(Game_534[ATHLETE 2],Analysis_1636[[#This Row],[Atheletes ]],Game_534[RESULT 12],"lose"),COUNTIFS(Game_534[ATHLETE 3],Analysis_1636[[#This Row],[Atheletes ]],Game_534[RESULT 34],"lose"),COUNTIFS(Game_534[ATHLETE 4],Analysis_1636[[#This Row],[Atheletes ]],Game_534[RESULT 34],"lose"))</calculatedColumnFormula>
    </tableColumn>
    <tableColumn id="3" xr3:uid="{F1BA87F7-B02C-B547-8E09-3D2533105126}" name="Saldo" dataDxfId="1998">
      <calculatedColumnFormula>SUM(SUMIF(Game_534[ATHLETE 1],Analysis_1636[[#This Row],[Atheletes ]],Game_534[SALDO 12]),SUMIF(Game_534[ATHLETE 2],Analysis_1636[[#This Row],[Atheletes ]],Game_534[SALDO 12]),SUMIF(Game_534[ATHLETE 3],Analysis_1636[[#This Row],[Atheletes ]],Game_534[SALDO 34]),SUMIF(Game_534[ATHLETE 4],Analysis_1636[[#This Row],[Atheletes ]],Game_534[SALDO 34]))</calculatedColumnFormula>
    </tableColumn>
    <tableColumn id="4" xr3:uid="{7B94EBDE-5502-FC49-BE71-A42135704169}" name="PM" dataDxfId="1997">
      <calculatedColumnFormula>SUM(SUMIF(Game_534[ATHLETE 1],Analysis_1636[[#This Row],[Atheletes ]],Game_534[PM 12]),SUMIF(Game_534[ATHLETE 2],Analysis_1636[[#This Row],[Atheletes ]],Game_534[PM 12]),SUMIF(Game_534[ATHLETE 3],Analysis_1636[[#This Row],[Atheletes ]],Game_534[PM 34]),SUMIF(Game_534[ATHLETE 4],Analysis_1636[[#This Row],[Atheletes ]],Game_534[PM 34]))</calculatedColumnFormula>
    </tableColumn>
    <tableColumn id="6" xr3:uid="{13B6D82C-8289-0043-9EAD-1DA1FF736182}" name="Rank" dataDxfId="1996">
      <calculatedColumnFormula>IF(COUNTBLANK(Game_534[[SCORE 1]:[SCORE 2]])=0,IF(RANK(H22,$H$22:$H$26)=1,RANK(H22,$H$22:$H$26)&amp;"st",IF(RANK(H22,$H$22:$H$26)=2,RANK(H22,$H$22:$H$26)&amp;"nd",IF(RANK(H22,$H$22:$H$26)=3,RANK(H22,$H$22:$H$26)&amp;"rd",RANK(H22,$H$22:$H$26)&amp;"th"))),"")</calculatedColumnFormula>
    </tableColumn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84E1077-F120-BF45-9519-0289C5FBFCED}" name="Table1572235446678468137" displayName="Table1572235446678468137" ref="S2:T12" totalsRowShown="0" headerRowDxfId="1995" headerRowBorderDxfId="1993" tableBorderDxfId="1994">
  <autoFilter ref="S2:T12" xr:uid="{908C589F-0CD0-4EFE-993D-5B2ECC06D04A}">
    <filterColumn colId="0" hiddenButton="1"/>
    <filterColumn colId="1" hiddenButton="1"/>
  </autoFilter>
  <tableColumns count="2">
    <tableColumn id="1" xr3:uid="{852AC3D8-0C26-DF40-8122-1F4E7777F3FA}" name="Athlete"/>
    <tableColumn id="2" xr3:uid="{87653FD1-6448-6748-9B58-B198995459DD}" name="Rank" dataDxfId="1992"/>
  </tableColumns>
  <tableStyleInfo name="TableStyleMedium2"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A9F2A2-9267-F043-81C7-729028BF0845}" name="Table4101317251247545298684168" displayName="Table4101317251247545298684168" ref="B1:R10" totalsRowShown="0" headerRowDxfId="1991" dataDxfId="1990" headerRowBorderDxfId="1988" tableBorderDxfId="1989" totalsRowBorderDxfId="1987">
  <autoFilter ref="B1:R10" xr:uid="{C79D687B-AEB2-42F8-B262-AEDE9265CB48}"/>
  <tableColumns count="17">
    <tableColumn id="3" xr3:uid="{FD689A73-0335-5049-984B-E06104034F3D}" name="GROUP" dataDxfId="1986"/>
    <tableColumn id="4" xr3:uid="{DA47C0EC-AB4F-3F42-9168-262C0981A805}" name="ATHLETE 1" dataDxfId="1985"/>
    <tableColumn id="5" xr3:uid="{83D12091-C99D-A84B-B3F6-A7A8739DB181}" name="ATHLETE 2" dataDxfId="1984"/>
    <tableColumn id="8" xr3:uid="{03004BE4-210D-6744-B975-A1E180A9683A}" name="SCORE 1" dataDxfId="1983"/>
    <tableColumn id="9" xr3:uid="{34AB273E-08C5-1A45-AE02-994691945A14}" name="SCORE 2" dataDxfId="1982"/>
    <tableColumn id="6" xr3:uid="{26B786B3-9F58-FC4A-9DF3-6A8548E2310A}" name="ATHLETE 3" dataDxfId="1981"/>
    <tableColumn id="17" xr3:uid="{69CBDB32-9A7F-434C-B16B-4EB9BE073995}" name="X" dataDxfId="1980"/>
    <tableColumn id="16" xr3:uid="{5D32FB73-914E-8443-A8C6-F22016056626}" name="Y" dataDxfId="1979"/>
    <tableColumn id="2" xr3:uid="{66542898-8AE4-2D48-ACFC-ED152DCB4B86}" name="Z" dataDxfId="1978"/>
    <tableColumn id="1" xr3:uid="{AE44C7BA-EA7E-7E4B-A9A0-2D940E791D45}" name="A" dataDxfId="1977"/>
    <tableColumn id="7" xr3:uid="{F76B8509-BB56-7B4A-98B2-EFE68B2CCB18}" name="ATHLETE 4" dataDxfId="1976"/>
    <tableColumn id="10" xr3:uid="{56D06335-2D74-F14D-B57E-E0CF2F5A2924}" name="SALDO 12" dataDxfId="1975">
      <calculatedColumnFormula>IF(OR(Table4101317251247545298684168[[#This Row],[SCORE 1]]="",Table4101317251247545298684168[[#This Row],[SCORE 2]]=""),"",Table4101317251247545298684168[[#This Row],[SCORE 1]]-Table4101317251247545298684168[[#This Row],[SCORE 2]])</calculatedColumnFormula>
    </tableColumn>
    <tableColumn id="11" xr3:uid="{82F0FB55-5C14-D54E-ABF8-59D0FC2B5058}" name="SALDO 34" dataDxfId="1974">
      <calculatedColumnFormula>IF(OR(Table4101317251247545298684168[[#This Row],[SCORE 1]]="",Table4101317251247545298684168[[#This Row],[SCORE 2]]=""),"",Table4101317251247545298684168[[#This Row],[SCORE 2]]-Table4101317251247545298684168[[#This Row],[SCORE 1]])</calculatedColumnFormula>
    </tableColumn>
    <tableColumn id="12" xr3:uid="{B0477C0F-C7F2-174D-B556-750216864B1F}" name="PM 12" dataDxfId="1973">
      <calculatedColumnFormula>IF(Table4101317251247545298684168[[#This Row],[SCORE 1]]="","",Table4101317251247545298684168[[#This Row],[SCORE 1]])</calculatedColumnFormula>
    </tableColumn>
    <tableColumn id="13" xr3:uid="{C88215AB-FF89-EC4D-9984-C2FA5771FA14}" name="PM 34" dataDxfId="1972">
      <calculatedColumnFormula>IF(Table4101317251247545298684168[[#This Row],[SCORE 2]]="","",Table4101317251247545298684168[[#This Row],[SCORE 2]])</calculatedColumnFormula>
    </tableColumn>
    <tableColumn id="14" xr3:uid="{4046D9EA-AA0D-A541-9405-8CD3A310254D}" name="RESULT 12" dataDxfId="1971">
      <calculatedColumnFormula>IF(OR(Table4101317251247545298684168[[#This Row],[SCORE 1]]="",Table4101317251247545298684168[[#This Row],[SCORE 2]]=""),"",IF(Table4101317251247545298684168[[#This Row],[SALDO 12]]&gt;0, "WIN","LOSE"))</calculatedColumnFormula>
    </tableColumn>
    <tableColumn id="15" xr3:uid="{0AAFD360-0929-A24E-977D-9214819E8CAC}" name="RESULT 34" dataDxfId="1970">
      <calculatedColumnFormula>IF(OR(Table4101317251247545298684168[[#This Row],[SCORE 1]]="",Table4101317251247545298684168[[#This Row],[SCORE 2]]=""),"",IF(Table4101317251247545298684168[[#This Row],[SALDO 34]]&gt;0, "WIN","LOSE"))</calculatedColumnFormula>
    </tableColumn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34D2D592-611B-9141-91D3-48C0EB0EDB3B}" name="Table36111418263048555399694369" displayName="Table36111418263048555399694369" ref="A13:H17" totalsRowShown="0" headerRowDxfId="1969" dataDxfId="1968" headerRowBorderDxfId="1966" tableBorderDxfId="1967" totalsRowBorderDxfId="1965">
  <autoFilter ref="A13:H17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4:G17">
    <sortCondition descending="1" ref="D14:D17"/>
    <sortCondition descending="1" ref="E14:E17"/>
    <sortCondition descending="1" ref="F14:F17"/>
  </sortState>
  <tableColumns count="8">
    <tableColumn id="7" xr3:uid="{0A0A3716-BB1C-F74D-9F8D-8BE73A7A2420}" name="Group" dataDxfId="1964"/>
    <tableColumn id="1" xr3:uid="{E035D148-7131-8F40-BF60-4A5B39A75914}" name="Athletes" dataDxfId="1963"/>
    <tableColumn id="8" xr3:uid="{2CDC1EB7-F300-454F-9667-6255161B7409}" name="WIN" dataDxfId="1962">
      <calculatedColumnFormula>SUM(COUNTIFS(Table4101317251247545298684168[ATHLETE 1],Table36111418263048555399694369[[#This Row],[Athletes]],Table4101317251247545298684168[RESULT 12],Table36111418263048555399694369[[#Headers],[WIN]]),COUNTIFS(Table4101317251247545298684168[ATHLETE 2],Table36111418263048555399694369[[#This Row],[Athletes]],Table4101317251247545298684168[RESULT 12],Table36111418263048555399694369[[#Headers],[WIN]]),COUNTIFS(Table4101317251247545298684168[ATHLETE 3],Table36111418263048555399694369[[#This Row],[Athletes]],Table4101317251247545298684168[RESULT 34],Table36111418263048555399694369[[#Headers],[WIN]]),COUNTIFS(Table4101317251247545298684168[ATHLETE 4],Table36111418263048555399694369[[#This Row],[Athletes]],Table4101317251247545298684168[RESULT 34],Table36111418263048555399694369[[#Headers],[WIN]]))</calculatedColumnFormula>
    </tableColumn>
    <tableColumn id="5" xr3:uid="{C62ECF6D-4ECF-A14B-96F1-4F86A44CB1DD}" name="LOSE" dataDxfId="1961">
      <calculatedColumnFormula>SUM(COUNTIFS(Table4101317251247545298684168[ATHLETE 1],Table36111418263048555399694369[[#This Row],[Athletes]],Table4101317251247545298684168[RESULT 12],Table36111418263048555399694369[[#Headers],[LOSE]]),COUNTIFS(Table4101317251247545298684168[ATHLETE 2],Table36111418263048555399694369[[#This Row],[Athletes]],Table4101317251247545298684168[RESULT 12],Table36111418263048555399694369[[#Headers],[LOSE]]),COUNTIFS(Table4101317251247545298684168[ATHLETE 3],Table36111418263048555399694369[[#This Row],[Athletes]],Table4101317251247545298684168[RESULT 34],Table36111418263048555399694369[[#Headers],[LOSE]]),COUNTIFS(Table4101317251247545298684168[ATHLETE 4],Table36111418263048555399694369[[#This Row],[Athletes]],Table4101317251247545298684168[RESULT 34],Table36111418263048555399694369[[#Headers],[LOSE]]))</calculatedColumnFormula>
    </tableColumn>
    <tableColumn id="3" xr3:uid="{8E45523F-4BA6-7440-8A53-401DBDD92D13}" name="Saldo" dataDxfId="1960">
      <calculatedColumnFormula>SUM(SUMIF(Table4101317251247545298684168[ATHLETE 1],Table36111418263048555399694369[[#This Row],[Athletes]],Table4101317251247545298684168[SALDO 12]),SUMIF(Table4101317251247545298684168[ATHLETE 2],Table36111418263048555399694369[[#This Row],[Athletes]],Table4101317251247545298684168[SALDO 12]),SUMIF(Table4101317251247545298684168[ATHLETE 3],Table36111418263048555399694369[[#This Row],[Athletes]],Table4101317251247545298684168[SALDO 34]),SUMIF(Table4101317251247545298684168[ATHLETE 4],Table36111418263048555399694369[[#This Row],[Athletes]],Table4101317251247545298684168[SALDO 34]))</calculatedColumnFormula>
    </tableColumn>
    <tableColumn id="4" xr3:uid="{753A40C8-F7E1-9A46-AB6A-0789BA536F50}" name="PM" dataDxfId="1959">
      <calculatedColumnFormula>SUM(SUMIF(Table4101317251247545298684168[ATHLETE 1],Table36111418263048555399694369[[#This Row],[Athletes]],Table4101317251247545298684168[PM 12]),SUMIF(Table4101317251247545298684168[ATHLETE 2],Table36111418263048555399694369[[#This Row],[Athletes]],Table4101317251247545298684168[PM 12]),SUMIF(Table4101317251247545298684168[ATHLETE 3],Table36111418263048555399694369[[#This Row],[Athletes]],Table4101317251247545298684168[PM 34]),SUMIF(Table4101317251247545298684168[ATHLETE 4],Table36111418263048555399694369[[#This Row],[Athletes]],Table4101317251247545298684168[PM 34]))</calculatedColumnFormula>
    </tableColumn>
    <tableColumn id="6" xr3:uid="{0E473AFC-97F8-4243-A04E-5C8F242FBD33}" name="Rank" dataDxfId="1958">
      <calculatedColumnFormula>IF(COUNTBLANK(Table4101317251247545298684168[[SCORE 1]:[SCORE 2]])=0,IF(RANK(H14,$H$14:$H$17)=1,RANK(H14,$H$14:$H$17)&amp;"st",IF(RANK(H14,$H$14:$H$17)=2,RANK(H14,$H$14:$H$17)&amp;"nd",RANK(H14,$H$14:$H$17)&amp;"th")),"")</calculatedColumnFormula>
    </tableColumn>
    <tableColumn id="2" xr3:uid="{3A4E346C-DDD4-8846-A0A9-4CCC31C57631}" name="Rank support" dataDxfId="1957">
      <calculatedColumnFormula>Table36111418263048555399694369[[#This Row],[WIN]]*1000000+Table36111418263048555399694369[[#This Row],[Saldo]]*1000+Table36111418263048555399694369[[#This Row],[PM]]</calculatedColumnFormula>
    </tableColumn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964D4581-A2CC-A243-A5A8-9A06FCB0259F}" name="Table61215192731495671100704470" displayName="Table61215192731495671100704470" ref="A19:H23" totalsRowShown="0" headerRowDxfId="1956" dataDxfId="1955" headerRowBorderDxfId="1953" tableBorderDxfId="1954" totalsRowBorderDxfId="1952">
  <autoFilter ref="A19:H23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0:G23">
    <sortCondition descending="1" ref="D20:D23"/>
    <sortCondition descending="1" ref="E20:E23"/>
    <sortCondition descending="1" ref="F20:F23"/>
  </sortState>
  <tableColumns count="8">
    <tableColumn id="1" xr3:uid="{51A49C0C-E5A6-4649-BD3E-82A69C488873}" name="Group" dataDxfId="1951"/>
    <tableColumn id="2" xr3:uid="{8F2EEE24-A024-EE42-B07C-42D5A91CCF7D}" name="Athletes" dataDxfId="1950"/>
    <tableColumn id="7" xr3:uid="{FFE00561-F0FA-484A-86F0-755A57781798}" name="WIN" dataDxfId="1949">
      <calculatedColumnFormula>SUM(COUNTIFS(Table4101317251247545298684168[ATHLETE 1],Table61215192731495671100704470[[#This Row],[Athletes]],Table4101317251247545298684168[RESULT 12],Table36111418263048555399694369[[#Headers],[WIN]]),COUNTIFS(Table4101317251247545298684168[ATHLETE 2],Table61215192731495671100704470[[#This Row],[Athletes]],Table4101317251247545298684168[RESULT 12],Table36111418263048555399694369[[#Headers],[WIN]]),COUNTIFS(Table4101317251247545298684168[ATHLETE 3],Table61215192731495671100704470[[#This Row],[Athletes]],Table4101317251247545298684168[RESULT 34],Table36111418263048555399694369[[#Headers],[WIN]]),COUNTIFS(Table4101317251247545298684168[ATHLETE 4],Table61215192731495671100704470[[#This Row],[Athletes]],Table4101317251247545298684168[RESULT 34],Table36111418263048555399694369[[#Headers],[WIN]]))</calculatedColumnFormula>
    </tableColumn>
    <tableColumn id="5" xr3:uid="{098DF9F4-06B1-884D-B674-E8FD1DB01C4A}" name="LOSE" dataDxfId="1948">
      <calculatedColumnFormula>SUM(COUNTIFS(Table4101317251247545298684168[ATHLETE 1],Table61215192731495671100704470[[#This Row],[Athletes]],Table4101317251247545298684168[RESULT 12],Table36111418263048555399694369[[#Headers],[LOSE]]),COUNTIFS(Table4101317251247545298684168[ATHLETE 2],Table61215192731495671100704470[[#This Row],[Athletes]],Table4101317251247545298684168[RESULT 12],Table36111418263048555399694369[[#Headers],[LOSE]]),COUNTIFS(Table4101317251247545298684168[ATHLETE 3],Table61215192731495671100704470[[#This Row],[Athletes]],Table4101317251247545298684168[RESULT 34],Table36111418263048555399694369[[#Headers],[LOSE]]),COUNTIFS(Table4101317251247545298684168[ATHLETE 4],Table61215192731495671100704470[[#This Row],[Athletes]],Table4101317251247545298684168[RESULT 34],Table36111418263048555399694369[[#Headers],[LOSE]]))</calculatedColumnFormula>
    </tableColumn>
    <tableColumn id="3" xr3:uid="{CA12D34E-28A6-624D-9B1E-289348088550}" name="Saldo" dataDxfId="1947">
      <calculatedColumnFormula>SUM(SUMIF(Table4101317251247545298684168[ATHLETE 1],Table61215192731495671100704470[[#This Row],[Athletes]],Table4101317251247545298684168[SALDO 12]),SUMIF(Table4101317251247545298684168[ATHLETE 2],Table61215192731495671100704470[[#This Row],[Athletes]],Table4101317251247545298684168[SALDO 12]),SUMIF(Table4101317251247545298684168[ATHLETE 3],Table61215192731495671100704470[[#This Row],[Athletes]],Table4101317251247545298684168[SALDO 34]),SUMIF(Table4101317251247545298684168[ATHLETE 4],Table61215192731495671100704470[[#This Row],[Athletes]],Table4101317251247545298684168[SALDO 34]))</calculatedColumnFormula>
    </tableColumn>
    <tableColumn id="4" xr3:uid="{824BD137-BCBC-4140-9D5A-7A9C49BF8F58}" name="PM" dataDxfId="1946">
      <calculatedColumnFormula>SUM(SUMIF(Table4101317251247545298684168[ATHLETE 1],Table61215192731495671100704470[[#This Row],[Athletes]],Table4101317251247545298684168[PM 12]),SUMIF(Table4101317251247545298684168[ATHLETE 2],Table61215192731495671100704470[[#This Row],[Athletes]],Table4101317251247545298684168[PM 12]),SUMIF(Table4101317251247545298684168[ATHLETE 3],Table61215192731495671100704470[[#This Row],[Athletes]],Table4101317251247545298684168[PM 34]),SUMIF(Table4101317251247545298684168[ATHLETE 4],Table61215192731495671100704470[[#This Row],[Athletes]],Table4101317251247545298684168[PM 34]))</calculatedColumnFormula>
    </tableColumn>
    <tableColumn id="6" xr3:uid="{FF0EF04F-B878-EC4B-9DF7-3DF8AA34ABF3}" name="Rank" dataDxfId="1945">
      <calculatedColumnFormula>IF(COUNTBLANK(Table4101317251247545298684168[[SCORE 1]:[SCORE 2]])=0,IF(RANK(H20,$H$20:$H$23)=1,RANK(H20,$H$20:$H$23)&amp;"st",IF(RANK(H20,$H$20:$H$23)=2,RANK(H20,$H$20:$H$23)&amp;"nd",RANK(H20,$H$20:$H$23)&amp;"th")),"")</calculatedColumnFormula>
    </tableColumn>
    <tableColumn id="8" xr3:uid="{3D6D4350-0537-F54C-A228-2CF876CC3927}" name="Rank support" dataDxfId="1944">
      <calculatedColumnFormula>Table61215192731495671100704470[[#This Row],[WIN]]*1000000+Table61215192731495671100704470[[#This Row],[Saldo]]*1000+Table61215192731495671100704470[[#This Row],[PM]]</calculatedColumnFormula>
    </tableColumn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9288F99-EE7E-0945-98A8-2414DF694F37}" name="Table15202832506072101714571" displayName="Table15202832506072101714571" ref="T2:U14" totalsRowShown="0" headerRowDxfId="1943" dataDxfId="1942" headerRowBorderDxfId="1940" tableBorderDxfId="1941">
  <autoFilter ref="T2:U14" xr:uid="{908C589F-0CD0-4EFE-993D-5B2ECC06D04A}">
    <filterColumn colId="0" hiddenButton="1"/>
    <filterColumn colId="1" hiddenButton="1"/>
  </autoFilter>
  <tableColumns count="2">
    <tableColumn id="1" xr3:uid="{CB7943A7-0E55-EB46-ADA4-39E428DB74AD}" name="Athlete" dataDxfId="1939"/>
    <tableColumn id="2" xr3:uid="{EFC6737C-C40D-9D4C-95DC-82D432A2468D}" name="Rank" dataDxfId="1938"/>
  </tableColumns>
  <tableStyleInfo name="TableStyleMedium2"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74C05D78-11CE-484F-AE25-4BF77EA3D058}" name="Table6121519272933516273102726272" displayName="Table6121519272933516273102726272" ref="A25:H29" totalsRowShown="0" headerRowDxfId="1937" dataDxfId="1936" headerRowBorderDxfId="1934" tableBorderDxfId="1935" totalsRowBorderDxfId="1933">
  <autoFilter ref="A25:H29" xr:uid="{C1D8D95A-3D53-41E8-AABC-9D152E7B02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6:G29">
    <sortCondition descending="1" ref="D20:D23"/>
    <sortCondition descending="1" ref="E20:E23"/>
    <sortCondition descending="1" ref="F20:F23"/>
  </sortState>
  <tableColumns count="8">
    <tableColumn id="1" xr3:uid="{AB58F6D2-62BE-4847-80FB-B1B44E87B90F}" name="Group" dataDxfId="1932"/>
    <tableColumn id="2" xr3:uid="{DF8CC0B3-BC8C-BB4D-810E-EA51570AE432}" name="Athletes" dataDxfId="1931"/>
    <tableColumn id="7" xr3:uid="{7B32F7F4-24CE-0047-B750-E18F8A617F60}" name="WIN" dataDxfId="1930">
      <calculatedColumnFormula>SUM(COUNTIFS(Table4101317251247545298684168[ATHLETE 1],Table6121519272933516273102726272[[#This Row],[Athletes]],Table4101317251247545298684168[RESULT 12],Table36111418263048555399694369[[#Headers],[WIN]]),COUNTIFS(Table4101317251247545298684168[ATHLETE 2],Table6121519272933516273102726272[[#This Row],[Athletes]],Table4101317251247545298684168[RESULT 12],Table36111418263048555399694369[[#Headers],[WIN]]),COUNTIFS(Table4101317251247545298684168[ATHLETE 3],Table6121519272933516273102726272[[#This Row],[Athletes]],Table4101317251247545298684168[RESULT 34],Table36111418263048555399694369[[#Headers],[WIN]]),COUNTIFS(Table4101317251247545298684168[ATHLETE 4],Table6121519272933516273102726272[[#This Row],[Athletes]],Table4101317251247545298684168[RESULT 34],Table36111418263048555399694369[[#Headers],[WIN]]))</calculatedColumnFormula>
    </tableColumn>
    <tableColumn id="5" xr3:uid="{186EC598-B94D-814D-A5F6-0F779735EC13}" name="LOSE" dataDxfId="1929">
      <calculatedColumnFormula>SUM(COUNTIFS(Table4101317251247545298684168[ATHLETE 1],Table6121519272933516273102726272[[#This Row],[Athletes]],Table4101317251247545298684168[RESULT 12],Table36111418263048555399694369[[#Headers],[LOSE]]),COUNTIFS(Table4101317251247545298684168[ATHLETE 2],Table6121519272933516273102726272[[#This Row],[Athletes]],Table4101317251247545298684168[RESULT 12],Table36111418263048555399694369[[#Headers],[LOSE]]),COUNTIFS(Table4101317251247545298684168[ATHLETE 3],Table6121519272933516273102726272[[#This Row],[Athletes]],Table4101317251247545298684168[RESULT 34],Table36111418263048555399694369[[#Headers],[LOSE]]),COUNTIFS(Table4101317251247545298684168[ATHLETE 4],Table6121519272933516273102726272[[#This Row],[Athletes]],Table4101317251247545298684168[RESULT 34],Table36111418263048555399694369[[#Headers],[LOSE]]))</calculatedColumnFormula>
    </tableColumn>
    <tableColumn id="3" xr3:uid="{563D2061-712E-B54A-9CCC-C8673883A4E3}" name="Saldo" dataDxfId="1928">
      <calculatedColumnFormula>SUM(SUMIF(Table4101317251247545298684168[ATHLETE 1],Table6121519272933516273102726272[[#This Row],[Athletes]],Table4101317251247545298684168[SALDO 12]),SUMIF(Table4101317251247545298684168[ATHLETE 2],Table6121519272933516273102726272[[#This Row],[Athletes]],Table4101317251247545298684168[SALDO 12]),SUMIF(Table4101317251247545298684168[ATHLETE 3],Table6121519272933516273102726272[[#This Row],[Athletes]],Table4101317251247545298684168[SALDO 34]),SUMIF(Table4101317251247545298684168[ATHLETE 4],Table6121519272933516273102726272[[#This Row],[Athletes]],Table4101317251247545298684168[SALDO 34]))</calculatedColumnFormula>
    </tableColumn>
    <tableColumn id="4" xr3:uid="{1BDE7795-0FBB-884A-B19B-4B0F1A90494B}" name="PM" dataDxfId="1927">
      <calculatedColumnFormula>SUM(SUMIF(Table4101317251247545298684168[ATHLETE 1],Table6121519272933516273102726272[[#This Row],[Athletes]],Table4101317251247545298684168[PM 12]),SUMIF(Table4101317251247545298684168[ATHLETE 2],Table6121519272933516273102726272[[#This Row],[Athletes]],Table4101317251247545298684168[PM 12]),SUMIF(Table4101317251247545298684168[ATHLETE 3],Table6121519272933516273102726272[[#This Row],[Athletes]],Table4101317251247545298684168[PM 34]),SUMIF(Table4101317251247545298684168[ATHLETE 4],Table6121519272933516273102726272[[#This Row],[Athletes]],Table4101317251247545298684168[PM 34]))</calculatedColumnFormula>
    </tableColumn>
    <tableColumn id="6" xr3:uid="{10AFDC25-E10F-3B45-A117-D1F5594D1704}" name="Rank" dataDxfId="1926">
      <calculatedColumnFormula>IF(COUNTBLANK(Table4101317251247545298684168[[SCORE 1]:[SCORE 2]])=0,IF(RANK(H26,$H$26:$H$29)=1,RANK(H26,$H$26:$H$29)&amp;"st",IF(RANK(H26,$H$26:$H$29)=2,RANK(H26,$H$26:$H$29)&amp;"nd",RANK(H26,$H$26:$H$29)&amp;"th")),"")</calculatedColumnFormula>
    </tableColumn>
    <tableColumn id="8" xr3:uid="{3A3604E0-DA92-5647-9CD1-E035A20DF45E}" name="Rank support" dataDxfId="1925">
      <calculatedColumnFormula>Table6121519272933516273102726272[[#This Row],[WIN]]*1000000+Table6121519272933516273102726272[[#This Row],[Saldo]]*1000+Table6121519272933516273102726272[[#This Row],[PM]]</calculatedColumnFormula>
    </tableColumn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34FB29E6-B32F-8544-8BC5-D619DBDCACDE}" name="Game_52147" displayName="Game_52147" ref="B1:R11" totalsRowShown="0" headerRowDxfId="1924" dataDxfId="1923" headerRowBorderDxfId="1921" tableBorderDxfId="1922" totalsRowBorderDxfId="1920">
  <autoFilter ref="B1:R11" xr:uid="{C79D687B-AEB2-42F8-B262-AEDE9265CB48}"/>
  <tableColumns count="17">
    <tableColumn id="3" xr3:uid="{89DD1D4A-83CD-1344-BAC4-BEB6D621F721}" name="GROUP" dataDxfId="1919"/>
    <tableColumn id="4" xr3:uid="{BF1B923A-4152-8B46-8EA3-89869180C705}" name="ATHLETE 1" dataDxfId="1918"/>
    <tableColumn id="5" xr3:uid="{B429D1DC-01BA-7748-B941-57D81D395AD6}" name="ATHLETE 2" dataDxfId="1917"/>
    <tableColumn id="8" xr3:uid="{96F55712-D436-5E49-B878-D046FD080CFB}" name="SCORE 1" dataDxfId="1916"/>
    <tableColumn id="9" xr3:uid="{11F90C86-B8CD-184F-81E1-9FA05FF1F8F3}" name="SCORE 2" dataDxfId="1915"/>
    <tableColumn id="6" xr3:uid="{B34525BE-D032-3047-8B99-9235E8164E46}" name="ATHLETE 3" dataDxfId="1914"/>
    <tableColumn id="16" xr3:uid="{ADCC83B6-9FA4-2A4B-9D10-8A26FAC16F1E}" name="X" dataDxfId="1913"/>
    <tableColumn id="1" xr3:uid="{AF2CBE2C-0E71-664C-8496-D70A9597E852}" name="Y" dataDxfId="1912"/>
    <tableColumn id="17" xr3:uid="{7FA767F9-FCA3-174B-9632-B85D1080A290}" name="Z" dataDxfId="1911"/>
    <tableColumn id="18" xr3:uid="{D1210157-0F71-4F42-A521-B4A17F1EBFAF}" name="A" dataDxfId="1910"/>
    <tableColumn id="7" xr3:uid="{C1517800-E9CD-ED46-A98A-66BC2E1D6BFA}" name="ATHLETE 4" dataDxfId="1909"/>
    <tableColumn id="10" xr3:uid="{21DD6EFC-6849-514A-8B74-0583C8DAAD1E}" name="SALDO 12" dataDxfId="1908">
      <calculatedColumnFormula>IF(OR(Game_52147[[#This Row],[SCORE 1]]="",Game_52147[[#This Row],[SCORE 2]]=""),"",Game_52147[[#This Row],[SCORE 1]]-Game_52147[[#This Row],[SCORE 2]])</calculatedColumnFormula>
    </tableColumn>
    <tableColumn id="11" xr3:uid="{B840CB9C-161A-8A49-A9E9-CB4061B22B99}" name="SALDO 34" dataDxfId="1907">
      <calculatedColumnFormula>IF(OR(Game_52147[[#This Row],[SCORE 1]]="",Game_52147[[#This Row],[SCORE 2]]=""),"",Game_52147[[#This Row],[SCORE 2]]-Game_52147[[#This Row],[SCORE 1]])</calculatedColumnFormula>
    </tableColumn>
    <tableColumn id="12" xr3:uid="{14D5B3F9-9673-5641-99F3-00D6EBE84F88}" name="PM 12" dataDxfId="1906">
      <calculatedColumnFormula>IF(Game_52147[[#This Row],[SCORE 1]]="","",Game_52147[[#This Row],[SCORE 1]])</calculatedColumnFormula>
    </tableColumn>
    <tableColumn id="13" xr3:uid="{81728C3D-4657-0042-959E-8C116661D4DC}" name="PM 34" dataDxfId="1905">
      <calculatedColumnFormula>IF(Game_52147[[#This Row],[SCORE 2]]="","",Game_52147[[#This Row],[SCORE 2]])</calculatedColumnFormula>
    </tableColumn>
    <tableColumn id="14" xr3:uid="{4681695E-4893-B848-A338-2F2808C0AAEF}" name="RESULT 12" dataDxfId="1904">
      <calculatedColumnFormula>IF(OR(Game_52147[[#This Row],[SCORE 1]]="",Game_52147[[#This Row],[SCORE 2]]=""),"",IF(Game_52147[[#This Row],[SALDO 12]]&gt;0, "WIN","LOSE"))</calculatedColumnFormula>
    </tableColumn>
    <tableColumn id="15" xr3:uid="{45F46EEB-0873-7048-B61B-36A8B8F56EAC}" name="RESULT 34" dataDxfId="1903">
      <calculatedColumnFormula>IF(OR(Game_52147[[#This Row],[SCORE 1]]="",Game_52147[[#This Row],[SCORE 2]]=""),"",IF(Game_52147[[#This Row],[SALDO 34]]&gt;0, "WIN","LOSE"))</calculatedColumnFormula>
    </tableColumn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29C0FB6-3311-6F47-BF9D-84FF94D937F2}" name="Analysis_156148" displayName="Analysis_156148" ref="A14:H19" totalsRowShown="0" headerRowDxfId="1902" dataDxfId="1901" headerRowBorderDxfId="1899" tableBorderDxfId="1900" totalsRowBorderDxfId="1898">
  <autoFilter ref="A14:H1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5:G19">
    <sortCondition descending="1" ref="D15:D19"/>
    <sortCondition descending="1" ref="E15:E19"/>
    <sortCondition descending="1" ref="F15:F19"/>
  </sortState>
  <tableColumns count="8">
    <tableColumn id="7" xr3:uid="{5E74A787-C07A-AF40-9DDF-F864952ACE31}" name="Reference" dataDxfId="1897"/>
    <tableColumn id="1" xr3:uid="{13BFB89D-17EE-6543-A8CA-164537C72ABA}" name="Athletes " dataDxfId="1896"/>
    <tableColumn id="8" xr3:uid="{70F85A1B-CEF8-3745-8E51-A1693E920F03}" name="WIN" dataDxfId="1895">
      <calculatedColumnFormula>SUM(COUNTIFS(Game_52147[ATHLETE 1],Analysis_156148[[#This Row],[Athletes ]],Game_52147[RESULT 12],"win"),COUNTIFS(Game_52147[ATHLETE 2],Analysis_156148[[#This Row],[Athletes ]],Game_52147[RESULT 12],"win"),COUNTIFS(Game_52147[ATHLETE 3],Analysis_156148[[#This Row],[Athletes ]],Game_52147[RESULT 34],"win"),COUNTIFS(Game_52147[ATHLETE 4],Analysis_156148[[#This Row],[Athletes ]],Game_52147[RESULT 34],"win"))</calculatedColumnFormula>
    </tableColumn>
    <tableColumn id="5" xr3:uid="{04E7E758-7F22-6A46-87E8-019019A50058}" name="LOSE" dataDxfId="1894">
      <calculatedColumnFormula>SUM(COUNTIFS(Game_52147[ATHLETE 1],Analysis_156148[[#This Row],[Athletes ]],Game_52147[RESULT 12],"lose"),COUNTIFS(Game_52147[ATHLETE 2],Analysis_156148[[#This Row],[Athletes ]],Game_52147[RESULT 12],"lose"),COUNTIFS(Game_52147[ATHLETE 3],Analysis_156148[[#This Row],[Athletes ]],Game_52147[RESULT 34],"lose"),COUNTIFS(Game_52147[ATHLETE 4],Analysis_156148[[#This Row],[Athletes ]],Game_52147[RESULT 34],"lose"))</calculatedColumnFormula>
    </tableColumn>
    <tableColumn id="3" xr3:uid="{31FAB9F4-DD1F-A144-9413-D924B864634F}" name="Saldo" dataDxfId="1893">
      <calculatedColumnFormula>SUM(SUMIF(Game_52147[ATHLETE 1],Analysis_156148[[#This Row],[Athletes ]],Game_52147[SALDO 12]),SUMIF(Game_52147[ATHLETE 2],Analysis_156148[[#This Row],[Athletes ]],Game_52147[SALDO 12]),SUMIF(Game_52147[ATHLETE 3],Analysis_156148[[#This Row],[Athletes ]],Game_52147[SALDO 34]),SUMIF(Game_52147[ATHLETE 4],Analysis_156148[[#This Row],[Athletes ]],Game_52147[SALDO 34]))</calculatedColumnFormula>
    </tableColumn>
    <tableColumn id="4" xr3:uid="{52E486D7-C55E-8645-B949-02279371DC23}" name="PM" dataDxfId="1892">
      <calculatedColumnFormula>SUM(SUMIF(Game_52147[ATHLETE 1],Analysis_156148[[#This Row],[Athletes ]],Game_52147[PM 12]),SUMIF(Game_52147[ATHLETE 2],Analysis_156148[[#This Row],[Athletes ]],Game_52147[PM 12]),SUMIF(Game_52147[ATHLETE 3],Analysis_156148[[#This Row],[Athletes ]],Game_52147[PM 34]),SUMIF(Game_52147[ATHLETE 4],Analysis_156148[[#This Row],[Athletes ]],Game_52147[PM 34]))</calculatedColumnFormula>
    </tableColumn>
    <tableColumn id="6" xr3:uid="{15BF4AF1-8D4F-074D-B633-238BCD932026}" name="Rank" dataDxfId="1891">
      <calculatedColumnFormula>IF(COUNTBLANK(Game_52147[[SCORE 1]:[SCORE 2]])=0,IF(RANK(H15,$H$15:$H$19)=1,RANK(H15,$H$15:$H$19)&amp;"st",IF(RANK(H15,$H$15:$H$19)=2,RANK(H15,$H$15:$H$19)&amp;"nd",IF(RANK(H15,$H$15:$H$19)=3,RANK(H15,$H$15:$H$19)&amp;"rd",RANK(H15,$H$15:$H$19)&amp;"th"))),"")</calculatedColumnFormula>
    </tableColumn>
    <tableColumn id="2" xr3:uid="{AA0F8617-FF1E-E043-8429-ECDEAD10879E}" name="Rank Support" dataDxfId="1890">
      <calculatedColumnFormula>Analysis_156148[[#This Row],[WIN]]*1000000+Analysis_156148[[#This Row],[Saldo]]*1000+Analysis_156148[[#This Row],[PM]]</calculatedColumnFormula>
    </tableColumn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E7FFB59C-1050-A349-B680-A61C0B696E98}" name="Analysis_1664149" displayName="Analysis_1664149" ref="A21:H26" totalsRowShown="0" headerRowDxfId="1889" dataDxfId="1888" headerRowBorderDxfId="1886" tableBorderDxfId="1887" totalsRowBorderDxfId="1885">
  <autoFilter ref="A21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2:G26">
    <sortCondition descending="1" ref="D22:D26"/>
    <sortCondition descending="1" ref="E22:E26"/>
    <sortCondition descending="1" ref="F22:F26"/>
  </sortState>
  <tableColumns count="8">
    <tableColumn id="1" xr3:uid="{93EB835D-C0F3-EB4D-9213-6A0102F9ECA3}" name="Reference" dataDxfId="1884"/>
    <tableColumn id="2" xr3:uid="{4F976A39-6401-EF45-92A3-909B020BAD99}" name="Athletes " dataDxfId="1883"/>
    <tableColumn id="7" xr3:uid="{A733D652-F998-DF47-B840-434D61F835C3}" name="WIN" dataDxfId="1882">
      <calculatedColumnFormula>SUM(COUNTIFS(Game_52147[ATHLETE 1],Analysis_1664149[[#This Row],[Athletes ]],Game_52147[RESULT 12],"win"),COUNTIFS(Game_52147[ATHLETE 2],Analysis_1664149[[#This Row],[Athletes ]],Game_52147[RESULT 12],"win"),COUNTIFS(Game_52147[ATHLETE 3],Analysis_1664149[[#This Row],[Athletes ]],Game_52147[RESULT 34],"win"),COUNTIFS(Game_52147[ATHLETE 4],Analysis_1664149[[#This Row],[Athletes ]],Game_52147[RESULT 34],"win"))</calculatedColumnFormula>
    </tableColumn>
    <tableColumn id="5" xr3:uid="{89625C1F-CCA1-414B-98B8-61C851118989}" name="LOSE" dataDxfId="1881">
      <calculatedColumnFormula>SUM(COUNTIFS(Game_52147[ATHLETE 1],Analysis_1664149[[#This Row],[Athletes ]],Game_52147[RESULT 12],"lose"),COUNTIFS(Game_52147[ATHLETE 2],Analysis_1664149[[#This Row],[Athletes ]],Game_52147[RESULT 12],"lose"),COUNTIFS(Game_52147[ATHLETE 3],Analysis_1664149[[#This Row],[Athletes ]],Game_52147[RESULT 34],"lose"),COUNTIFS(Game_52147[ATHLETE 4],Analysis_1664149[[#This Row],[Athletes ]],Game_52147[RESULT 34],"lose"))</calculatedColumnFormula>
    </tableColumn>
    <tableColumn id="3" xr3:uid="{AA9C2B0F-7EBA-3D48-BDEA-984D7DE8F26B}" name="Saldo" dataDxfId="1880">
      <calculatedColumnFormula>SUM(SUMIF(Game_52147[ATHLETE 1],Analysis_1664149[[#This Row],[Athletes ]],Game_52147[SALDO 12]),SUMIF(Game_52147[ATHLETE 2],Analysis_1664149[[#This Row],[Athletes ]],Game_52147[SALDO 12]),SUMIF(Game_52147[ATHLETE 3],Analysis_1664149[[#This Row],[Athletes ]],Game_52147[SALDO 34]),SUMIF(Game_52147[ATHLETE 4],Analysis_1664149[[#This Row],[Athletes ]],Game_52147[SALDO 34]))</calculatedColumnFormula>
    </tableColumn>
    <tableColumn id="4" xr3:uid="{3791C885-142F-4F44-A2E5-92C70E6A3C47}" name="PM" dataDxfId="1879">
      <calculatedColumnFormula>SUM(SUMIF(Game_52147[ATHLETE 1],Analysis_1664149[[#This Row],[Athletes ]],Game_52147[PM 12]),SUMIF(Game_52147[ATHLETE 2],Analysis_1664149[[#This Row],[Athletes ]],Game_52147[PM 12]),SUMIF(Game_52147[ATHLETE 3],Analysis_1664149[[#This Row],[Athletes ]],Game_52147[PM 34]),SUMIF(Game_52147[ATHLETE 4],Analysis_1664149[[#This Row],[Athletes ]],Game_52147[PM 34]))</calculatedColumnFormula>
    </tableColumn>
    <tableColumn id="6" xr3:uid="{72D9037C-D77A-E848-BD54-46B766A2342F}" name="Rank" dataDxfId="1878">
      <calculatedColumnFormula>IF(COUNTBLANK(Game_52147[[SCORE 1]:[SCORE 2]])=0,IF(RANK(H22,$H$22:$H$26)=1,RANK(H22,$H$22:$H$26)&amp;"st",IF(RANK(H22,$H$22:$H$26)=2,RANK(H22,$H$22:$H$26)&amp;"nd",IF(RANK(H22,$H$22:$H$26)=3,RANK(H22,$H$22:$H$26)&amp;"rd",RANK(H22,$H$22:$H$26)&amp;"th"))),"")</calculatedColumnFormula>
    </tableColumn>
    <tableColumn id="8" xr3:uid="{2B6C946C-0359-AC42-8818-ADB47C4AD8D0}" name="Rank Support" dataDxfId="1877">
      <calculatedColumnFormula>Analysis_1664149[[#This Row],[WIN]]*1000000+Analysis_1664149[[#This Row],[Saldo]]*1000+Analysis_1664149[[#This Row],[PM]]</calculatedColumnFormula>
    </tableColumn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79018F73-173C-5745-8AA7-DF585E34ECC2}" name="Table1572235446678468165150" displayName="Table1572235446678468165150" ref="T2:U12" totalsRowShown="0" headerRowDxfId="1876" headerRowBorderDxfId="1874" tableBorderDxfId="1875">
  <autoFilter ref="T2:U12" xr:uid="{908C589F-0CD0-4EFE-993D-5B2ECC06D04A}">
    <filterColumn colId="0" hiddenButton="1"/>
    <filterColumn colId="1" hiddenButton="1"/>
  </autoFilter>
  <tableColumns count="2">
    <tableColumn id="1" xr3:uid="{CEA5B729-6459-4244-96CD-58A3AAEC9E89}" name="Athlete"/>
    <tableColumn id="2" xr3:uid="{8C53B755-C002-954E-9780-D287AEE03173}" name="Rank" dataDxfId="1873"/>
  </tableColumns>
  <tableStyleInfo name="TableStyleMedium2"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A21B7BB-7D6D-4849-BA57-EF2964F08EF2}" name="Games_130" displayName="Games_130" ref="B1:R5" totalsRowShown="0" headerRowDxfId="1872" dataDxfId="1871" headerRowBorderDxfId="1869" tableBorderDxfId="1870" totalsRowBorderDxfId="1868">
  <autoFilter ref="B1:R5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3" xr3:uid="{D46EE551-C54B-E84E-A18D-BFF3F4CE955A}" name="GROUP" dataDxfId="1867"/>
    <tableColumn id="4" xr3:uid="{3E2FB84E-9638-A940-A3B6-FD7EFE6A27D0}" name="ATHLETE 1" dataDxfId="1866">
      <calculatedColumnFormula>$B$11</calculatedColumnFormula>
    </tableColumn>
    <tableColumn id="5" xr3:uid="{C30FFBA2-D53A-8747-8C8E-4C0DA9CA77A2}" name="ATHLETE 2" dataDxfId="1865"/>
    <tableColumn id="8" xr3:uid="{1D964CFF-E810-874A-B777-C307945125B2}" name="SCORE 1" dataDxfId="1864"/>
    <tableColumn id="9" xr3:uid="{FE51707F-BC50-A94A-9CB2-DA7856A71330}" name="SCORE 2" dataDxfId="1863"/>
    <tableColumn id="6" xr3:uid="{A7FD6B62-D5D0-DE45-86C6-BD0AF199C1E1}" name="ATHLETE 3" dataDxfId="1862">
      <calculatedColumnFormula>$B$15</calculatedColumnFormula>
    </tableColumn>
    <tableColumn id="1" xr3:uid="{167DFDD9-4C02-7246-AC78-0701A6BCB05E}" name="X" dataDxfId="1861"/>
    <tableColumn id="2" xr3:uid="{73D30056-C879-594F-A1B4-3F067480B13B}" name="Y" dataDxfId="1860"/>
    <tableColumn id="16" xr3:uid="{D9EFFB2A-DBA0-6146-A54A-000FD19AA850}" name="Z" dataDxfId="1859"/>
    <tableColumn id="17" xr3:uid="{EEE6977D-7BD7-9A4C-87A4-626295F8B3E5}" name="A" dataDxfId="1858"/>
    <tableColumn id="7" xr3:uid="{E9E641FD-7528-214A-9F97-0FFAB35BBAAB}" name="ATHLETE 4" dataDxfId="1857"/>
    <tableColumn id="10" xr3:uid="{0C8B99FB-ADA8-EC43-988E-BAC1FB02BBB8}" name="SALDO 12" dataDxfId="1856">
      <calculatedColumnFormula>IF(OR(Games_130[[#This Row],[SCORE 1]]="",Games_130[[#This Row],[SCORE 2]]=""),"",Games_130[[#This Row],[SCORE 1]]-Games_130[[#This Row],[SCORE 2]])</calculatedColumnFormula>
    </tableColumn>
    <tableColumn id="11" xr3:uid="{D63E4690-B0C5-0A49-A51F-4D22906F9092}" name="SALDO 34" dataDxfId="1855">
      <calculatedColumnFormula>IF(OR(Games_130[[#This Row],[SCORE 1]]="",Games_130[[#This Row],[SCORE 2]]=""),"",Games_130[[#This Row],[SCORE 2]]-Games_130[[#This Row],[SCORE 1]])</calculatedColumnFormula>
    </tableColumn>
    <tableColumn id="12" xr3:uid="{A60B66F2-2058-4B45-A508-408706758166}" name="PM 12" dataDxfId="1854">
      <calculatedColumnFormula>IF(Games_130[[#This Row],[SCORE 1]]="","",Games_130[[#This Row],[SCORE 1]])</calculatedColumnFormula>
    </tableColumn>
    <tableColumn id="13" xr3:uid="{4E01D9FF-3107-9A4C-A30C-121AFF7D4011}" name="PM 34" dataDxfId="1853">
      <calculatedColumnFormula>IF(Games_130[[#This Row],[SCORE 2]]="","",Games_130[[#This Row],[SCORE 2]])</calculatedColumnFormula>
    </tableColumn>
    <tableColumn id="14" xr3:uid="{CB872DCA-4DD5-C441-A76B-DCAE0947609A}" name="RESULT 12" dataDxfId="1852">
      <calculatedColumnFormula>IF(OR(Games_130[[#This Row],[SCORE 1]]="",Games_130[[#This Row],[SCORE 2]]=""),"",IF(Games_130[[#This Row],[SALDO 12]]&gt;0, "WIN","LOSE"))</calculatedColumnFormula>
    </tableColumn>
    <tableColumn id="15" xr3:uid="{CBB9D07A-BCD3-8847-ABF3-AAE29EA75604}" name="RESULT 34" dataDxfId="1851">
      <calculatedColumnFormula>IF(OR(Games_130[[#This Row],[SCORE 2]]="",Games_130[[#This Row],[SCORE 1]]=""),"",IF(Games_130[[#This Row],[SALDO 34]]&gt;0, "WIN","LOSE"))</calculatedColumnFormula>
    </tableColumn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121A135-85E1-E549-8881-D7C952326BC6}" name="Analysis_131" displayName="Analysis_131" ref="A8:G11" totalsRowShown="0" headerRowDxfId="1850" dataDxfId="1849" headerRowBorderDxfId="1847" tableBorderDxfId="1848" totalsRowBorderDxfId="1846">
  <autoFilter ref="A8:G11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9:G11">
    <sortCondition descending="1" ref="D9:D11"/>
    <sortCondition descending="1" ref="E9:E11"/>
    <sortCondition descending="1" ref="F9:F11"/>
  </sortState>
  <tableColumns count="7">
    <tableColumn id="7" xr3:uid="{A883539D-FACB-584F-94BA-0917D80ED8EE}" name="Reference" dataDxfId="1845"/>
    <tableColumn id="1" xr3:uid="{25168840-086A-1548-BE71-CB04FA0F9537}" name="Atheletes " dataDxfId="1844"/>
    <tableColumn id="8" xr3:uid="{5EB35E5E-88D0-444A-8476-14727FE22F00}" name="WIN" dataDxfId="1843"/>
    <tableColumn id="5" xr3:uid="{96CDE1D9-F6E5-0242-9529-AC52EA43E124}" name="LOSE" dataDxfId="1842"/>
    <tableColumn id="3" xr3:uid="{00A04808-14B6-7449-96AE-363F3D3BF8CC}" name="Saldo" dataDxfId="1841"/>
    <tableColumn id="4" xr3:uid="{98592FB2-1AAF-6E4E-89F4-39614EA61650}" name="PM" dataDxfId="1840"/>
    <tableColumn id="6" xr3:uid="{1BCFF492-72EE-0341-82AB-312F1ADE5068}" name="Rank" dataDxfId="1839">
      <calculatedColumnFormula>IF(COUNTBLANK(Games_130[[SCORE 1]:[SCORE 2]])=0,IF(RANK(H9,$H$9:$H$11)=1,RANK(H9,$H$9:$H$11)&amp;"st",IF(RANK(H9,$H$9:$H$11)=2,RANK(H9,$H$9:$H$11)&amp;"nd",IF(RANK(H9,$H$9:$H$11)=3,RANK(H9,$H$9:$H$11)&amp;"rd",RANK(H9,$H$9:$H$11)&amp;"th"))),"")</calculatedColumnFormula>
    </tableColumn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1AEADF0-2DC9-0045-9D27-352A0B887544}" name="Table157223544789133532" displayName="Table157223544789133532" ref="T2:U6" totalsRowShown="0" headerRowDxfId="1838" dataDxfId="1837" headerRowBorderDxfId="1835" tableBorderDxfId="1836">
  <autoFilter ref="T2:U6" xr:uid="{908C589F-0CD0-4EFE-993D-5B2ECC06D04A}">
    <filterColumn colId="0" hiddenButton="1"/>
    <filterColumn colId="1" hiddenButton="1"/>
  </autoFilter>
  <tableColumns count="2">
    <tableColumn id="1" xr3:uid="{591EF6E0-8A0D-F947-B563-93FA2B43DE81}" name="Athlete" dataDxfId="1834"/>
    <tableColumn id="2" xr3:uid="{9D01F404-CAA0-2940-ABE3-38959EF5A61E}" name="Rank" dataDxfId="1833"/>
  </tableColumns>
  <tableStyleInfo name="TableStyleMedium2"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E099095-75CF-A249-B1EF-5877DD9F90E8}" name="Analysis_233" displayName="Analysis_233" ref="A12:G15" totalsRowShown="0" headerRowDxfId="1832" dataDxfId="1831" headerRowBorderDxfId="1830">
  <autoFilter ref="A12:G15" xr:uid="{0DFF5636-99BC-664E-A828-29015743A2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E4CB744-C16B-EE4A-A4F5-952B2B4114EB}" name="Reference" dataDxfId="1829"/>
    <tableColumn id="2" xr3:uid="{82D8592C-85F6-744D-85C2-2EE263DE2490}" name="Atheletes " dataDxfId="1828"/>
    <tableColumn id="3" xr3:uid="{60FC3A0F-32BA-614B-8618-7D71BB9589EF}" name="WIN" dataDxfId="1827"/>
    <tableColumn id="4" xr3:uid="{9621B5A3-6536-024C-AD73-88BB913D15EB}" name="LOSE" dataDxfId="1826"/>
    <tableColumn id="5" xr3:uid="{83C63E04-ADEC-BC4C-877F-9B3757435502}" name="Saldo" dataDxfId="1825"/>
    <tableColumn id="6" xr3:uid="{03F11333-C74A-3444-887C-B10D066F5FAF}" name="PM" dataDxfId="1824"/>
    <tableColumn id="12" xr3:uid="{50411971-ECEC-1642-B1F5-0A43B76F884E}" name="Rank" dataDxfId="182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D1788BE-2DF5-E14A-9A67-495EAE131B64}" name="Games_2154" displayName="Games_2154" ref="B1:R13" totalsRowShown="0" headerRowDxfId="1822" dataDxfId="1821" headerRowBorderDxfId="1819" tableBorderDxfId="1820" totalsRowBorderDxfId="1818">
  <autoFilter ref="B1:R13" xr:uid="{C79D687B-AEB2-42F8-B262-AEDE9265CB48}"/>
  <tableColumns count="17">
    <tableColumn id="3" xr3:uid="{DA79AF29-6261-DD4B-9273-81FFBDB8901B}" name="GROUP" dataDxfId="1817"/>
    <tableColumn id="4" xr3:uid="{A4F77B49-8E30-D444-BAAF-A7BB1ACAB585}" name="ATHLETE 1" dataDxfId="1816"/>
    <tableColumn id="5" xr3:uid="{BFBC2456-AEDB-4946-B71C-744E260FF2C5}" name="ATHLETE 2" dataDxfId="1815"/>
    <tableColumn id="8" xr3:uid="{2D512C86-6C33-264D-9E35-06924F544984}" name="SCORE 1" dataDxfId="1814"/>
    <tableColumn id="9" xr3:uid="{FA613E87-8B2E-0C4E-AC2C-5B4FCBE10E29}" name="SCORE 2" dataDxfId="1813"/>
    <tableColumn id="6" xr3:uid="{75643204-618C-FB4A-8DB5-C4E886D6FE74}" name="ATHLETE 3" dataDxfId="1812"/>
    <tableColumn id="1" xr3:uid="{8F523313-A473-7740-9594-E7EA43D04D46}" name="X" dataDxfId="1811"/>
    <tableColumn id="2" xr3:uid="{8872557F-C300-5E4D-9483-34C11FBE3BFA}" name="Y" dataDxfId="1810"/>
    <tableColumn id="16" xr3:uid="{ECFABF8A-5AA7-E34A-8DCE-A629C834F808}" name="Z" dataDxfId="1809"/>
    <tableColumn id="17" xr3:uid="{32077873-4CB4-014E-9232-C6AD3118FB1C}" name="A" dataDxfId="1808"/>
    <tableColumn id="7" xr3:uid="{70EBCFA2-97BC-8F47-9EF5-87AF187385AE}" name="ATHLETE 4" dataDxfId="1807"/>
    <tableColumn id="10" xr3:uid="{7A0C0B88-896F-DA45-ADC2-80C123110AA8}" name="SALDO 12" dataDxfId="1806">
      <calculatedColumnFormula>IF(OR(Games_2154[[#This Row],[SCORE 1]]="",Games_2154[[#This Row],[SCORE 2]]=""),"",Games_2154[[#This Row],[SCORE 1]]-Games_2154[[#This Row],[SCORE 2]])</calculatedColumnFormula>
    </tableColumn>
    <tableColumn id="11" xr3:uid="{BD1597B8-DE06-5A4C-8C88-340F2FA73ECF}" name="SALDO 34" dataDxfId="1805">
      <calculatedColumnFormula>IF(OR(Games_2154[[#This Row],[SCORE 1]]="",Games_2154[[#This Row],[SCORE 2]]=""),"",Games_2154[[#This Row],[SCORE 2]]-Games_2154[[#This Row],[SCORE 1]])</calculatedColumnFormula>
    </tableColumn>
    <tableColumn id="12" xr3:uid="{995E2E17-0BB1-CF42-8C39-27D7D3BE8F5E}" name="PM 12" dataDxfId="1804">
      <calculatedColumnFormula>IF(Games_2154[[#This Row],[SCORE 1]]="","",Games_2154[[#This Row],[SCORE 1]])</calculatedColumnFormula>
    </tableColumn>
    <tableColumn id="13" xr3:uid="{B00D9F7B-C707-9146-80D2-DD5A186F4B7B}" name="PM 34" dataDxfId="1803">
      <calculatedColumnFormula>IF(Games_2154[[#This Row],[SCORE 2]]="","",Games_2154[[#This Row],[SCORE 2]])</calculatedColumnFormula>
    </tableColumn>
    <tableColumn id="14" xr3:uid="{3F551231-53B1-CF48-B15D-624313FBE6B0}" name="RESULT 12" dataDxfId="1802">
      <calculatedColumnFormula>IF(OR(Games_2154[[#This Row],[SCORE 1]]="",Games_2154[[#This Row],[SCORE 2]]=""),"",IF(Games_2154[[#This Row],[SALDO 12]]&gt;0, "WIN","LOSE"))</calculatedColumnFormula>
    </tableColumn>
    <tableColumn id="15" xr3:uid="{7EFF53E7-021F-304A-92CC-29E57DF5861F}" name="RESULT 34" dataDxfId="1801">
      <calculatedColumnFormula>IF(OR(Games_2154[[#This Row],[SCORE 2]]="",Games_2154[[#This Row],[SCORE 1]]=""),"",IF(Games_2154[[#This Row],[SALDO 34]]&gt;0, "WIN","LOSE"))</calculatedColumnFormula>
    </tableColumn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2E5DA6C2-54BF-774E-8F77-AA971EE6FA1E}" name="Analysis_3155" displayName="Analysis_3155" ref="A16:H22" totalsRowShown="0" headerRowDxfId="1800" dataDxfId="1799" headerRowBorderDxfId="1797" tableBorderDxfId="1798" totalsRowBorderDxfId="1796">
  <autoFilter ref="A16:H22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450ACDF1-676F-D545-B4DC-54E76FBC124D}" name="Reference" dataDxfId="1795"/>
    <tableColumn id="1" xr3:uid="{D4C84787-2BC3-F340-987D-601329B40295}" name="Atheletes " dataDxfId="1794"/>
    <tableColumn id="8" xr3:uid="{B729C394-25CF-8640-9724-1625DB2AF1ED}" name="WIN" dataDxfId="1793"/>
    <tableColumn id="5" xr3:uid="{F380E2EE-751F-3F4C-AED4-FF295E54CDB7}" name="LOSE" dataDxfId="1792"/>
    <tableColumn id="3" xr3:uid="{6F804D70-7ACC-7149-8E97-1AB1A8BB3779}" name="Saldo" dataDxfId="1791"/>
    <tableColumn id="4" xr3:uid="{FDAA7A60-C323-8A40-A10C-3FCCB29C3265}" name="PM" dataDxfId="1790"/>
    <tableColumn id="6" xr3:uid="{814D2C6A-65E7-AD48-B905-4FC1D155785F}" name="Rank" dataDxfId="1789">
      <calculatedColumnFormula>IF(COUNTBLANK(Games_2154[[SCORE 1]:[SCORE 2]])=0,IF(RANK(H17,$H$17:$H$22)=1,RANK(H17,$H$17:$H$22)&amp;"st",IF(RANK(H17,$H$17:$H$22)=2,RANK(H17,$H$17:$H$22)&amp;"nd",IF(RANK(H17,$H$17:$H$22)=3,RANK(H17,$H$17:$H$22)&amp;"rd",RANK(H17,$H$17:$H$22)&amp;"th"))),"")</calculatedColumnFormula>
    </tableColumn>
    <tableColumn id="2" xr3:uid="{070796C8-C30D-A14F-848A-68E09D510F38}" name="Rank support" dataDxfId="1788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552A182-DA8C-7647-AFEF-65E0C32D88B7}" name="Table157223544789133510156" displayName="Table157223544789133510156" ref="T2:U10" totalsRowShown="0" headerRowDxfId="1787" dataDxfId="1786" headerRowBorderDxfId="1784" tableBorderDxfId="1785">
  <autoFilter ref="T2:U10" xr:uid="{908C589F-0CD0-4EFE-993D-5B2ECC06D04A}">
    <filterColumn colId="0" hiddenButton="1"/>
    <filterColumn colId="1" hiddenButton="1"/>
  </autoFilter>
  <tableColumns count="2">
    <tableColumn id="1" xr3:uid="{C41E25E2-4FB4-0C4B-A55F-0CCF227D1DAC}" name="Athlete" dataDxfId="1783"/>
    <tableColumn id="2" xr3:uid="{C3DF4C6B-D9A0-0F45-9B9E-8F911D38758C}" name="Rank" dataDxfId="1782"/>
  </tableColumns>
  <tableStyleInfo name="TableStyleMedium2" showFirstColumn="1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D0FA6B-F9E6-5C45-882D-D81201A66CEE}" name="Analysis_4157" displayName="Analysis_4157" ref="A24:H30" totalsRowShown="0" headerRowDxfId="1781" headerRowBorderDxfId="1779" tableBorderDxfId="1780" totalsRowBorderDxfId="1778">
  <autoFilter ref="A24:H30" xr:uid="{56A7DA99-B3FE-004D-BFF6-DA1337F7D6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F7B3B79-8F5F-464F-B837-D48526CB6511}" name="Reference" dataDxfId="1777"/>
    <tableColumn id="2" xr3:uid="{90043100-82DB-7943-BEA3-5F522F463773}" name="Atheletes " dataDxfId="1776"/>
    <tableColumn id="3" xr3:uid="{823E30B3-9511-524D-ACBB-12856228FC93}" name="WIN"/>
    <tableColumn id="4" xr3:uid="{299534D8-DB07-E84C-B9C3-A23CFFBB097D}" name="LOSE"/>
    <tableColumn id="5" xr3:uid="{26F1D0B1-63E7-B947-A073-B020D37DDCC4}" name="Saldo"/>
    <tableColumn id="6" xr3:uid="{FE42F6F0-476D-CF4F-B34B-D5374CDF41D4}" name="PM"/>
    <tableColumn id="7" xr3:uid="{DDE0B3CF-0899-7C48-87F5-E1C215085E82}" name="Rank"/>
    <tableColumn id="9" xr3:uid="{5296DD54-654A-1548-B5EB-5C4B1ADB6879}" name="Rank support" dataDxfId="1775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247C244-33B6-1F4E-8655-B64D3FA53963}" name="Games_2107" displayName="Games_2107" ref="B1:R13" totalsRowShown="0" headerRowDxfId="1774" dataDxfId="1773" headerRowBorderDxfId="1771" tableBorderDxfId="1772" totalsRowBorderDxfId="1770">
  <autoFilter ref="B1:R13" xr:uid="{C79D687B-AEB2-42F8-B262-AEDE9265CB48}"/>
  <tableColumns count="17">
    <tableColumn id="3" xr3:uid="{E7031B97-A378-BA40-99D6-15924C30A210}" name="GROUP" dataDxfId="1769"/>
    <tableColumn id="4" xr3:uid="{9BD4B25A-C228-194B-9C03-0E152D1D5573}" name="ATHLETE 1" dataDxfId="1768"/>
    <tableColumn id="5" xr3:uid="{A32328BB-2AF1-AF46-8794-C44A91026FE6}" name="ATHLETE 2" dataDxfId="1767"/>
    <tableColumn id="8" xr3:uid="{EDB05A93-C67E-6640-BC8D-28B96A631E74}" name="SCORE 1" dataDxfId="1766"/>
    <tableColumn id="9" xr3:uid="{16A2503A-02E0-3145-A7EA-AED4DFDFAD3D}" name="SCORE 2" dataDxfId="1765"/>
    <tableColumn id="6" xr3:uid="{E86C7B27-0EF5-604A-9F14-2A7CE17C6B89}" name="ATHLETE 3" dataDxfId="1764"/>
    <tableColumn id="1" xr3:uid="{BFC8AD5B-C517-0148-A521-148A87B9982C}" name="X" dataDxfId="1763"/>
    <tableColumn id="2" xr3:uid="{D4BD5557-8B18-B448-9FB8-947BD2A044B7}" name="Y" dataDxfId="1762"/>
    <tableColumn id="16" xr3:uid="{331D91F5-0D26-6D4D-BA45-F2C5D151852C}" name="Z" dataDxfId="1761"/>
    <tableColumn id="17" xr3:uid="{B084B094-4028-F049-A778-73E432769874}" name="A" dataDxfId="1760"/>
    <tableColumn id="7" xr3:uid="{65078E3C-99B7-DE49-8AB4-9489DB2C9D37}" name="ATHLETE 4" dataDxfId="1759"/>
    <tableColumn id="10" xr3:uid="{8B04C707-E87B-9C48-901B-2C11C856DD9D}" name="SALDO 12" dataDxfId="1758">
      <calculatedColumnFormula>IF(OR(Games_2107[[#This Row],[SCORE 1]]="",Games_2107[[#This Row],[SCORE 2]]=""),"",Games_2107[[#This Row],[SCORE 1]]-Games_2107[[#This Row],[SCORE 2]])</calculatedColumnFormula>
    </tableColumn>
    <tableColumn id="11" xr3:uid="{D30C5A81-B18C-F543-80BD-C72DE5E421EB}" name="SALDO 34" dataDxfId="1757">
      <calculatedColumnFormula>IF(OR(Games_2107[[#This Row],[SCORE 1]]="",Games_2107[[#This Row],[SCORE 2]]=""),"",Games_2107[[#This Row],[SCORE 2]]-Games_2107[[#This Row],[SCORE 1]])</calculatedColumnFormula>
    </tableColumn>
    <tableColumn id="12" xr3:uid="{A1EA50F6-E8F6-2249-AFBD-263D9E864ED4}" name="PM 12" dataDxfId="1756">
      <calculatedColumnFormula>IF(Games_2107[[#This Row],[SCORE 1]]="","",Games_2107[[#This Row],[SCORE 1]])</calculatedColumnFormula>
    </tableColumn>
    <tableColumn id="13" xr3:uid="{87953F85-A2B7-954E-8E2E-16609A35826E}" name="PM 34" dataDxfId="1755">
      <calculatedColumnFormula>IF(Games_2107[[#This Row],[SCORE 2]]="","",Games_2107[[#This Row],[SCORE 2]])</calculatedColumnFormula>
    </tableColumn>
    <tableColumn id="14" xr3:uid="{095AC786-86CB-DF49-9394-A6AD993C2D4A}" name="RESULT 12" dataDxfId="1754">
      <calculatedColumnFormula>IF(OR(Games_2107[[#This Row],[SCORE 1]]="",Games_2107[[#This Row],[SCORE 2]]=""),"",IF(Games_2107[[#This Row],[SALDO 12]]&gt;0, "WIN","LOSE"))</calculatedColumnFormula>
    </tableColumn>
    <tableColumn id="15" xr3:uid="{54161488-AB73-BE4D-8628-9E26F046BF5F}" name="RESULT 34" dataDxfId="1753">
      <calculatedColumnFormula>IF(OR(Games_2107[[#This Row],[SCORE 2]]="",Games_2107[[#This Row],[SCORE 1]]=""),"",IF(Games_2107[[#This Row],[SALDO 34]]&gt;0, "WIN","LOSE"))</calculatedColumnFormula>
    </tableColumn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3AEB2C08-69F1-2B44-A966-2D45D80338F3}" name="Analysis_3108" displayName="Analysis_3108" ref="A16:H22" totalsRowShown="0" headerRowDxfId="1752" dataDxfId="1751" headerRowBorderDxfId="1749" tableBorderDxfId="1750" totalsRowBorderDxfId="1748">
  <autoFilter ref="A16:H22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AA644D8E-7ADA-4A40-B554-E91521FB0F49}" name="Reference" dataDxfId="1747"/>
    <tableColumn id="1" xr3:uid="{3B3A9270-4810-4A49-A017-BA2F99B444D1}" name="Atheletes " dataDxfId="1746"/>
    <tableColumn id="8" xr3:uid="{1BDE1932-436D-6F49-B02A-6DFB91CD3CB4}" name="WIN" dataDxfId="1745"/>
    <tableColumn id="5" xr3:uid="{19DCFACD-1112-7F49-A64B-2E9B0326A12B}" name="LOSE" dataDxfId="1744"/>
    <tableColumn id="3" xr3:uid="{9F301897-47FA-FB4B-B9C5-8E317AE58382}" name="Saldo" dataDxfId="1743"/>
    <tableColumn id="4" xr3:uid="{00805D0B-EB00-724B-969E-D59A3B92BD63}" name="PM" dataDxfId="1742"/>
    <tableColumn id="6" xr3:uid="{C5781C9F-0884-1042-B95D-F6BF884F7C39}" name="Rank" dataDxfId="1741">
      <calculatedColumnFormula>IF(COUNTBLANK(Games_2107[[SCORE 1]:[SCORE 2]])=0,IF(RANK(H17,$H$17:$H$22)=1,RANK(H17,$H$17:$H$22)&amp;"st",IF(RANK(H17,$H$17:$H$22)=2,RANK(H17,$H$17:$H$22)&amp;"nd",IF(RANK(H17,$H$17:$H$22)=3,RANK(H17,$H$17:$H$22)&amp;"rd",RANK(H17,$H$17:$H$22)&amp;"th"))),"")</calculatedColumnFormula>
    </tableColumn>
    <tableColumn id="2" xr3:uid="{5F62E195-A472-9449-887B-AA385ECDC497}" name="Rank support" dataDxfId="174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428171E6-4580-B64A-B73F-3C57CBE72DFB}" name="Table157223544789133510114" displayName="Table157223544789133510114" ref="T2:U10" totalsRowShown="0" headerRowDxfId="1739" dataDxfId="1738" headerRowBorderDxfId="1736" tableBorderDxfId="1737">
  <autoFilter ref="T2:U10" xr:uid="{908C589F-0CD0-4EFE-993D-5B2ECC06D04A}">
    <filterColumn colId="0" hiddenButton="1"/>
    <filterColumn colId="1" hiddenButton="1"/>
  </autoFilter>
  <tableColumns count="2">
    <tableColumn id="1" xr3:uid="{79884955-2522-8645-BECC-25A46A06DE5D}" name="Athlete" dataDxfId="1735"/>
    <tableColumn id="2" xr3:uid="{22AE88DC-B810-3E4D-895F-12D2BD9C0A86}" name="Rank" dataDxfId="1734"/>
  </tableColumns>
  <tableStyleInfo name="TableStyleMedium2" showFirstColumn="1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50A1FF75-4222-274E-9160-E2FB764A2675}" name="Analysis_4115" displayName="Analysis_4115" ref="A24:H30" totalsRowShown="0" headerRowDxfId="1733" headerRowBorderDxfId="1731" tableBorderDxfId="1732" totalsRowBorderDxfId="1730">
  <autoFilter ref="A24:H30" xr:uid="{56A7DA99-B3FE-004D-BFF6-DA1337F7D6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8097F8E-EB68-6F46-B1F4-124E89F80EA3}" name="Reference" dataDxfId="1729"/>
    <tableColumn id="2" xr3:uid="{70CD1C00-1840-1F4D-9CE3-2E44004F35B0}" name="Atheletes " dataDxfId="1728"/>
    <tableColumn id="3" xr3:uid="{58109E97-F146-4D4A-ABD7-17EEC62E1153}" name="WIN"/>
    <tableColumn id="4" xr3:uid="{2C94A982-7C35-D245-8AEE-774A1A24CCD7}" name="LOSE"/>
    <tableColumn id="5" xr3:uid="{55751D37-6C83-A242-AF2B-51EC639404D6}" name="Saldo"/>
    <tableColumn id="6" xr3:uid="{A0877F68-61D0-A04B-8B0B-80A41BA383B4}" name="PM"/>
    <tableColumn id="7" xr3:uid="{CDF0ADBB-8CA3-6243-AABB-CEC2A4B2CFB4}" name="Rank"/>
    <tableColumn id="9" xr3:uid="{9162B535-F44B-854F-99F1-329423DBE9DB}" name="Rank support" dataDxfId="1727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E85A1F62-B4FF-1440-B4DD-947AF93A45CE}" name="Games_2126" displayName="Games_2126" ref="B1:R13" totalsRowShown="0" headerRowDxfId="1726" dataDxfId="1725" headerRowBorderDxfId="1723" tableBorderDxfId="1724" totalsRowBorderDxfId="1722">
  <autoFilter ref="B1:R13" xr:uid="{C79D687B-AEB2-42F8-B262-AEDE9265CB48}"/>
  <tableColumns count="17">
    <tableColumn id="3" xr3:uid="{21D50146-ED7A-364D-8B60-046B01D0EC4E}" name="GROUP" dataDxfId="1721"/>
    <tableColumn id="4" xr3:uid="{94E7ADED-7147-1745-B9D7-FEC8CE2ED5A2}" name="ATHLETE 1" dataDxfId="1720"/>
    <tableColumn id="5" xr3:uid="{5971C1D3-E07C-2846-824A-2C8F10CE567C}" name="ATHLETE 2" dataDxfId="1719"/>
    <tableColumn id="8" xr3:uid="{FA4E0975-7A4F-F742-B75B-8ACC6C7922A8}" name="SCORE 1" dataDxfId="1718"/>
    <tableColumn id="9" xr3:uid="{5935E6A5-8E36-0342-8143-D27FE964742F}" name="SCORE 2" dataDxfId="1717"/>
    <tableColumn id="6" xr3:uid="{06B9129B-CFE1-984B-9FAE-E74026E367D4}" name="ATHLETE 3" dataDxfId="1716"/>
    <tableColumn id="1" xr3:uid="{F8EA6694-9039-7E48-A92B-7C4D1412591D}" name="X" dataDxfId="1715"/>
    <tableColumn id="2" xr3:uid="{4C254D95-78E4-964C-8235-A0A6A2476228}" name="Y" dataDxfId="1714"/>
    <tableColumn id="16" xr3:uid="{087DCEB7-2E79-684B-8484-9BF2B055DD8A}" name="Z" dataDxfId="1713"/>
    <tableColumn id="17" xr3:uid="{01BB3F56-DBAB-9A49-B807-060A3CF05B6A}" name="A" dataDxfId="1712"/>
    <tableColumn id="7" xr3:uid="{87AF70EE-2D7A-EA49-BC20-E3D987B6C202}" name="ATHLETE 4" dataDxfId="1711"/>
    <tableColumn id="10" xr3:uid="{C2B31B22-CA8A-0E4B-91CE-0A30074615B5}" name="SALDO 12" dataDxfId="1710">
      <calculatedColumnFormula>IF(OR(Games_2126[[#This Row],[SCORE 1]]="",Games_2126[[#This Row],[SCORE 2]]=""),"",Games_2126[[#This Row],[SCORE 1]]-Games_2126[[#This Row],[SCORE 2]])</calculatedColumnFormula>
    </tableColumn>
    <tableColumn id="11" xr3:uid="{8B44301F-001E-294E-A891-E4BD6C88B08F}" name="SALDO 34" dataDxfId="1709">
      <calculatedColumnFormula>IF(OR(Games_2126[[#This Row],[SCORE 1]]="",Games_2126[[#This Row],[SCORE 2]]=""),"",Games_2126[[#This Row],[SCORE 2]]-Games_2126[[#This Row],[SCORE 1]])</calculatedColumnFormula>
    </tableColumn>
    <tableColumn id="12" xr3:uid="{E70BF771-2AAC-5840-9612-89CFB3F3D211}" name="PM 12" dataDxfId="1708">
      <calculatedColumnFormula>IF(Games_2126[[#This Row],[SCORE 1]]="","",Games_2126[[#This Row],[SCORE 1]])</calculatedColumnFormula>
    </tableColumn>
    <tableColumn id="13" xr3:uid="{15E4AED7-6B8B-C240-93C4-3A968AD0C9DC}" name="PM 34" dataDxfId="1707">
      <calculatedColumnFormula>IF(Games_2126[[#This Row],[SCORE 2]]="","",Games_2126[[#This Row],[SCORE 2]])</calculatedColumnFormula>
    </tableColumn>
    <tableColumn id="14" xr3:uid="{3A36800B-569A-D747-9073-6632E95D5C7A}" name="RESULT 12" dataDxfId="1706">
      <calculatedColumnFormula>IF(OR(Games_2126[[#This Row],[SCORE 1]]="",Games_2126[[#This Row],[SCORE 2]]=""),"",IF(Games_2126[[#This Row],[SALDO 12]]&gt;0, "WIN","LOSE"))</calculatedColumnFormula>
    </tableColumn>
    <tableColumn id="15" xr3:uid="{750062C2-6254-0D41-A5FE-2CF032A3833A}" name="RESULT 34" dataDxfId="1705">
      <calculatedColumnFormula>IF(OR(Games_2126[[#This Row],[SCORE 2]]="",Games_2126[[#This Row],[SCORE 1]]=""),"",IF(Games_2126[[#This Row],[SALDO 34]]&gt;0, "WIN","LOSE"))</calculatedColumnFormula>
    </tableColumn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D8984642-A74F-8344-934F-4680696B8DD1}" name="Analysis_3127" displayName="Analysis_3127" ref="A16:H22" totalsRowShown="0" headerRowDxfId="1704" dataDxfId="1703" headerRowBorderDxfId="1701" tableBorderDxfId="1702" totalsRowBorderDxfId="1700">
  <autoFilter ref="A16:H22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4C7FDC05-354A-094B-BA3F-B6E31BF38924}" name="Reference" dataDxfId="1699"/>
    <tableColumn id="1" xr3:uid="{870FD577-2B03-034C-ABBB-628C8971F889}" name="Atheletes " dataDxfId="1698"/>
    <tableColumn id="8" xr3:uid="{FCBFA382-87FC-F245-ACD6-9095A9E39220}" name="WIN" dataDxfId="1697"/>
    <tableColumn id="5" xr3:uid="{762801C9-00B1-9E41-A9F3-D7C73B92D79E}" name="LOSE" dataDxfId="1696"/>
    <tableColumn id="3" xr3:uid="{604169E8-D9D6-A24F-BEAC-C5B4020E8FC4}" name="Saldo" dataDxfId="1695"/>
    <tableColumn id="4" xr3:uid="{D22DC9A0-953D-9541-B898-724EBE273391}" name="PM" dataDxfId="1694"/>
    <tableColumn id="6" xr3:uid="{300A82A2-1989-EA4B-803E-B0D8B6220D64}" name="Rank" dataDxfId="1693">
      <calculatedColumnFormula>IF(COUNTBLANK(Games_2126[[SCORE 1]:[SCORE 2]])=0,IF(RANK(H17,$H$17:$H$22)=1,RANK(H17,$H$17:$H$22)&amp;"st",IF(RANK(H17,$H$17:$H$22)=2,RANK(H17,$H$17:$H$22)&amp;"nd",IF(RANK(H17,$H$17:$H$22)=3,RANK(H17,$H$17:$H$22)&amp;"rd",RANK(H17,$H$17:$H$22)&amp;"th"))),"")</calculatedColumnFormula>
    </tableColumn>
    <tableColumn id="2" xr3:uid="{63C82875-B33F-D049-B152-74B0A62895EE}" name="Rank support" dataDxfId="1692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4CF181C7-7F5B-FF4C-8103-2B8CE4674AD0}" name="Table157223544789133510128" displayName="Table157223544789133510128" ref="T2:U10" totalsRowShown="0" headerRowDxfId="1691" dataDxfId="1690" headerRowBorderDxfId="1688" tableBorderDxfId="1689">
  <autoFilter ref="T2:U10" xr:uid="{908C589F-0CD0-4EFE-993D-5B2ECC06D04A}">
    <filterColumn colId="0" hiddenButton="1"/>
    <filterColumn colId="1" hiddenButton="1"/>
  </autoFilter>
  <tableColumns count="2">
    <tableColumn id="1" xr3:uid="{230038DA-4966-BD4B-8280-5865C521AA8F}" name="Athlete" dataDxfId="1687"/>
    <tableColumn id="2" xr3:uid="{11DF0606-F8BF-2A46-ABCB-9DF78C260713}" name="Rank" dataDxfId="1686"/>
  </tableColumns>
  <tableStyleInfo name="TableStyleMedium2" showFirstColumn="1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F1181FCA-4E4A-BC43-8AAF-1E784432A192}" name="Analysis_4132" displayName="Analysis_4132" ref="A24:H30" totalsRowShown="0" headerRowDxfId="1685" headerRowBorderDxfId="1683" tableBorderDxfId="1684" totalsRowBorderDxfId="1682">
  <autoFilter ref="A24:H30" xr:uid="{56A7DA99-B3FE-004D-BFF6-DA1337F7D6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C1CF683-05EB-9F44-8B95-B9A8A73E7199}" name="Reference" dataDxfId="1681"/>
    <tableColumn id="2" xr3:uid="{F2918FC7-4BEF-6D4C-9DE5-61E133CB304A}" name="Atheletes " dataDxfId="1680"/>
    <tableColumn id="3" xr3:uid="{5EF3A84C-B26F-BC45-8E1C-577FA25B3641}" name="WIN"/>
    <tableColumn id="4" xr3:uid="{38889CAC-A7CD-1943-B2E2-15E4423E6F78}" name="LOSE"/>
    <tableColumn id="5" xr3:uid="{A0A7407E-2135-9C49-BC9C-3C0EEF388153}" name="Saldo"/>
    <tableColumn id="6" xr3:uid="{434E5B2A-2FE9-7B4F-924A-9A7237CFCCC3}" name="PM"/>
    <tableColumn id="7" xr3:uid="{36431C78-C87D-2B4E-94AB-AE93849036F9}" name="Rank"/>
    <tableColumn id="9" xr3:uid="{FA156FC8-AB74-9646-A449-2DA112AE06DA}" name="Rank support" dataDxfId="1679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C784E8E6-4703-2D42-943D-F65BA5716A4E}" name="Games_2151" displayName="Games_2151" ref="B1:R19" totalsRowShown="0" headerRowDxfId="1678" dataDxfId="1677" headerRowBorderDxfId="1675" tableBorderDxfId="1676" totalsRowBorderDxfId="1674">
  <autoFilter ref="B1:R19" xr:uid="{C79D687B-AEB2-42F8-B262-AEDE9265CB48}"/>
  <tableColumns count="17">
    <tableColumn id="3" xr3:uid="{FE091CDA-AB44-C749-BA11-10D675B780D9}" name="GROUP" dataDxfId="1673"/>
    <tableColumn id="4" xr3:uid="{B86A8E0C-DE3A-B343-8D2F-32A132ED24AB}" name="ATHLETE 1" dataDxfId="1672"/>
    <tableColumn id="5" xr3:uid="{7A8230E7-5F5B-524A-BBB8-E6192CF7B7FA}" name="ATHLETE 2" dataDxfId="1671"/>
    <tableColumn id="8" xr3:uid="{186A2BE8-478F-6C4B-9492-B1367F9D34CF}" name="SCORE 1" dataDxfId="1670"/>
    <tableColumn id="9" xr3:uid="{592ECF30-A0FD-7F4B-B5E8-54327C2E8AF1}" name="SCORE 2" dataDxfId="1669"/>
    <tableColumn id="6" xr3:uid="{6C5B1806-E660-984A-BFFA-79C205FF5E48}" name="ATHLETE 3" dataDxfId="1668"/>
    <tableColumn id="1" xr3:uid="{C3B2C43A-1D29-F344-BE5C-893413E3C886}" name="X" dataDxfId="1667"/>
    <tableColumn id="2" xr3:uid="{95423852-9E62-2F42-8B6A-459579580A6A}" name="Y" dataDxfId="1666"/>
    <tableColumn id="16" xr3:uid="{B004F13E-A91C-8F44-97F9-8BB6EDA9C1D9}" name="Z" dataDxfId="1665"/>
    <tableColumn id="17" xr3:uid="{D988F240-38E7-F44B-9BAC-E3B090DBD736}" name="A" dataDxfId="1664"/>
    <tableColumn id="7" xr3:uid="{7728034D-36F4-5441-AFEA-C53FA3846BA6}" name="ATHLETE 4" dataDxfId="1663"/>
    <tableColumn id="10" xr3:uid="{263DA0CD-5E7A-D241-921F-A1506642A6D5}" name="SALDO 12" dataDxfId="1662">
      <calculatedColumnFormula>IF(OR(Games_2151[[#This Row],[SCORE 1]]="",Games_2151[[#This Row],[SCORE 2]]=""),"",Games_2151[[#This Row],[SCORE 1]]-Games_2151[[#This Row],[SCORE 2]])</calculatedColumnFormula>
    </tableColumn>
    <tableColumn id="11" xr3:uid="{6DA755B3-1CC0-C444-898C-19DBE7A4EA3F}" name="SALDO 34" dataDxfId="1661">
      <calculatedColumnFormula>IF(OR(Games_2151[[#This Row],[SCORE 1]]="",Games_2151[[#This Row],[SCORE 2]]=""),"",Games_2151[[#This Row],[SCORE 2]]-Games_2151[[#This Row],[SCORE 1]])</calculatedColumnFormula>
    </tableColumn>
    <tableColumn id="12" xr3:uid="{BD1855CC-2B86-7E49-B87B-494357A5BFFF}" name="PM 12" dataDxfId="1660">
      <calculatedColumnFormula>IF(Games_2151[[#This Row],[SCORE 1]]="","",Games_2151[[#This Row],[SCORE 1]])</calculatedColumnFormula>
    </tableColumn>
    <tableColumn id="13" xr3:uid="{9B638459-19BD-D442-81D9-0B1DFFB27BCB}" name="PM 34" dataDxfId="1659">
      <calculatedColumnFormula>IF(Games_2151[[#This Row],[SCORE 2]]="","",Games_2151[[#This Row],[SCORE 2]])</calculatedColumnFormula>
    </tableColumn>
    <tableColumn id="14" xr3:uid="{1C672048-81EF-F644-BE9B-40340B235AE8}" name="RESULT 12" dataDxfId="1658">
      <calculatedColumnFormula>IF(OR(Games_2151[[#This Row],[SCORE 1]]="",Games_2151[[#This Row],[SCORE 2]]=""),"",IF(Games_2151[[#This Row],[SALDO 12]]&gt;0, "WIN","LOSE"))</calculatedColumnFormula>
    </tableColumn>
    <tableColumn id="15" xr3:uid="{7FB7EBCE-AF0F-1941-B2C6-9FADB450C450}" name="RESULT 34" dataDxfId="1657">
      <calculatedColumnFormula>IF(OR(Games_2151[[#This Row],[SCORE 2]]="",Games_2151[[#This Row],[SCORE 1]]=""),"",IF(Games_2151[[#This Row],[SALDO 34]]&gt;0, "WIN","LOSE"))</calculatedColumnFormula>
    </tableColumn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14E4A5B0-64A2-9148-8341-61E6DA8DEB63}" name="Analysis_3152" displayName="Analysis_3152" ref="A22:H28" totalsRowShown="0" headerRowDxfId="1656" dataDxfId="1655" headerRowBorderDxfId="1653" tableBorderDxfId="1654" totalsRowBorderDxfId="1652">
  <autoFilter ref="A22:H28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3:G26">
    <sortCondition descending="1" ref="D23:D26"/>
    <sortCondition descending="1" ref="E23:E26"/>
    <sortCondition descending="1" ref="F23:F26"/>
  </sortState>
  <tableColumns count="8">
    <tableColumn id="7" xr3:uid="{A34DAA88-7426-8943-B4C8-C1FEE36A0BE3}" name="Reference" dataDxfId="1651"/>
    <tableColumn id="1" xr3:uid="{84F6C23A-A277-314F-8615-96AD9206C6A3}" name="Atheletes " dataDxfId="1650"/>
    <tableColumn id="8" xr3:uid="{9009252C-8D86-F948-B9EF-FBF03CC1798A}" name="WIN" dataDxfId="1649"/>
    <tableColumn id="5" xr3:uid="{1E8E588D-4472-8645-99DD-9DA8C7F3F33E}" name="LOSE" dataDxfId="1648"/>
    <tableColumn id="3" xr3:uid="{EFBA1110-AE9F-224E-9106-9371D645092E}" name="Saldo" dataDxfId="1647"/>
    <tableColumn id="4" xr3:uid="{DD3481CF-425C-544D-9A8B-933A490F2690}" name="PM" dataDxfId="1646"/>
    <tableColumn id="6" xr3:uid="{4CC96C70-B6BA-EA47-85A6-E87CBFCD2F84}" name="Rank" dataDxfId="1645">
      <calculatedColumnFormula>IF(COUNTBLANK(Games_2151[[SCORE 1]:[SCORE 2]])=0,IF(RANK(H23,$H$23:$H$28)=1,RANK(H23,$H$23:$H$28)&amp;"st",IF(RANK(H23,$H$23:$H$28)=2,RANK(H23,$H$23:$H$28)&amp;"nd",IF(RANK(H23,$H$23:$H$28)=3,RANK(H23,$H$23:$H$28)&amp;"rd",RANK(H23,$H$23:$H$28)&amp;"th"))),"")</calculatedColumnFormula>
    </tableColumn>
    <tableColumn id="2" xr3:uid="{4E36CF01-07A6-9C49-8385-F80B33C73E6B}" name="Rank support" dataDxfId="1644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D739562C-96E4-B34F-A8A8-CC7C233B2B22}" name="Table157223544789133510153" displayName="Table157223544789133510153" ref="T2:U14" totalsRowShown="0" headerRowDxfId="1643" dataDxfId="1642" headerRowBorderDxfId="1640" tableBorderDxfId="1641">
  <autoFilter ref="T2:U14" xr:uid="{908C589F-0CD0-4EFE-993D-5B2ECC06D04A}">
    <filterColumn colId="0" hiddenButton="1"/>
    <filterColumn colId="1" hiddenButton="1"/>
  </autoFilter>
  <tableColumns count="2">
    <tableColumn id="1" xr3:uid="{0349FA7A-48A7-E348-BD2A-71E0E0008CD3}" name="Athlete" dataDxfId="1639"/>
    <tableColumn id="2" xr3:uid="{6DE4C10F-6C67-4A48-AF78-F2C30D967116}" name="Rank" dataDxfId="1638"/>
  </tableColumns>
  <tableStyleInfo name="TableStyleMedium2" showFirstColumn="1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25CCABC-9A93-4946-B58B-4430D8D3529E}" name="Analysis_4168" displayName="Analysis_4168" ref="A30:H36" totalsRowShown="0" headerRowDxfId="1637" headerRowBorderDxfId="1635" tableBorderDxfId="1636" totalsRowBorderDxfId="1634">
  <autoFilter ref="A30:H36" xr:uid="{56A7DA99-B3FE-004D-BFF6-DA1337F7D6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F5DCA2B-4A3C-D74A-904D-C15B4208B384}" name="Reference" dataDxfId="1633"/>
    <tableColumn id="2" xr3:uid="{C5A08868-B61D-8A40-BF4D-18BCCCA02035}" name="Atheletes " dataDxfId="1632"/>
    <tableColumn id="3" xr3:uid="{E5092372-06D8-9644-9E47-8DF304591536}" name="WIN"/>
    <tableColumn id="4" xr3:uid="{E14A8644-C8D0-CE4D-B7A4-98B48E4D9881}" name="LOSE"/>
    <tableColumn id="5" xr3:uid="{3E9F74D2-DF69-9B4D-8358-5CCA7DED23CD}" name="Saldo"/>
    <tableColumn id="6" xr3:uid="{99F4B416-89A9-AA47-919E-0CDA1E72EBB1}" name="PM"/>
    <tableColumn id="7" xr3:uid="{B68E7AF9-93A4-4D41-8179-A57889FF2CF0}" name="Rank"/>
    <tableColumn id="9" xr3:uid="{B05CD435-CFE8-D346-9BAF-53EF8B8C80FF}" name="Rank support" dataDxfId="1631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D57E7D76-B323-8B4B-9F18-83E6F0C534D8}" name="Analysis_4168177" displayName="Analysis_4168177" ref="A38:H44" totalsRowShown="0" headerRowDxfId="1630" headerRowBorderDxfId="1628" tableBorderDxfId="1629" totalsRowBorderDxfId="1627">
  <autoFilter ref="A38:H44" xr:uid="{D57E7D76-B323-8B4B-9F18-83E6F0C534D8}"/>
  <tableColumns count="8">
    <tableColumn id="1" xr3:uid="{9DBB9817-42D2-5549-A023-56D62E976C33}" name="Reference" dataDxfId="1626"/>
    <tableColumn id="2" xr3:uid="{D382AE40-0B06-A64C-817D-51A4B18E59B9}" name="Atheletes " dataDxfId="1625"/>
    <tableColumn id="3" xr3:uid="{63DD75FC-ED22-A247-85AB-64EB4180A06F}" name="WIN"/>
    <tableColumn id="4" xr3:uid="{E1171B7A-DCC1-194E-8167-7821D14F70E8}" name="LOSE"/>
    <tableColumn id="5" xr3:uid="{B254C41B-09EC-954F-9CB8-8C703BCE0BAF}" name="Saldo"/>
    <tableColumn id="6" xr3:uid="{CEF05511-0EA7-D044-A379-642C90B5D500}" name="PM"/>
    <tableColumn id="7" xr3:uid="{70347BDC-E01E-2344-A75A-2B0C2F495F39}" name="Rank"/>
    <tableColumn id="9" xr3:uid="{769A0FE9-55D4-B64C-8C40-7CFCED0BAA8A}" name="Rank support" dataDxfId="1624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E6FDDE59-E32D-B746-B1DF-E44DADE0BBCF}" name="Table4101317251247545298684173134138" displayName="Table4101317251247545298684173134138" ref="B1:R13" totalsRowShown="0" headerRowDxfId="1623" dataDxfId="1622" headerRowBorderDxfId="1620" tableBorderDxfId="1621" totalsRowBorderDxfId="1619">
  <autoFilter ref="B1:R13" xr:uid="{A141227C-F003-854E-9899-A50CBF1EC571}"/>
  <tableColumns count="17">
    <tableColumn id="3" xr3:uid="{7A795261-D20B-5148-98C3-14A064D5278A}" name="GROUP" dataDxfId="1618"/>
    <tableColumn id="5" xr3:uid="{A01C89C5-BE88-1741-BA90-C0CBE43DF8C5}" name="ATHLETE 2" dataDxfId="1617"/>
    <tableColumn id="8" xr3:uid="{BF6B751D-EE0F-E545-B2AD-947332559E4B}" name="SCORE 1" dataDxfId="1616"/>
    <tableColumn id="9" xr3:uid="{2AC14D52-C9FE-0D4D-9B8B-329E34CA5BD8}" name="SCORE 2" dataDxfId="1615"/>
    <tableColumn id="17" xr3:uid="{D1FFDB8A-8189-2840-8AE7-758B6ACC3EC5}" name="X" dataDxfId="1614"/>
    <tableColumn id="16" xr3:uid="{A666AD3B-61E0-6C44-BF3F-4D5ACD15C85C}" name="Y" dataDxfId="1613"/>
    <tableColumn id="2" xr3:uid="{20A0E6D4-2A5C-2443-91ED-B9641C6F6040}" name="Z" dataDxfId="1612"/>
    <tableColumn id="6" xr3:uid="{AB33D18A-0F1C-4941-8FDA-11C2C1656665}" name="Column2" dataDxfId="1611"/>
    <tableColumn id="4" xr3:uid="{A2155C7D-8634-9F4D-B2BC-BF0B6D4A5EC5}" name="Column1" dataDxfId="1610"/>
    <tableColumn id="1" xr3:uid="{A40E6D6C-A8E3-EC43-BEFE-29A472942A28}" name="A" dataDxfId="1609"/>
    <tableColumn id="7" xr3:uid="{F34F71BF-655F-C44E-94B0-B82C3843D1A4}" name="ATHLETE 4" dataDxfId="1608"/>
    <tableColumn id="10" xr3:uid="{3C153B92-27E0-3749-94B0-B0D5582FF589}" name="SALDO 12" dataDxfId="1607">
      <calculatedColumnFormula>IF(OR(Table4101317251247545298684173134138[[#This Row],[SCORE 1]]="",Table4101317251247545298684173134138[[#This Row],[SCORE 2]]=""),"",Table4101317251247545298684173134138[[#This Row],[SCORE 1]]-Table4101317251247545298684173134138[[#This Row],[SCORE 2]])</calculatedColumnFormula>
    </tableColumn>
    <tableColumn id="11" xr3:uid="{99608E5F-FFC6-9E4B-99B1-98836ED15352}" name="SALDO 34" dataDxfId="1606">
      <calculatedColumnFormula>IF(OR(Table4101317251247545298684173134138[[#This Row],[SCORE 1]]="",Table4101317251247545298684173134138[[#This Row],[SCORE 2]]=""),"",Table4101317251247545298684173134138[[#This Row],[SCORE 2]]-Table4101317251247545298684173134138[[#This Row],[SCORE 1]])</calculatedColumnFormula>
    </tableColumn>
    <tableColumn id="12" xr3:uid="{E2E6218A-E754-9349-B0B4-3C2C57E4E032}" name="PM 12" dataDxfId="1605">
      <calculatedColumnFormula>IF(Table4101317251247545298684173134138[[#This Row],[SCORE 1]]="","",Table4101317251247545298684173134138[[#This Row],[SCORE 1]])</calculatedColumnFormula>
    </tableColumn>
    <tableColumn id="13" xr3:uid="{42A9DF60-E9B1-E44C-9A12-C683617077F6}" name="PM 34" dataDxfId="1604">
      <calculatedColumnFormula>IF(Table4101317251247545298684173134138[[#This Row],[SCORE 2]]="","",Table4101317251247545298684173134138[[#This Row],[SCORE 2]])</calculatedColumnFormula>
    </tableColumn>
    <tableColumn id="14" xr3:uid="{78768750-8577-0240-97AC-38D20AD9171F}" name="RESULT 12" dataDxfId="1603">
      <calculatedColumnFormula>IF(OR(Table4101317251247545298684173134138[[#This Row],[SCORE 1]]="",Table4101317251247545298684173134138[[#This Row],[SCORE 2]]=""),"",IF(Table4101317251247545298684173134138[[#This Row],[SALDO 12]]&gt;0, "WIN","LOSE"))</calculatedColumnFormula>
    </tableColumn>
    <tableColumn id="15" xr3:uid="{3C3E87C2-E2A7-F344-B895-4EC6AAF8A801}" name="RESULT 34" dataDxfId="1602">
      <calculatedColumnFormula>IF(OR(Table4101317251247545298684173134138[[#This Row],[SCORE 1]]="",Table4101317251247545298684173134138[[#This Row],[SCORE 2]]=""),"",IF(Table4101317251247545298684173134138[[#This Row],[SALDO 34]]&gt;0, "WIN","LOSE"))</calculatedColumnFormula>
    </tableColumn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542B2F85-045B-9347-BCB2-57DF8FD6FC7D}" name="Table36111418263048555399694375135139" displayName="Table36111418263048555399694375135139" ref="A16:H20" totalsRowShown="0" headerRowDxfId="1601" dataDxfId="1600" headerRowBorderDxfId="1598" tableBorderDxfId="1599" totalsRowBorderDxfId="1597">
  <autoFilter ref="A16:H20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E35B856A-A754-9440-B574-1C1F6A0CD0AD}" name="Group" dataDxfId="1596"/>
    <tableColumn id="1" xr3:uid="{F173A997-10B6-5941-8B5C-260EBB80AC70}" name="Team" dataDxfId="1595"/>
    <tableColumn id="8" xr3:uid="{36AE1708-A6F4-7C4E-85ED-88B0AE9863F1}" name="WIN" dataDxfId="1594">
      <calculatedColumnFormula>SUM(COUNTIFS(Table4101317251247545298684173134138[ATHLETE 2],Table36111418263048555399694375135139[[#This Row],[Team]],Table4101317251247545298684173134138[RESULT 12],Table36111418263048555399694375135139[[#Headers],[WIN]]),COUNTIFS(Table4101317251247545298684173134138[ATHLETE 4],Table36111418263048555399694375135139[[#This Row],[Team]],Table4101317251247545298684173134138[RESULT 34],Table36111418263048555399694375135139[[#Headers],[WIN]]))</calculatedColumnFormula>
    </tableColumn>
    <tableColumn id="5" xr3:uid="{AC223860-F1A9-D84B-BCA3-F360F70EA0C5}" name="LOSE" dataDxfId="1593">
      <calculatedColumnFormula>SUM(COUNTIFS(Table4101317251247545298684173134138[ATHLETE 2],Table36111418263048555399694375135139[[#This Row],[Team]],Table4101317251247545298684173134138[RESULT 12],Table36111418263048555399694375135139[[#Headers],[LOSE]]),COUNTIFS(Table4101317251247545298684173134138[ATHLETE 4],Table36111418263048555399694375135139[[#This Row],[Team]],Table4101317251247545298684173134138[RESULT 34],Table36111418263048555399694375135139[[#Headers],[LOSE]]))</calculatedColumnFormula>
    </tableColumn>
    <tableColumn id="3" xr3:uid="{605C6314-396C-2A4E-89EC-5A04749E0631}" name="Saldo" dataDxfId="1592">
      <calculatedColumnFormula>SUM(SUMIF(Table4101317251247545298684173134138[ATHLETE 2],Table36111418263048555399694375135139[[#This Row],[Team]],Table4101317251247545298684173134138[SALDO 12]),SUMIF(Table4101317251247545298684173134138[ATHLETE 4],Table36111418263048555399694375135139[[#This Row],[Team]],Table4101317251247545298684173134138[SALDO 34]))</calculatedColumnFormula>
    </tableColumn>
    <tableColumn id="4" xr3:uid="{76FF9C54-3262-C642-B3B3-83B6497BD0EA}" name="PM" dataDxfId="1591">
      <calculatedColumnFormula>SUM(SUMIF(Table4101317251247545298684173134138[ATHLETE 2],Table36111418263048555399694375135139[[#This Row],[Team]],Table4101317251247545298684173134138[PM 12]),SUMIF(Table4101317251247545298684173134138[ATHLETE 4],Table36111418263048555399694375135139[[#This Row],[Team]],Table4101317251247545298684173134138[PM 34]))</calculatedColumnFormula>
    </tableColumn>
    <tableColumn id="6" xr3:uid="{EC439E65-317C-8043-8D0D-902E4D420233}" name="Rank" dataDxfId="1590">
      <calculatedColumnFormula>IF(COUNTBLANK(Table4101317251247545298684173134138[[SCORE 1]:[SCORE 2]])=0,IF(RANK(H17,$H$17:$H$20)=1,RANK(H17,$H$17:$H$20)&amp;"st",IF(RANK(H17,$H$17:$H$20)=2,RANK(H17,$H$17:$H$20)&amp;"nd",RANK(H17,$H$17:$H$20)&amp;"th")),"")</calculatedColumnFormula>
    </tableColumn>
    <tableColumn id="2" xr3:uid="{22631741-F16E-D541-8A57-7E621444A0E1}" name="Rank support" dataDxfId="1589">
      <calculatedColumnFormula>Table36111418263048555399694375135139[[#This Row],[WIN]]*1000000+Table36111418263048555399694375135139[[#This Row],[Saldo]]*1000+Table36111418263048555399694375135139[[#This Row],[PM]]</calculatedColumnFormula>
    </tableColumn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35907393-5A08-B840-B183-6BA9599435CC}" name="Table61215192731495671100704476136140" displayName="Table61215192731495671100704476136140" ref="A22:H26" totalsRowShown="0" headerRowDxfId="1588" dataDxfId="1587" headerRowBorderDxfId="1585" tableBorderDxfId="1586" totalsRowBorderDxfId="1584">
  <autoFilter ref="A22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3:G26">
    <sortCondition descending="1" ref="D23:D26"/>
    <sortCondition descending="1" ref="E23:E26"/>
    <sortCondition descending="1" ref="F23:F26"/>
  </sortState>
  <tableColumns count="8">
    <tableColumn id="1" xr3:uid="{BF5C2EE3-B229-7A49-B9E2-E6D8233B4128}" name="Group" dataDxfId="1583"/>
    <tableColumn id="2" xr3:uid="{2C80D565-7D52-EA4C-88D4-0DAB2D6548F3}" name="Team" dataDxfId="1582"/>
    <tableColumn id="7" xr3:uid="{CEDB53C8-DEE7-C843-B9C1-5785526DE5C7}" name="WIN" dataDxfId="1581">
      <calculatedColumnFormula>SUM(COUNTIFS(Table4101317251247545298684173134138[ATHLETE 2],Table61215192731495671100704476136140[[#This Row],[Team]],Table4101317251247545298684173134138[RESULT 12],Table36111418263048555399694375135139[[#Headers],[WIN]]),COUNTIFS(Table4101317251247545298684173134138[ATHLETE 4],Table61215192731495671100704476136140[[#This Row],[Team]],Table4101317251247545298684173134138[RESULT 34],Table36111418263048555399694375135139[[#Headers],[WIN]]))</calculatedColumnFormula>
    </tableColumn>
    <tableColumn id="5" xr3:uid="{C34E6E0D-C902-774E-A3C1-ECFC0F02C478}" name="LOSE" dataDxfId="1580">
      <calculatedColumnFormula>SUM(COUNTIFS(Table4101317251247545298684173134138[ATHLETE 2],Table61215192731495671100704476136140[[#This Row],[Team]],Table4101317251247545298684173134138[RESULT 12],Table36111418263048555399694375135139[[#Headers],[LOSE]]),COUNTIFS(Table4101317251247545298684173134138[ATHLETE 4],Table61215192731495671100704476136140[[#This Row],[Team]],Table4101317251247545298684173134138[RESULT 34],Table36111418263048555399694375135139[[#Headers],[LOSE]]))</calculatedColumnFormula>
    </tableColumn>
    <tableColumn id="3" xr3:uid="{DE489BFF-B3BB-A049-A94B-93AD05E4FF77}" name="Saldo" dataDxfId="1579">
      <calculatedColumnFormula>SUM(SUMIF(Table4101317251247545298684173134138[ATHLETE 2],Table61215192731495671100704476136140[[#This Row],[Team]],Table4101317251247545298684173134138[SALDO 12]),SUMIF(Table4101317251247545298684173134138[ATHLETE 4],Table61215192731495671100704476136140[[#This Row],[Team]],Table4101317251247545298684173134138[SALDO 34]))</calculatedColumnFormula>
    </tableColumn>
    <tableColumn id="4" xr3:uid="{5DA524F6-9DF9-A343-9035-B488E16DDAD6}" name="PM" dataDxfId="1578">
      <calculatedColumnFormula>SUM(SUMIF(Table4101317251247545298684173134138[ATHLETE 2],Table61215192731495671100704476136140[[#This Row],[Team]],Table4101317251247545298684173134138[PM 12]),SUMIF(Table4101317251247545298684173134138[ATHLETE 4],Table61215192731495671100704476136140[[#This Row],[Team]],Table4101317251247545298684173134138[PM 34]))</calculatedColumnFormula>
    </tableColumn>
    <tableColumn id="6" xr3:uid="{B027E544-3EF8-664B-9597-2E97709E587A}" name="Rank" dataDxfId="1577">
      <calculatedColumnFormula>IF(COUNTBLANK(Table4101317251247545298684173134138[[SCORE 1]:[SCORE 2]])=0,IF(RANK(H23,$H$23:$H$26)=1,RANK(H23,$H$23:$H$26)&amp;"st",IF(RANK(H23,$H$23:$H$26)=2,RANK(H23,$H$23:$H$26)&amp;"nd",RANK(H23,$H$23:$H$26)&amp;"th")),"")</calculatedColumnFormula>
    </tableColumn>
    <tableColumn id="8" xr3:uid="{8420F37C-2B4A-9342-97AD-D0867FF3BCFD}" name="Rank support" dataDxfId="1576">
      <calculatedColumnFormula>Table61215192731495671100704476136140[[#This Row],[WIN]]*1000000+Table61215192731495671100704476136140[[#This Row],[Saldo]]*1000+Table61215192731495671100704476136140[[#This Row],[PM]]</calculatedColumnFormula>
    </tableColumn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627A7178-7D3E-3C4E-835B-91BB88C4580A}" name="Table15202832506072101714577137141" displayName="Table15202832506072101714577137141" ref="T2:U10" totalsRowShown="0" headerRowDxfId="1575" dataDxfId="1574" headerRowBorderDxfId="1572" tableBorderDxfId="1573">
  <autoFilter ref="T2:U10" xr:uid="{908C589F-0CD0-4EFE-993D-5B2ECC06D04A}">
    <filterColumn colId="0" hiddenButton="1"/>
    <filterColumn colId="1" hiddenButton="1"/>
  </autoFilter>
  <tableColumns count="2">
    <tableColumn id="1" xr3:uid="{8A4DEB97-C6B5-884B-9093-DB31E2875385}" name="Athlete" dataDxfId="1571"/>
    <tableColumn id="2" xr3:uid="{B02909F4-01C5-6148-AFAD-A83D25F2945B}" name="Rank" dataDxfId="1570"/>
  </tableColumns>
  <tableStyleInfo name="TableStyleMedium2" showFirstColumn="1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7A0ED1B3-C36F-1F45-9DEC-1A9544501ABB}" name="Games_2116" displayName="Games_2116" ref="B1:S22" totalsRowShown="0" headerRowDxfId="1569" dataDxfId="1568" headerRowBorderDxfId="1566" tableBorderDxfId="1567" totalsRowBorderDxfId="1565">
  <autoFilter ref="B1:S22" xr:uid="{C79D687B-AEB2-42F8-B262-AEDE9265CB48}"/>
  <sortState xmlns:xlrd2="http://schemas.microsoft.com/office/spreadsheetml/2017/richdata2" ref="B2:S22">
    <sortCondition ref="B1:B22"/>
  </sortState>
  <tableColumns count="18">
    <tableColumn id="3" xr3:uid="{B4EAAAE1-51C3-284C-9EA8-2689BF3CCC55}" name="GROUP" dataDxfId="1564"/>
    <tableColumn id="4" xr3:uid="{F4193C9B-7E3B-B04D-84E1-1E96721E1AA3}" name="ATHLETE 1" dataDxfId="1563"/>
    <tableColumn id="5" xr3:uid="{1AC7C2A7-9E25-6740-AD97-BF29C1D81A2E}" name="ATHLETE 2" dataDxfId="1562"/>
    <tableColumn id="8" xr3:uid="{32385A0A-1D71-7C48-83D5-49CF897A2D38}" name="SCORE 1" dataDxfId="1561"/>
    <tableColumn id="9" xr3:uid="{D75EF362-503A-BF47-A2AB-CB74EAD22BB7}" name="SCORE 2" dataDxfId="1560"/>
    <tableColumn id="18" xr3:uid="{F7E5BF93-20EC-774A-93C3-DC2CB03B0BD1}" name="SCORE 3" dataDxfId="1559"/>
    <tableColumn id="6" xr3:uid="{2CAB7286-201D-F042-8BDD-28F71DBC036D}" name="ATHLETE 3" dataDxfId="1558">
      <calculatedColumnFormula array="1">INDEX($B$35:$B$41, MOD(ROW()-2,7)+1)</calculatedColumnFormula>
    </tableColumn>
    <tableColumn id="1" xr3:uid="{0CCF6803-2271-C345-9EFC-FED8966A9211}" name="X" dataDxfId="1557"/>
    <tableColumn id="2" xr3:uid="{C6BA963A-8D07-F64C-9C0E-C727AA39F699}" name="Y" dataDxfId="1556"/>
    <tableColumn id="16" xr3:uid="{EB56AF7D-2005-E343-BF80-50F5FD137DAF}" name="Z" dataDxfId="1555"/>
    <tableColumn id="17" xr3:uid="{73F73F89-1E9F-8947-9219-2882C83815CA}" name="A" dataDxfId="1554"/>
    <tableColumn id="7" xr3:uid="{F89754DC-709C-FF43-B465-98419BFA1C6C}" name="ATHLETE 4" dataDxfId="1553">
      <calculatedColumnFormula array="1">INDEX($B$35:$B$41, MOD(ROW()-1,7)+1)</calculatedColumnFormula>
    </tableColumn>
    <tableColumn id="10" xr3:uid="{F0C444F0-E335-F146-A666-0AC6DCFD8410}" name="SALDO 12" dataDxfId="1552">
      <calculatedColumnFormula>IF(OR(Games_2116[[#This Row],[SCORE 1]]="",Games_2116[[#This Row],[SCORE 2]]=""),"",Games_2116[[#This Row],[SCORE 1]]-Games_2116[[#This Row],[SCORE 2]])</calculatedColumnFormula>
    </tableColumn>
    <tableColumn id="11" xr3:uid="{156B3578-0D92-8848-9ECC-AF7820A2F15C}" name="SALDO 34" dataDxfId="1551">
      <calculatedColumnFormula>IF(OR(Games_2116[[#This Row],[SCORE 1]]="",Games_2116[[#This Row],[SCORE 2]]=""),"",Games_2116[[#This Row],[SCORE 2]]-Games_2116[[#This Row],[SCORE 1]])</calculatedColumnFormula>
    </tableColumn>
    <tableColumn id="12" xr3:uid="{69358FEB-7C1B-A342-B011-7E089791FA4C}" name="PM 12" dataDxfId="1550">
      <calculatedColumnFormula>IF(Games_2116[[#This Row],[SCORE 1]]="","",Games_2116[[#This Row],[SCORE 1]])</calculatedColumnFormula>
    </tableColumn>
    <tableColumn id="13" xr3:uid="{A6C15202-22CF-D341-9A2A-154BC731A7A8}" name="PM 34" dataDxfId="1549">
      <calculatedColumnFormula>IF(Games_2116[[#This Row],[SCORE 2]]="","",Games_2116[[#This Row],[SCORE 2]])</calculatedColumnFormula>
    </tableColumn>
    <tableColumn id="14" xr3:uid="{4545BD85-A284-F541-B0B9-038721866782}" name="RESULT 12" dataDxfId="1548">
      <calculatedColumnFormula>IF(OR(Games_2116[[#This Row],[SCORE 1]]="",Games_2116[[#This Row],[SCORE 2]]=""),"",IF(Games_2116[[#This Row],[SALDO 12]]&gt;0, "WIN","LOSE"))</calculatedColumnFormula>
    </tableColumn>
    <tableColumn id="15" xr3:uid="{B51462E0-F8B4-3744-9D6B-843292C80EFD}" name="RESULT 34" dataDxfId="1547">
      <calculatedColumnFormula>IF(OR(Games_2116[[#This Row],[SCORE 2]]="",Games_2116[[#This Row],[SCORE 1]]=""),"",IF(Games_2116[[#This Row],[SALDO 34]]&gt;0, "WIN","LOSE"))</calculatedColumnFormula>
    </tableColumn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43E902CF-2295-B74D-BE95-FD5C14E05284}" name="Analysis_3117" displayName="Analysis_3117" ref="A25:H32" totalsRowShown="0" headerRowDxfId="1546" dataDxfId="1545" headerRowBorderDxfId="1543" tableBorderDxfId="1544" totalsRowBorderDxfId="1542">
  <autoFilter ref="A25:H32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6:G29">
    <sortCondition descending="1" ref="D26:D29"/>
    <sortCondition descending="1" ref="E26:E29"/>
    <sortCondition descending="1" ref="F26:F29"/>
  </sortState>
  <tableColumns count="8">
    <tableColumn id="7" xr3:uid="{98A7230B-6CEC-E84B-B3C0-335DDD64686D}" name="Reference" dataDxfId="1541"/>
    <tableColumn id="1" xr3:uid="{52DEB63A-C5E5-C941-8F75-737D733EE842}" name="Athletes" dataDxfId="1540"/>
    <tableColumn id="8" xr3:uid="{3756D725-34CE-0E47-853B-CAAF27523C1E}" name="WIN" dataDxfId="1539">
      <calculatedColumnFormula>SUM(COUNTIFS(Games_2116[ATHLETE 1],Analysis_3117[[#This Row],[Athletes]],Games_2116[RESULT 12],Analysis_3117[[#Headers],[WIN]]),COUNTIFS(Games_2116[ATHLETE 2],Analysis_3117[[#This Row],[Athletes]],Games_2116[RESULT 12],Analysis_3117[[#Headers],[WIN]]),COUNTIFS(Games_2116[ATHLETE 3],Analysis_3117[[#This Row],[Athletes]],Games_2116[RESULT 34],Analysis_3117[[#Headers],[WIN]]),COUNTIFS(Games_2116[ATHLETE 4],Analysis_3117[[#This Row],[Athletes]],Games_2116[RESULT 34],Analysis_3117[[#Headers],[WIN]]))</calculatedColumnFormula>
    </tableColumn>
    <tableColumn id="5" xr3:uid="{5739377C-0BC3-B841-8AC5-011D8D80E87F}" name="LOSE" dataDxfId="1538">
      <calculatedColumnFormula>SUM(COUNTIFS(Games_2116[ATHLETE 1],Analysis_3117[[#This Row],[Athletes]],Games_2116[RESULT 12],Analysis_3117[[#Headers],[LOSE]]),COUNTIFS(Games_2116[ATHLETE 2],Analysis_3117[[#This Row],[Athletes]],Games_2116[RESULT 12],Analysis_3117[[#Headers],[LOSE]]),COUNTIFS(Games_2116[ATHLETE 3],Analysis_3117[[#This Row],[Athletes]],Games_2116[RESULT 34],Analysis_3117[[#Headers],[LOSE]]),COUNTIFS(Games_2116[ATHLETE 4],Analysis_3117[[#This Row],[Athletes]],Games_2116[RESULT 34],Analysis_3117[[#Headers],[LOSE]]))</calculatedColumnFormula>
    </tableColumn>
    <tableColumn id="3" xr3:uid="{94DFFA4D-4363-1B48-91EA-D3BE918D51F5}" name="Saldo" dataDxfId="1537">
      <calculatedColumnFormula>SUM(SUMIF(Games_2116[ATHLETE 1],Analysis_3117[[#This Row],[Athletes]],Games_2116[SALDO 12]),SUMIF(Games_2116[ATHLETE 2],Analysis_3117[[#This Row],[Athletes]],Games_2116[SALDO 12]),SUMIF(Games_2116[ATHLETE 3],Analysis_3117[[#This Row],[Athletes]],Games_2116[SALDO 34]),SUMIF(Games_2116[ATHLETE 4],Analysis_3117[[#This Row],[Athletes]],Games_2116[SALDO 34]))</calculatedColumnFormula>
    </tableColumn>
    <tableColumn id="4" xr3:uid="{E4A3588F-3B25-A94E-A48F-A8AA8D58F199}" name="PM" dataDxfId="1536">
      <calculatedColumnFormula>SUM(SUMIF(Games_2116[ATHLETE 1],Analysis_3117[[#This Row],[Athletes]],Games_2116[PM 12]),SUMIF(Games_2116[ATHLETE 2],Analysis_3117[[#This Row],[Athletes]],Games_2116[PM 12]),SUMIF(Games_2116[ATHLETE 3],Analysis_3117[[#This Row],[Athletes]],Games_2116[PM 34]),SUMIF(Games_2116[ATHLETE 4],Analysis_3117[[#This Row],[Athletes]],Games_2116[PM 34]))</calculatedColumnFormula>
    </tableColumn>
    <tableColumn id="6" xr3:uid="{E567A393-CCF0-F945-9BFF-C340CB7DAFF9}" name="Rank" dataDxfId="1535">
      <calculatedColumnFormula>IF(COUNTBLANK(Games_2116[[SCORE 1]:[SCORE 2]])=0,IF(RANK(H26,$H$26:$H$32)=1,RANK(H26,$H$26:$H$32)&amp;"st",IF(RANK(H26,$H$26:$H$32)=2,RANK(H26,$H$26:$H$32)&amp;"nd",IF(RANK(H26,$H$26:$H$32)=3,RANK(H26,$H$26:$H$32)&amp;"rd",RANK(H26,$H$26:$H$32)&amp;"th"))),"")</calculatedColumnFormula>
    </tableColumn>
    <tableColumn id="2" xr3:uid="{DB9AF932-57B7-314E-8556-25511EE4E1EC}" name="Rank support" dataDxfId="1534">
      <calculatedColumnFormula>Analysis_3117[[#This Row],[WIN]]*1000000+Analysis_3117[[#This Row],[Saldo]]*1000+Analysis_3117[[#This Row],[PM]]</calculatedColumnFormula>
    </tableColumn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459E6FF-2CDD-5549-ABBE-0DA7372ACE65}" name="Table157223544789133510118" displayName="Table157223544789133510118" ref="U2:V16" totalsRowShown="0" headerRowDxfId="1533" dataDxfId="1532" headerRowBorderDxfId="1530" tableBorderDxfId="1531">
  <autoFilter ref="U2:V16" xr:uid="{908C589F-0CD0-4EFE-993D-5B2ECC06D04A}">
    <filterColumn colId="0" hiddenButton="1"/>
    <filterColumn colId="1" hiddenButton="1"/>
  </autoFilter>
  <tableColumns count="2">
    <tableColumn id="1" xr3:uid="{8723DC32-9223-474E-9640-17F65EBD1934}" name="Athlete" dataDxfId="1529"/>
    <tableColumn id="2" xr3:uid="{40B3396A-8523-7149-8D7B-AB25C6582F94}" name="Rank" dataDxfId="1528"/>
  </tableColumns>
  <tableStyleInfo name="TableStyleMedium2" showFirstColumn="1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6AF3461E-E0C9-6B45-BE4F-23E475452861}" name="Analysis_4119" displayName="Analysis_4119" ref="A34:H41" totalsRowShown="0" headerRowDxfId="1527" headerRowBorderDxfId="1525" tableBorderDxfId="1526" totalsRowBorderDxfId="1524">
  <autoFilter ref="A34:H41" xr:uid="{56A7DA99-B3FE-004D-BFF6-DA1337F7D6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8E3E794-E031-5E4E-A9A9-727F9DA23795}" name="Reference" dataDxfId="1523"/>
    <tableColumn id="2" xr3:uid="{26FDBE8C-0C27-EB4F-9B67-297C09C5756C}" name="Athletes" dataDxfId="1522"/>
    <tableColumn id="3" xr3:uid="{D6B83CDE-B48A-E949-83A5-F4ACB8E3FE32}" name="WIN" dataDxfId="1521">
      <calculatedColumnFormula>SUM(COUNTIFS(Games_2116[ATHLETE 1],Analysis_4119[[#This Row],[Athletes]],Games_2116[RESULT 12],Analysis_3117[[#Headers],[WIN]]),COUNTIFS(Games_2116[ATHLETE 2],Analysis_4119[[#This Row],[Athletes]],Games_2116[RESULT 12],Analysis_3117[[#Headers],[WIN]]),COUNTIFS(Games_2116[ATHLETE 3],Analysis_4119[[#This Row],[Athletes]],Games_2116[RESULT 34],Analysis_3117[[#Headers],[WIN]]),COUNTIFS(Games_2116[ATHLETE 4],Analysis_4119[[#This Row],[Athletes]],Games_2116[RESULT 34],Analysis_3117[[#Headers],[WIN]]))</calculatedColumnFormula>
    </tableColumn>
    <tableColumn id="4" xr3:uid="{5DE53786-3B65-5948-A80C-E1CF2C435FBB}" name="LOSE" dataDxfId="1520">
      <calculatedColumnFormula>SUM(COUNTIFS(Games_2116[ATHLETE 1],Analysis_4119[[#This Row],[Athletes]],Games_2116[RESULT 12],Analysis_3117[[#Headers],[LOSE]]),COUNTIFS(Games_2116[ATHLETE 2],Analysis_4119[[#This Row],[Athletes]],Games_2116[RESULT 12],Analysis_3117[[#Headers],[LOSE]]),COUNTIFS(Games_2116[ATHLETE 3],Analysis_4119[[#This Row],[Athletes]],Games_2116[RESULT 34],Analysis_3117[[#Headers],[LOSE]]),COUNTIFS(Games_2116[ATHLETE 4],Analysis_4119[[#This Row],[Athletes]],Games_2116[RESULT 34],Analysis_3117[[#Headers],[LOSE]]))</calculatedColumnFormula>
    </tableColumn>
    <tableColumn id="5" xr3:uid="{09BC64DE-0B2F-BC46-844A-BAEC60AB5781}" name="Saldo">
      <calculatedColumnFormula>SUM(SUMIF(Games_2116[ATHLETE 1],Analysis_4119[[#This Row],[Athletes]],Games_2116[SALDO 12]),SUMIF(Games_2116[ATHLETE 2],Analysis_4119[[#This Row],[Athletes]],Games_2116[SALDO 12]),SUMIF(Games_2116[ATHLETE 3],Analysis_4119[[#This Row],[Athletes]],Games_2116[SALDO 34]),SUMIF(Games_2116[ATHLETE 4],Analysis_4119[[#This Row],[Athletes]],Games_2116[SALDO 34]))</calculatedColumnFormula>
    </tableColumn>
    <tableColumn id="6" xr3:uid="{FF3696A8-0195-F749-B4DD-3487EFEBC035}" name="PM">
      <calculatedColumnFormula>SUM(SUMIF(Games_2116[ATHLETE 1],Analysis_4119[[#This Row],[Athletes]],Games_2116[PM 12]),SUMIF(Games_2116[ATHLETE 2],Analysis_4119[[#This Row],[Athletes]],Games_2116[PM 12]),SUMIF(Games_2116[ATHLETE 3],Analysis_4119[[#This Row],[Athletes]],Games_2116[PM 34]),SUMIF(Games_2116[ATHLETE 4],Analysis_4119[[#This Row],[Athletes]],Games_2116[PM 34]))</calculatedColumnFormula>
    </tableColumn>
    <tableColumn id="7" xr3:uid="{5BF90091-B36B-6841-BE80-D66FA99325E7}" name="Rank" dataDxfId="1519">
      <calculatedColumnFormula>IF(COUNTBLANK(Games_2116[[SCORE 1]:[SCORE 2]])=0,IF(RANK(H35,$H$35:$H$41)=1,RANK(H35,$H$35:$H$41)&amp;"st",IF(RANK(H35,$H$35:$H$41)=2,RANK(H35,$H$35:$H$41)&amp;"nd",IF(RANK(H35,$H$35:$H$41)=3,RANK(H35,$H$35:$H$41)&amp;"rd",RANK(H35,$H$35:$H$41)&amp;"th"))),"")</calculatedColumnFormula>
    </tableColumn>
    <tableColumn id="9" xr3:uid="{42FB4F72-90B5-F54F-AAF2-832C2D62300D}" name="Rank support" dataDxfId="1518">
      <calculatedColumnFormula>Analysis_4119[[#This Row],[WIN]]*1000000+Analysis_4119[[#This Row],[Saldo]]*1000+Analysis_4119[[#This Row],[PM]]</calculatedColumnFormula>
    </tableColumn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DB86C4-3954-2248-B697-3E9F7F6725C1}" name="Games_1" displayName="Games_1" ref="B1:R5" totalsRowShown="0" headerRowDxfId="1517" dataDxfId="1516" headerRowBorderDxfId="1514" tableBorderDxfId="1515" totalsRowBorderDxfId="1513">
  <autoFilter ref="B1:R5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3" xr3:uid="{8EA7677A-34B4-A145-BDDB-B4DD8A5DC971}" name="GROUP" dataDxfId="1512"/>
    <tableColumn id="4" xr3:uid="{F42F1BDD-F5ED-4E47-B83B-8095996BC1D6}" name="ATHLETE 1" dataDxfId="1511"/>
    <tableColumn id="5" xr3:uid="{0E916695-3F36-D245-B0BB-AB362E588558}" name="ATHLETE 2" dataDxfId="1510"/>
    <tableColumn id="8" xr3:uid="{A79DC257-1FC2-F048-B1A1-512B6E15DF1A}" name="SCORE 1" dataDxfId="1509"/>
    <tableColumn id="9" xr3:uid="{FF1B50DC-F32B-A444-859D-E148D12B898E}" name="SCORE 2" dataDxfId="1508"/>
    <tableColumn id="6" xr3:uid="{6FF25B68-6762-1242-8E76-63F5040173A7}" name="ATHLETE 3" dataDxfId="1507">
      <calculatedColumnFormula>$B$15</calculatedColumnFormula>
    </tableColumn>
    <tableColumn id="1" xr3:uid="{C3A9FBBE-DDE5-6541-AD2C-31C3B2E3F4D1}" name="X" dataDxfId="1506"/>
    <tableColumn id="2" xr3:uid="{185AB31D-635F-D547-B31E-C2D5BEBF7FF8}" name="Y" dataDxfId="1505"/>
    <tableColumn id="16" xr3:uid="{919A4068-F435-714F-92A8-F6B3366A4273}" name="Z" dataDxfId="1504"/>
    <tableColumn id="17" xr3:uid="{7A99848A-5C44-F24F-A93A-AF8A76FFB033}" name="A" dataDxfId="1503"/>
    <tableColumn id="7" xr3:uid="{0F1C191E-6298-2945-8C93-689B48B83D08}" name="ATHLETE 4" dataDxfId="1502"/>
    <tableColumn id="10" xr3:uid="{EBC5F5F2-26C4-BB4B-B018-209D53C381E9}" name="SALDO 12" dataDxfId="1501">
      <calculatedColumnFormula>IF(OR(Games_1[[#This Row],[SCORE 1]]="",Games_1[[#This Row],[SCORE 2]]=""),"",Games_1[[#This Row],[SCORE 1]]-Games_1[[#This Row],[SCORE 2]])</calculatedColumnFormula>
    </tableColumn>
    <tableColumn id="11" xr3:uid="{90E23EAB-9933-E44C-ABF7-722CE1B89DD3}" name="SALDO 34" dataDxfId="1500">
      <calculatedColumnFormula>IF(OR(Games_1[[#This Row],[SCORE 1]]="",Games_1[[#This Row],[SCORE 2]]=""),"",Games_1[[#This Row],[SCORE 2]]-Games_1[[#This Row],[SCORE 1]])</calculatedColumnFormula>
    </tableColumn>
    <tableColumn id="12" xr3:uid="{0CC06DB8-B974-FA45-A868-F699A13C98E6}" name="PM 12" dataDxfId="1499">
      <calculatedColumnFormula>IF(Games_1[[#This Row],[SCORE 1]]="","",Games_1[[#This Row],[SCORE 1]])</calculatedColumnFormula>
    </tableColumn>
    <tableColumn id="13" xr3:uid="{CBD40ADD-095B-DF4C-98E0-CE9A78CD6889}" name="PM 34" dataDxfId="1498">
      <calculatedColumnFormula>IF(Games_1[[#This Row],[SCORE 2]]="","",Games_1[[#This Row],[SCORE 2]])</calculatedColumnFormula>
    </tableColumn>
    <tableColumn id="14" xr3:uid="{1BFF7A72-6DCE-634D-8298-2E7025221770}" name="RESULT 12" dataDxfId="1497">
      <calculatedColumnFormula>IF(OR(Games_1[[#This Row],[SCORE 1]]="",Games_1[[#This Row],[SCORE 2]]=""),"",IF(Games_1[[#This Row],[SALDO 12]]&gt;0, "WIN","LOSE"))</calculatedColumnFormula>
    </tableColumn>
    <tableColumn id="15" xr3:uid="{F3150088-D4CF-BF41-9A12-BA1AE6DC5BFD}" name="RESULT 34" dataDxfId="1496">
      <calculatedColumnFormula>IF(OR(Games_1[[#This Row],[SCORE 2]]="",Games_1[[#This Row],[SCORE 1]]=""),"",IF(Games_1[[#This Row],[SALDO 34]]&gt;0, "WIN","LOSE"))</calculatedColumnFormula>
    </tableColumn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231F13-43D2-7E43-A154-8A760A89651E}" name="Analysis_1" displayName="Analysis_1" ref="A8:G11" totalsRowShown="0" headerRowDxfId="1495" dataDxfId="1494" headerRowBorderDxfId="1492" tableBorderDxfId="1493" totalsRowBorderDxfId="1491">
  <autoFilter ref="A8:G11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9:G11">
    <sortCondition descending="1" ref="D9:D11"/>
    <sortCondition descending="1" ref="E9:E11"/>
    <sortCondition descending="1" ref="F9:F11"/>
  </sortState>
  <tableColumns count="7">
    <tableColumn id="7" xr3:uid="{29510B7F-3FBD-ED49-8913-3B7FD0701A6B}" name="Reference" dataDxfId="1490"/>
    <tableColumn id="1" xr3:uid="{1BFCC5D5-1F0B-E743-A21D-C2B85AB7CFC7}" name="Atheletes " dataDxfId="1489"/>
    <tableColumn id="8" xr3:uid="{E92E5243-02A8-D147-81BC-27FC3EE10DC3}" name="WIN" dataDxfId="1488"/>
    <tableColumn id="5" xr3:uid="{84E4E1E8-C86B-BA4B-A0B2-7C074CED263C}" name="LOSE" dataDxfId="1487"/>
    <tableColumn id="3" xr3:uid="{0AE42720-D990-F04D-9F86-BCF0B2B5F35D}" name="Saldo" dataDxfId="1486"/>
    <tableColumn id="4" xr3:uid="{FB3943A8-42E9-2542-857B-0CC5D0239E0F}" name="PM" dataDxfId="1485"/>
    <tableColumn id="6" xr3:uid="{EDFCD67E-D911-9440-AB99-5FE2B1AED2B8}" name="Rank" dataDxfId="1484">
      <calculatedColumnFormula>IF(COUNTBLANK(Games_1[[SCORE 1]:[SCORE 2]])=0,IF(RANK(H9,$H$9:$H$11)=1,RANK(H9,$H$9:$H$11)&amp;"st",IF(RANK(H9,$H$9:$H$11)=2,RANK(H9,$H$9:$H$11)&amp;"nd",IF(RANK(H9,$H$9:$H$11)=3,RANK(H9,$H$9:$H$11)&amp;"rd",RANK(H9,$H$9:$H$11)&amp;"th"))),"")</calculatedColumnFormula>
    </tableColumn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91F929-4BBF-624F-AA5C-0784B10894C1}" name="Table1572235447891335" displayName="Table1572235447891335" ref="T2:U6" totalsRowShown="0" headerRowDxfId="1483" dataDxfId="1482" headerRowBorderDxfId="1480" tableBorderDxfId="1481">
  <autoFilter ref="T2:U6" xr:uid="{908C589F-0CD0-4EFE-993D-5B2ECC06D04A}">
    <filterColumn colId="0" hiddenButton="1"/>
    <filterColumn colId="1" hiddenButton="1"/>
  </autoFilter>
  <tableColumns count="2">
    <tableColumn id="1" xr3:uid="{9CC8FA0D-BDA3-C14C-8B9A-E872C5F99B86}" name="Athlete" dataDxfId="1479"/>
    <tableColumn id="2" xr3:uid="{3D4368F5-4549-0243-9A0F-99016963C562}" name="Rank" dataDxfId="1478"/>
  </tableColumns>
  <tableStyleInfo name="TableStyleMedium2" showFirstColumn="1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FF5636-99BC-664E-A828-29015743A2EB}" name="Analysis_2" displayName="Analysis_2" ref="A12:G15" totalsRowShown="0" headerRowDxfId="1477" dataDxfId="1476" headerRowBorderDxfId="1475">
  <autoFilter ref="A12:G15" xr:uid="{0DFF5636-99BC-664E-A828-29015743A2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9F2CC29-5303-5B43-8E41-971F1659261D}" name="Reference" dataDxfId="1474"/>
    <tableColumn id="2" xr3:uid="{96DDE8B8-337D-C34B-B18A-DEE88FAC4815}" name="Atheletes " dataDxfId="1473"/>
    <tableColumn id="3" xr3:uid="{56C8B2BB-0F6F-8E4F-97EE-FFCCD6C0BABF}" name="WIN" dataDxfId="1472"/>
    <tableColumn id="4" xr3:uid="{B6D9CE58-AA5B-314B-B850-F960A370E41C}" name="LOSE" dataDxfId="1471"/>
    <tableColumn id="5" xr3:uid="{56664646-F36A-5642-8C48-75EFA918447A}" name="Saldo" dataDxfId="1470"/>
    <tableColumn id="6" xr3:uid="{DF8EAE70-15A4-0A4A-A7E6-88B52BF4DF4F}" name="PM" dataDxfId="1469"/>
    <tableColumn id="12" xr3:uid="{FC0C9704-17FD-764A-8683-A4069947FA00}" name="Rank" dataDxfId="1468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A29E617E-9676-B34A-8CAB-EA7E37F03139}" name="Table41013422336386130" displayName="Table41013422336386130" ref="B1:R10" totalsRowShown="0" headerRowDxfId="1467" dataDxfId="1466" headerRowBorderDxfId="1464" tableBorderDxfId="1465" totalsRowBorderDxfId="1463">
  <autoFilter ref="B1:R10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3" xr3:uid="{740A0B24-410F-A14D-89BE-B8F5FB999456}" name="GROUP" dataDxfId="1462"/>
    <tableColumn id="4" xr3:uid="{B20B5C65-BD5A-8D4E-B04D-6920D3567ACA}" name="ATHLETE 1" dataDxfId="1461"/>
    <tableColumn id="5" xr3:uid="{48D3F999-B8E8-7B43-8E04-DEFF58AC6259}" name="ATHLETE 2" dataDxfId="1460"/>
    <tableColumn id="8" xr3:uid="{F48152CC-F0E6-EF40-AAA2-A0BB1C3DAF24}" name="SCORE 1" dataDxfId="1459"/>
    <tableColumn id="9" xr3:uid="{23FCBF23-EDE3-D540-8149-987E92D42728}" name="SCORE 2" dataDxfId="1458"/>
    <tableColumn id="6" xr3:uid="{7A47A3ED-FF0B-9843-BE4E-831B2392AF21}" name="ATHLETE 3" dataDxfId="1457"/>
    <tableColumn id="1" xr3:uid="{9A296361-AD9F-8045-849B-8172AF540496}" name="X" dataDxfId="1456"/>
    <tableColumn id="2" xr3:uid="{07F8EA76-3C1E-B94D-A99E-9D79DCD03580}" name="Y" dataDxfId="1455"/>
    <tableColumn id="16" xr3:uid="{2CDE2244-B458-9B48-A31C-814F0DF6566A}" name="Z" dataDxfId="1454"/>
    <tableColumn id="17" xr3:uid="{FA70A97F-56A8-954D-B14C-ADDD7BC6E094}" name="A" dataDxfId="1453"/>
    <tableColumn id="7" xr3:uid="{AC323CC7-8C17-4E4F-AEB5-97D7A83CCDC8}" name="ATHLETE 4" dataDxfId="1452"/>
    <tableColumn id="10" xr3:uid="{4EB4E0BD-F198-0446-9FB7-B2406513C969}" name="SALDO 12" dataDxfId="1451">
      <calculatedColumnFormula>IF(OR(Table41013422336386130[[#This Row],[SCORE 1]]="",Table41013422336386130[[#This Row],[SCORE 2]]=""),"",Table41013422336386130[[#This Row],[SCORE 1]]-Table41013422336386130[[#This Row],[SCORE 2]])</calculatedColumnFormula>
    </tableColumn>
    <tableColumn id="11" xr3:uid="{2DA37741-ED27-0148-9CA5-CEA00D5FB95E}" name="SALDO 34" dataDxfId="1450">
      <calculatedColumnFormula>IF(OR(Table41013422336386130[[#This Row],[SCORE 1]]="",Table41013422336386130[[#This Row],[SCORE 2]]=""),"",Table41013422336386130[[#This Row],[SCORE 2]]-Table41013422336386130[[#This Row],[SCORE 1]])</calculatedColumnFormula>
    </tableColumn>
    <tableColumn id="12" xr3:uid="{6A7EE03D-BE77-634D-8D35-63F1DB865D53}" name="PM 12" dataDxfId="1449">
      <calculatedColumnFormula>IF(Table41013422336386130[[#This Row],[SCORE 1]]="","",Table41013422336386130[[#This Row],[SCORE 1]])</calculatedColumnFormula>
    </tableColumn>
    <tableColumn id="13" xr3:uid="{A6293BB1-9ABA-1D4C-AB1E-9E43F7993F04}" name="PM 34" dataDxfId="1448">
      <calculatedColumnFormula>IF(Table41013422336386130[[#This Row],[SCORE 2]]="","",Table41013422336386130[[#This Row],[SCORE 2]])</calculatedColumnFormula>
    </tableColumn>
    <tableColumn id="14" xr3:uid="{5F3E01DD-A40A-9441-A41A-DBFC20B00AB9}" name="RESULT 12" dataDxfId="1447">
      <calculatedColumnFormula>IF(OR(Table41013422336386130[[#This Row],[SCORE 1]]="",Table41013422336386130[[#This Row],[SCORE 2]]=""),"",IF(Table41013422336386130[[#This Row],[SALDO 12]]&gt;0, "WIN","LOSE"))</calculatedColumnFormula>
    </tableColumn>
    <tableColumn id="15" xr3:uid="{4A4F905B-4EA4-704A-BF4A-267E68524DB6}" name="RESULT 34" dataDxfId="1446">
      <calculatedColumnFormula>IF(OR(Table41013422336386130[[#This Row],[SCORE 2]]="",Table41013422336386130[[#This Row],[SCORE 1]]=""),"",IF(Table41013422336386130[[#This Row],[SALDO 34]]&gt;0, "WIN","LOSE"))</calculatedColumnFormula>
    </tableColumn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56A7B56D-D17C-C047-A5E8-F89D22778D0A}" name="Table361114532437487131" displayName="Table361114532437487131" ref="A13:K19" totalsRowShown="0" headerRowDxfId="1445" dataDxfId="1444" headerRowBorderDxfId="1442" tableBorderDxfId="1443" totalsRowBorderDxfId="1441">
  <autoFilter ref="A13:K1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sortState xmlns:xlrd2="http://schemas.microsoft.com/office/spreadsheetml/2017/richdata2" ref="A14:G17">
    <sortCondition descending="1" ref="D14:D17"/>
    <sortCondition descending="1" ref="E14:E17"/>
    <sortCondition descending="1" ref="F14:F17"/>
  </sortState>
  <tableColumns count="11">
    <tableColumn id="7" xr3:uid="{A2E966F1-9D71-214B-9986-B97C933C78ED}" name="Group" dataDxfId="1440"/>
    <tableColumn id="1" xr3:uid="{68F77DDC-DFB9-3942-AF43-FD214F6C5048}" name="Atheletes " dataDxfId="1439"/>
    <tableColumn id="8" xr3:uid="{5C72110F-67CD-6345-8880-41B66450C416}" name="WIN" dataDxfId="1438"/>
    <tableColumn id="5" xr3:uid="{8F0EEBFB-03D9-BB43-8610-C9D0CA8633FF}" name="LOSE" dataDxfId="1437"/>
    <tableColumn id="3" xr3:uid="{5AE19B0F-B086-B741-8839-DE0994661F7C}" name="Saldo" dataDxfId="1436"/>
    <tableColumn id="4" xr3:uid="{07BE25A4-C41A-FA4E-924F-47CC0A618BD6}" name="PM" dataDxfId="1435"/>
    <tableColumn id="6" xr3:uid="{8AF40610-98BF-C14D-991A-2474E747AA90}" name="Rank" dataDxfId="1434">
      <calculatedColumnFormula>IF(COUNTBLANK(Table41013422336386130[[SCORE 1]:[SCORE 2]])=0,IF(RANK(H14,$H$14:$H$19)=1,RANK(H14,$H$14:$H$19)&amp;"st",IF(RANK(H14,$H$14:$H$19)=2,RANK(H14,$H$14:$H$19)&amp;"nd",IF(RANK(H14,$H$14:$H$19)=3,RANK(H14,$H$14:$H$19)&amp;"rd",RANK(H14,$H$14:$H$19)&amp;"th"))),"")</calculatedColumnFormula>
    </tableColumn>
    <tableColumn id="2" xr3:uid="{B2A55D1E-0572-7A4C-B6DD-8D89260CADF8}" name="Rank support" dataDxfId="1433">
      <calculatedColumnFormula>Table361114532437487131[[#This Row],[WIN]]*1000000+Table361114532437487131[[#This Row],[Saldo]]*1000+Table361114532437487131[[#This Row],[PM]]</calculatedColumnFormula>
    </tableColumn>
    <tableColumn id="9" xr3:uid="{F170FFB0-F835-D648-90C5-14F135B04B1B}" name="Joint rank sys." dataDxfId="1432">
      <calculatedColumnFormula>H14</calculatedColumnFormula>
    </tableColumn>
    <tableColumn id="10" xr3:uid="{06DF746F-7791-494B-9D3B-024C8C3CC257}" name="Overall Rank" dataDxfId="1431"/>
    <tableColumn id="11" xr3:uid="{0AAFD129-C860-E049-A1FF-1D47EECE8D38}" name="Athelete" dataDxfId="1430">
      <calculatedColumnFormula>Table361114532437487131[[#This Row],[Atheletes ]]</calculatedColumnFormula>
    </tableColumn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15719266-D89C-AC42-BFF6-7B000D21F4AA}" name="Table157223544789133" displayName="Table157223544789133" ref="T2:U8" totalsRowShown="0" headerRowDxfId="1429" dataDxfId="1428" headerRowBorderDxfId="1426" tableBorderDxfId="1427">
  <autoFilter ref="T2:U8" xr:uid="{908C589F-0CD0-4EFE-993D-5B2ECC06D04A}">
    <filterColumn colId="0" hiddenButton="1"/>
    <filterColumn colId="1" hiddenButton="1"/>
  </autoFilter>
  <tableColumns count="2">
    <tableColumn id="1" xr3:uid="{AFFD1F5E-73E5-B044-82D6-056C4868638A}" name="Athlete" dataDxfId="1425"/>
    <tableColumn id="2" xr3:uid="{308AD337-154A-A947-96AE-DC981E1D70CD}" name="Rank" dataDxfId="1424"/>
  </tableColumns>
  <tableStyleInfo name="TableStyleMedium2" showFirstColumn="1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DF1C9003-D25D-4A47-8FB8-F5E8381916B9}" name="Table41013422336386130197" displayName="Table41013422336386130197" ref="B1:R10" totalsRowShown="0" headerRowDxfId="1423" dataDxfId="1422" headerRowBorderDxfId="1420" tableBorderDxfId="1421" totalsRowBorderDxfId="1419">
  <autoFilter ref="B1:R10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3" xr3:uid="{E93AF54B-5C4D-E94B-B59A-27C5E326AFB5}" name="GROUP" dataDxfId="1418"/>
    <tableColumn id="4" xr3:uid="{20E30882-1574-0A4F-B21F-28D0C5A10026}" name="ATHLETE 1" dataDxfId="1417">
      <calculatedColumnFormula>$B$20</calculatedColumnFormula>
    </tableColumn>
    <tableColumn id="5" xr3:uid="{826B0DFC-382B-F448-8B81-CC09313FE7B5}" name="ATHLETE 2" dataDxfId="1416"/>
    <tableColumn id="8" xr3:uid="{A2F65725-250D-B94B-A447-221094633E9B}" name="SCORE 1" dataDxfId="1415"/>
    <tableColumn id="9" xr3:uid="{E6E5B3EB-A791-984F-A0AB-A13C1F5F0F92}" name="SCORE 2" dataDxfId="1414"/>
    <tableColumn id="6" xr3:uid="{84BB4E5F-8F49-7841-BF5D-05670729FD19}" name="ATHLETE 3" dataDxfId="1413"/>
    <tableColumn id="1" xr3:uid="{A411EDCD-D3FC-3849-A347-49E86D25F902}" name="X" dataDxfId="1412"/>
    <tableColumn id="2" xr3:uid="{A9C5895A-AF0F-B04F-9A1B-5A7064C2368F}" name="Y" dataDxfId="1411"/>
    <tableColumn id="16" xr3:uid="{D643D533-243E-D446-A02A-515CEFAA9E92}" name="Z" dataDxfId="1410"/>
    <tableColumn id="17" xr3:uid="{7D0C5025-9B8E-B44A-AFB9-17B1176409D9}" name="A" dataDxfId="1409"/>
    <tableColumn id="7" xr3:uid="{8333F735-72F4-374E-A46D-6786E3E88732}" name="ATHLETE 4" dataDxfId="1408"/>
    <tableColumn id="10" xr3:uid="{6A2678F9-02DA-B04F-90BA-978085B1B289}" name="SALDO 12" dataDxfId="1407">
      <calculatedColumnFormula>IF(OR(Table41013422336386130197[[#This Row],[SCORE 1]]="",Table41013422336386130197[[#This Row],[SCORE 2]]=""),"",Table41013422336386130197[[#This Row],[SCORE 1]]-Table41013422336386130197[[#This Row],[SCORE 2]])</calculatedColumnFormula>
    </tableColumn>
    <tableColumn id="11" xr3:uid="{8ACC7612-2E48-DB47-8B29-26A6F1AD0E8E}" name="SALDO 34" dataDxfId="1406">
      <calculatedColumnFormula>IF(OR(Table41013422336386130197[[#This Row],[SCORE 1]]="",Table41013422336386130197[[#This Row],[SCORE 2]]=""),"",Table41013422336386130197[[#This Row],[SCORE 2]]-Table41013422336386130197[[#This Row],[SCORE 1]])</calculatedColumnFormula>
    </tableColumn>
    <tableColumn id="12" xr3:uid="{9632932F-04DB-A647-B208-01881E184D6D}" name="PM 12" dataDxfId="1405">
      <calculatedColumnFormula>IF(Table41013422336386130197[[#This Row],[SCORE 1]]="","",Table41013422336386130197[[#This Row],[SCORE 1]])</calculatedColumnFormula>
    </tableColumn>
    <tableColumn id="13" xr3:uid="{8FEDEF35-B76E-3149-A462-AE2714348B8E}" name="PM 34" dataDxfId="1404">
      <calculatedColumnFormula>IF(Table41013422336386130197[[#This Row],[SCORE 2]]="","",Table41013422336386130197[[#This Row],[SCORE 2]])</calculatedColumnFormula>
    </tableColumn>
    <tableColumn id="14" xr3:uid="{FF1AA150-7030-A946-93E4-76A19D7EAE0F}" name="RESULT 12" dataDxfId="1403">
      <calculatedColumnFormula>IF(OR(Table41013422336386130197[[#This Row],[SCORE 1]]="",Table41013422336386130197[[#This Row],[SCORE 2]]=""),"",IF(Table41013422336386130197[[#This Row],[SALDO 12]]&gt;0, "WIN","LOSE"))</calculatedColumnFormula>
    </tableColumn>
    <tableColumn id="15" xr3:uid="{0ECC8D62-1CFD-BF45-81F4-DF9907D63F59}" name="RESULT 34" dataDxfId="1402">
      <calculatedColumnFormula>IF(OR(Table41013422336386130197[[#This Row],[SCORE 2]]="",Table41013422336386130197[[#This Row],[SCORE 1]]=""),"",IF(Table41013422336386130197[[#This Row],[SALDO 34]]&gt;0, "WIN","LOSE"))</calculatedColumnFormula>
    </tableColumn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AB81856E-C7F6-2649-B014-ED2D3BDD7DB5}" name="Table361114532437487131198" displayName="Table361114532437487131198" ref="A13:K19" totalsRowShown="0" headerRowDxfId="1401" dataDxfId="1400" headerRowBorderDxfId="1398" tableBorderDxfId="1399" totalsRowBorderDxfId="1397">
  <autoFilter ref="A13:K1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sortState xmlns:xlrd2="http://schemas.microsoft.com/office/spreadsheetml/2017/richdata2" ref="A14:G17">
    <sortCondition descending="1" ref="D14:D17"/>
    <sortCondition descending="1" ref="E14:E17"/>
    <sortCondition descending="1" ref="F14:F17"/>
  </sortState>
  <tableColumns count="11">
    <tableColumn id="7" xr3:uid="{ED6496AC-4613-B946-80F7-7BC15014BBC2}" name="Group" dataDxfId="1396"/>
    <tableColumn id="1" xr3:uid="{34323338-1DAA-CA4A-8570-FF2E1712A521}" name="Atheletes " dataDxfId="1395"/>
    <tableColumn id="8" xr3:uid="{75FE0D7B-6462-8049-9CEC-9CEA0881F588}" name="WIN" dataDxfId="1394"/>
    <tableColumn id="5" xr3:uid="{459A1778-74A1-6D4B-9EA1-4C056BD99458}" name="LOSE" dataDxfId="1393"/>
    <tableColumn id="3" xr3:uid="{80451C74-A730-4942-B4C8-AE7E7A3A408B}" name="Saldo" dataDxfId="1392"/>
    <tableColumn id="4" xr3:uid="{2D4DEDF6-5594-1548-9910-CD7BAEA22F86}" name="PM" dataDxfId="1391"/>
    <tableColumn id="6" xr3:uid="{09FA1DB4-93AE-5946-9541-51AF7D256DCB}" name="Rank" dataDxfId="1390">
      <calculatedColumnFormula>IF(COUNTBLANK(Table41013422336386130197[[SCORE 1]:[SCORE 2]])=0,IF(RANK(H14,$H$14:$H$19)=1,RANK(H14,$H$14:$H$19)&amp;"st",IF(RANK(H14,$H$14:$H$19)=2,RANK(H14,$H$14:$H$19)&amp;"nd",IF(RANK(H14,$H$14:$H$19)=3,RANK(H14,$H$14:$H$19)&amp;"rd",RANK(H14,$H$14:$H$19)&amp;"th"))),"")</calculatedColumnFormula>
    </tableColumn>
    <tableColumn id="2" xr3:uid="{F60806A4-743A-BD4D-BAA3-39004962CC2F}" name="Rank support" dataDxfId="1389">
      <calculatedColumnFormula>Table361114532437487131198[[#This Row],[WIN]]*1000000+Table361114532437487131198[[#This Row],[Saldo]]*1000+Table361114532437487131198[[#This Row],[PM]]</calculatedColumnFormula>
    </tableColumn>
    <tableColumn id="9" xr3:uid="{36D50F39-2AF5-8145-B72D-266B4FAAF9FE}" name="Joint rank sys." dataDxfId="1388">
      <calculatedColumnFormula>H14</calculatedColumnFormula>
    </tableColumn>
    <tableColumn id="10" xr3:uid="{0A11A4D8-672B-AA46-8243-943C56C95F82}" name="Overall Rank" dataDxfId="1387">
      <calculatedColumnFormula>IF(COUNTBLANK(Table41013422336386130197[[SCORE 1]:[SCORE 2]])=0,IF(RANK(I14,$I$14:$I$19)=1,RANK(I14,$I$14:$I$19)&amp;"st",IF(RANK(I14,$I$14:$I$19)=2,RANK(I14,$I$14:$I$19)&amp;"nd",IF(RANK(I14,$I$14:$I$19)=3,RANK(I14,$I$14:$I$19)&amp;"rd",RANK(I14,$I$14:$I$19)&amp;"th"))),"")</calculatedColumnFormula>
    </tableColumn>
    <tableColumn id="11" xr3:uid="{F17DF1BB-A242-6740-A44F-3DE1309AD6AC}" name="Athelete" dataDxfId="1386">
      <calculatedColumnFormula>Table361114532437487131198[[#This Row],[Atheletes ]]</calculatedColumnFormula>
    </tableColumn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CC30BD8A-7CD7-0948-AA27-33E0048049CE}" name="Table157223544789133199" displayName="Table157223544789133199" ref="T2:U8" totalsRowShown="0" headerRowDxfId="1385" dataDxfId="1384" headerRowBorderDxfId="1382" tableBorderDxfId="1383">
  <autoFilter ref="T2:U8" xr:uid="{908C589F-0CD0-4EFE-993D-5B2ECC06D04A}">
    <filterColumn colId="0" hiddenButton="1"/>
    <filterColumn colId="1" hiddenButton="1"/>
  </autoFilter>
  <tableColumns count="2">
    <tableColumn id="1" xr3:uid="{E4E05D89-EC18-754F-8874-072C9D2DBF3C}" name="Athlete" dataDxfId="1381"/>
    <tableColumn id="2" xr3:uid="{2318BD2A-56D1-C54E-9074-5AA2C04E9E64}" name="Rank" dataDxfId="1380"/>
  </tableColumns>
  <tableStyleInfo name="TableStyleMedium2" showFirstColumn="1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2A7EEF08-C960-AA41-8971-94DE0920CDF8}" name="Table4101317251247545298684173" displayName="Table4101317251247545298684173" ref="B1:R7" totalsRowShown="0" headerRowDxfId="1379" dataDxfId="1378" headerRowBorderDxfId="1376" tableBorderDxfId="1377" totalsRowBorderDxfId="1375">
  <autoFilter ref="B1:R7" xr:uid="{C79D687B-AEB2-42F8-B262-AEDE9265CB48}"/>
  <tableColumns count="17">
    <tableColumn id="3" xr3:uid="{81C9B6D7-C8E6-2A4D-ABBD-6F3FC62C4B49}" name="GROUP" dataDxfId="1374"/>
    <tableColumn id="4" xr3:uid="{2817F6A5-D762-BD48-9828-483387F5F191}" name="ATHLETE 1" dataDxfId="1373"/>
    <tableColumn id="5" xr3:uid="{AFDFCBF6-F9D1-094C-94CD-0137E47C6A26}" name="ATHLETE 2" dataDxfId="1372"/>
    <tableColumn id="8" xr3:uid="{5E36E818-3A8E-3D47-86E7-810F15DBC074}" name="SCORE 1" dataDxfId="1371"/>
    <tableColumn id="9" xr3:uid="{CA2BDB26-3B30-DC4F-BF4A-2D6EFD8EE32D}" name="SCORE 2" dataDxfId="1370"/>
    <tableColumn id="6" xr3:uid="{E6E9182E-A070-7045-81B5-FFF2800568FD}" name="ATHLETE 3" dataDxfId="1369"/>
    <tableColumn id="17" xr3:uid="{7126650F-6F87-7840-922B-66906B618D89}" name="X" dataDxfId="1368"/>
    <tableColumn id="16" xr3:uid="{507C0AEE-9B6A-D246-AC1A-090BDED873AA}" name="Y" dataDxfId="1367"/>
    <tableColumn id="2" xr3:uid="{9D5F61A2-43BE-D546-8340-8BE27A4832C6}" name="Z" dataDxfId="1366"/>
    <tableColumn id="1" xr3:uid="{B987D44F-641B-A840-A160-CA6A6B0CDF19}" name="A" dataDxfId="1365"/>
    <tableColumn id="7" xr3:uid="{54791AA0-1161-534F-95B4-6BBA94580267}" name="ATHLETE 4" dataDxfId="1364"/>
    <tableColumn id="10" xr3:uid="{90E8B9DA-F069-CE4C-A69B-5F61FF800B90}" name="SALDO 12" dataDxfId="1363">
      <calculatedColumnFormula>IF(OR(Table4101317251247545298684173[[#This Row],[SCORE 1]]="",Table4101317251247545298684173[[#This Row],[SCORE 2]]=""),"",Table4101317251247545298684173[[#This Row],[SCORE 1]]-Table4101317251247545298684173[[#This Row],[SCORE 2]])</calculatedColumnFormula>
    </tableColumn>
    <tableColumn id="11" xr3:uid="{753BBB76-E6E0-FF47-A87C-B92AD4437BCF}" name="SALDO 34" dataDxfId="1362">
      <calculatedColumnFormula>IF(OR(Table4101317251247545298684173[[#This Row],[SCORE 1]]="",Table4101317251247545298684173[[#This Row],[SCORE 2]]=""),"",Table4101317251247545298684173[[#This Row],[SCORE 2]]-Table4101317251247545298684173[[#This Row],[SCORE 1]])</calculatedColumnFormula>
    </tableColumn>
    <tableColumn id="12" xr3:uid="{0791C844-1C50-A243-B442-B1DEA87AAA9B}" name="PM 12" dataDxfId="1361">
      <calculatedColumnFormula>IF(Table4101317251247545298684173[[#This Row],[SCORE 1]]="","",Table4101317251247545298684173[[#This Row],[SCORE 1]])</calculatedColumnFormula>
    </tableColumn>
    <tableColumn id="13" xr3:uid="{CEB5A276-56B5-BA47-9FAC-EC2B774DDC67}" name="PM 34" dataDxfId="1360">
      <calculatedColumnFormula>IF(Table4101317251247545298684173[[#This Row],[SCORE 2]]="","",Table4101317251247545298684173[[#This Row],[SCORE 2]])</calculatedColumnFormula>
    </tableColumn>
    <tableColumn id="14" xr3:uid="{1F61ACDF-A4A7-8348-8048-77B0B2EB2C98}" name="RESULT 12" dataDxfId="1359">
      <calculatedColumnFormula>IF(OR(Table4101317251247545298684173[[#This Row],[SCORE 1]]="",Table4101317251247545298684173[[#This Row],[SCORE 2]]=""),"",IF(Table4101317251247545298684173[[#This Row],[SALDO 12]]&gt;0, "WIN","LOSE"))</calculatedColumnFormula>
    </tableColumn>
    <tableColumn id="15" xr3:uid="{E24CFFF5-BA52-064F-9827-2D02DDA45927}" name="RESULT 34" dataDxfId="1358">
      <calculatedColumnFormula>IF(OR(Table4101317251247545298684173[[#This Row],[SCORE 1]]="",Table4101317251247545298684173[[#This Row],[SCORE 2]]=""),"",IF(Table4101317251247545298684173[[#This Row],[SALDO 34]]&gt;0, "WIN","LOSE"))</calculatedColumnFormula>
    </tableColumn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4952B9F9-8A30-5649-8455-A615E8FD619A}" name="Table36111418263048555399694375" displayName="Table36111418263048555399694375" ref="A10:H14" totalsRowShown="0" headerRowDxfId="1357" dataDxfId="1356" headerRowBorderDxfId="1354" tableBorderDxfId="1355" totalsRowBorderDxfId="1353">
  <autoFilter ref="A10:H14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1:G14">
    <sortCondition descending="1" ref="D11:D14"/>
    <sortCondition descending="1" ref="E11:E14"/>
    <sortCondition descending="1" ref="F11:F14"/>
  </sortState>
  <tableColumns count="8">
    <tableColumn id="7" xr3:uid="{3511DE04-0B8A-CA42-A9EF-937F6AD394C2}" name="Group" dataDxfId="1352"/>
    <tableColumn id="1" xr3:uid="{F601ADD5-303E-594C-9704-ED8D03D549A2}" name="Athletes" dataDxfId="1351"/>
    <tableColumn id="8" xr3:uid="{B32FE292-72AB-D440-A810-21446C44C359}" name="WIN" dataDxfId="1350">
      <calculatedColumnFormula>SUM(COUNTIFS(Table4101317251247545298684173[ATHLETE 1],Table36111418263048555399694375[[#This Row],[Athletes]],Table4101317251247545298684173[RESULT 12],Table36111418263048555399694375[[#Headers],[WIN]]),COUNTIFS(Table4101317251247545298684173[ATHLETE 2],Table36111418263048555399694375[[#This Row],[Athletes]],Table4101317251247545298684173[RESULT 12],Table36111418263048555399694375[[#Headers],[WIN]]),COUNTIFS(Table4101317251247545298684173[ATHLETE 3],Table36111418263048555399694375[[#This Row],[Athletes]],Table4101317251247545298684173[RESULT 34],Table36111418263048555399694375[[#Headers],[WIN]]),COUNTIFS(Table4101317251247545298684173[ATHLETE 4],Table36111418263048555399694375[[#This Row],[Athletes]],Table4101317251247545298684173[RESULT 34],Table36111418263048555399694375[[#Headers],[WIN]]))</calculatedColumnFormula>
    </tableColumn>
    <tableColumn id="5" xr3:uid="{56CD98DA-2D62-4E48-930F-83C0E97DD5C0}" name="LOSE" dataDxfId="1349">
      <calculatedColumnFormula>SUM(COUNTIFS(Table4101317251247545298684173[ATHLETE 1],Table36111418263048555399694375[[#This Row],[Athletes]],Table4101317251247545298684173[RESULT 12],Table36111418263048555399694375[[#Headers],[LOSE]]),COUNTIFS(Table4101317251247545298684173[ATHLETE 2],Table36111418263048555399694375[[#This Row],[Athletes]],Table4101317251247545298684173[RESULT 12],Table36111418263048555399694375[[#Headers],[LOSE]]),COUNTIFS(Table4101317251247545298684173[ATHLETE 3],Table36111418263048555399694375[[#This Row],[Athletes]],Table4101317251247545298684173[RESULT 34],Table36111418263048555399694375[[#Headers],[LOSE]]),COUNTIFS(Table4101317251247545298684173[ATHLETE 4],Table36111418263048555399694375[[#This Row],[Athletes]],Table4101317251247545298684173[RESULT 34],Table36111418263048555399694375[[#Headers],[LOSE]]))</calculatedColumnFormula>
    </tableColumn>
    <tableColumn id="3" xr3:uid="{00C58A5B-41D8-EF4F-B7B9-D10AB7892BCA}" name="Saldo" dataDxfId="1348">
      <calculatedColumnFormula>SUM(SUMIF(Table4101317251247545298684173[ATHLETE 1],Table36111418263048555399694375[[#This Row],[Athletes]],Table4101317251247545298684173[SALDO 12]),SUMIF(Table4101317251247545298684173[ATHLETE 2],Table36111418263048555399694375[[#This Row],[Athletes]],Table4101317251247545298684173[SALDO 12]),SUMIF(Table4101317251247545298684173[ATHLETE 3],Table36111418263048555399694375[[#This Row],[Athletes]],Table4101317251247545298684173[SALDO 34]),SUMIF(Table4101317251247545298684173[ATHLETE 4],Table36111418263048555399694375[[#This Row],[Athletes]],Table4101317251247545298684173[SALDO 34]))</calculatedColumnFormula>
    </tableColumn>
    <tableColumn id="4" xr3:uid="{8BAE9129-81A7-6545-B4A2-E02227A14627}" name="PM" dataDxfId="1347">
      <calculatedColumnFormula>SUM(SUMIF(Table4101317251247545298684173[ATHLETE 1],Table36111418263048555399694375[[#This Row],[Athletes]],Table4101317251247545298684173[PM 12]),SUMIF(Table4101317251247545298684173[ATHLETE 2],Table36111418263048555399694375[[#This Row],[Athletes]],Table4101317251247545298684173[PM 12]),SUMIF(Table4101317251247545298684173[ATHLETE 3],Table36111418263048555399694375[[#This Row],[Athletes]],Table4101317251247545298684173[PM 34]),SUMIF(Table4101317251247545298684173[ATHLETE 4],Table36111418263048555399694375[[#This Row],[Athletes]],Table4101317251247545298684173[PM 34]))</calculatedColumnFormula>
    </tableColumn>
    <tableColumn id="6" xr3:uid="{D0DC5336-D14D-5840-B486-45EA64792BF8}" name="Rank" dataDxfId="1346">
      <calculatedColumnFormula>IF(COUNTBLANK(Table4101317251247545298684173[[SCORE 1]:[SCORE 2]])=0,IF(RANK(H11,$H$11:$H$14)=1,RANK(H11,$H$11:$H$14)&amp;"st",IF(RANK(H11,$H$11:$H$14)=2,RANK(H11,$H$11:$H$14)&amp;"nd",RANK(H11,$H$11:$H$14)&amp;"th")),"")</calculatedColumnFormula>
    </tableColumn>
    <tableColumn id="2" xr3:uid="{84758ED7-9C2C-8A40-9248-0AC87EA2F2E1}" name="Rank support" dataDxfId="1345">
      <calculatedColumnFormula>Table36111418263048555399694375[[#This Row],[WIN]]*1000000+Table36111418263048555399694375[[#This Row],[Saldo]]*1000+Table36111418263048555399694375[[#This Row],[PM]]</calculatedColumnFormula>
    </tableColumn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21EAA908-679A-BA42-BA94-6B965A862021}" name="Table61215192731495671100704476" displayName="Table61215192731495671100704476" ref="A16:H20" totalsRowShown="0" headerRowDxfId="1344" dataDxfId="1343" headerRowBorderDxfId="1341" tableBorderDxfId="1342" totalsRowBorderDxfId="1340">
  <autoFilter ref="A16:H20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1" xr3:uid="{E71E2F24-2AFD-FC49-8BD3-F94FF641B10D}" name="Group" dataDxfId="1339"/>
    <tableColumn id="2" xr3:uid="{A0D41B92-E1B8-2B40-8760-CC2B964648DD}" name="Athletes" dataDxfId="1338"/>
    <tableColumn id="7" xr3:uid="{2AE7BFB5-5F39-EC40-80FB-D260AD9B7CDF}" name="WIN" dataDxfId="1337">
      <calculatedColumnFormula>SUM(COUNTIFS(Table4101317251247545298684173[ATHLETE 1],Table61215192731495671100704476[[#This Row],[Athletes]],Table4101317251247545298684173[RESULT 12],Table36111418263048555399694375[[#Headers],[WIN]]),COUNTIFS(Table4101317251247545298684173[ATHLETE 2],Table61215192731495671100704476[[#This Row],[Athletes]],Table4101317251247545298684173[RESULT 12],Table36111418263048555399694375[[#Headers],[WIN]]),COUNTIFS(Table4101317251247545298684173[ATHLETE 3],Table61215192731495671100704476[[#This Row],[Athletes]],Table4101317251247545298684173[RESULT 34],Table36111418263048555399694375[[#Headers],[WIN]]),COUNTIFS(Table4101317251247545298684173[ATHLETE 4],Table61215192731495671100704476[[#This Row],[Athletes]],Table4101317251247545298684173[RESULT 34],Table36111418263048555399694375[[#Headers],[WIN]]))</calculatedColumnFormula>
    </tableColumn>
    <tableColumn id="5" xr3:uid="{EDD52790-F35F-6942-97C5-CFA3E4C51C88}" name="LOSE" dataDxfId="1336">
      <calculatedColumnFormula>SUM(COUNTIFS(Table4101317251247545298684173[ATHLETE 1],Table61215192731495671100704476[[#This Row],[Athletes]],Table4101317251247545298684173[RESULT 12],Table36111418263048555399694375[[#Headers],[LOSE]]),COUNTIFS(Table4101317251247545298684173[ATHLETE 2],Table61215192731495671100704476[[#This Row],[Athletes]],Table4101317251247545298684173[RESULT 12],Table36111418263048555399694375[[#Headers],[LOSE]]),COUNTIFS(Table4101317251247545298684173[ATHLETE 3],Table61215192731495671100704476[[#This Row],[Athletes]],Table4101317251247545298684173[RESULT 34],Table36111418263048555399694375[[#Headers],[LOSE]]),COUNTIFS(Table4101317251247545298684173[ATHLETE 4],Table61215192731495671100704476[[#This Row],[Athletes]],Table4101317251247545298684173[RESULT 34],Table36111418263048555399694375[[#Headers],[LOSE]]))</calculatedColumnFormula>
    </tableColumn>
    <tableColumn id="3" xr3:uid="{B53134A3-FABD-E84E-95CA-022A38D47D25}" name="Saldo" dataDxfId="1335">
      <calculatedColumnFormula>SUM(SUMIF(Table4101317251247545298684173[ATHLETE 1],Table61215192731495671100704476[[#This Row],[Athletes]],Table4101317251247545298684173[SALDO 12]),SUMIF(Table4101317251247545298684173[ATHLETE 2],Table61215192731495671100704476[[#This Row],[Athletes]],Table4101317251247545298684173[SALDO 12]),SUMIF(Table4101317251247545298684173[ATHLETE 3],Table61215192731495671100704476[[#This Row],[Athletes]],Table4101317251247545298684173[SALDO 34]),SUMIF(Table4101317251247545298684173[ATHLETE 4],Table61215192731495671100704476[[#This Row],[Athletes]],Table4101317251247545298684173[SALDO 34]))</calculatedColumnFormula>
    </tableColumn>
    <tableColumn id="4" xr3:uid="{52A652D5-3483-F74A-B420-0E52A9DBFC90}" name="PM" dataDxfId="1334">
      <calculatedColumnFormula>SUM(SUMIF(Table4101317251247545298684173[ATHLETE 1],Table61215192731495671100704476[[#This Row],[Athletes]],Table4101317251247545298684173[PM 12]),SUMIF(Table4101317251247545298684173[ATHLETE 2],Table61215192731495671100704476[[#This Row],[Athletes]],Table4101317251247545298684173[PM 12]),SUMIF(Table4101317251247545298684173[ATHLETE 3],Table61215192731495671100704476[[#This Row],[Athletes]],Table4101317251247545298684173[PM 34]),SUMIF(Table4101317251247545298684173[ATHLETE 4],Table61215192731495671100704476[[#This Row],[Athletes]],Table4101317251247545298684173[PM 34]))</calculatedColumnFormula>
    </tableColumn>
    <tableColumn id="6" xr3:uid="{948D0343-0C60-354F-A98B-09E954846867}" name="Rank" dataDxfId="1333">
      <calculatedColumnFormula>IF(COUNTBLANK(Table4101317251247545298684173[[SCORE 1]:[SCORE 2]])=0,IF(RANK(H17,$H$17:$H$20)=1,RANK(H17,$H$17:$H$20)&amp;"st",IF(RANK(H17,$H$17:$H$20)=2,RANK(H17,$H$17:$H$20)&amp;"nd",RANK(H17,$H$17:$H$20)&amp;"th")),"")</calculatedColumnFormula>
    </tableColumn>
    <tableColumn id="8" xr3:uid="{5589FC95-A24D-9F48-8EB8-2DD3FC788E70}" name="Rank support" dataDxfId="1332">
      <calculatedColumnFormula>Table61215192731495671100704476[[#This Row],[WIN]]*1000000+Table61215192731495671100704476[[#This Row],[Saldo]]*1000+Table61215192731495671100704476[[#This Row],[PM]]</calculatedColumnFormula>
    </tableColumn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2D46AFF7-2915-EA46-B251-EAB90875D113}" name="Table15202832506072101714577" displayName="Table15202832506072101714577" ref="T2:U10" totalsRowShown="0" headerRowDxfId="1331" dataDxfId="1330" headerRowBorderDxfId="1328" tableBorderDxfId="1329">
  <autoFilter ref="T2:U10" xr:uid="{908C589F-0CD0-4EFE-993D-5B2ECC06D04A}">
    <filterColumn colId="0" hiddenButton="1"/>
    <filterColumn colId="1" hiddenButton="1"/>
  </autoFilter>
  <tableColumns count="2">
    <tableColumn id="1" xr3:uid="{2BBD91F9-FA2D-FC4C-8C12-5709BE1C7229}" name="Athlete" dataDxfId="1327"/>
    <tableColumn id="2" xr3:uid="{C64EBCC5-3E1B-E24D-A98D-37155483516A}" name="Rank" dataDxfId="1326"/>
  </tableColumns>
  <tableStyleInfo name="TableStyleMedium2" showFirstColumn="1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4D708DB4-0586-254F-AD29-20AE4A65F5D3}" name="Table41013422336386" displayName="Table41013422336386" ref="B1:R7" totalsRowShown="0" headerRowDxfId="1325" dataDxfId="1324" headerRowBorderDxfId="1322" tableBorderDxfId="1323" totalsRowBorderDxfId="1321">
  <autoFilter ref="B1:R7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3" xr3:uid="{FAFD3070-929D-1849-BA8F-56F5C4D6AB2F}" name="GROUP" dataDxfId="1320"/>
    <tableColumn id="4" xr3:uid="{DA00F85B-2570-7C49-8762-44964842AA0C}" name="ATHLETE 1" dataDxfId="1319"/>
    <tableColumn id="5" xr3:uid="{83D018E5-D53E-F84E-AB4B-E8563CC0DC9E}" name="ATHLETE 2" dataDxfId="1318"/>
    <tableColumn id="8" xr3:uid="{FD045C03-86AC-5448-B397-CAC3D195E0FA}" name="SCORE 1" dataDxfId="1317"/>
    <tableColumn id="9" xr3:uid="{C02B5411-103C-9043-AB92-C462CE081E39}" name="SCORE 2" dataDxfId="1316"/>
    <tableColumn id="6" xr3:uid="{ECBD074C-94EF-9E47-B0B7-0EA9309D2949}" name="ATHLETE 3" dataDxfId="1315"/>
    <tableColumn id="1" xr3:uid="{C020486F-45E8-3E47-B08C-4A8454F1567A}" name="X" dataDxfId="1314"/>
    <tableColumn id="2" xr3:uid="{EB1DE18E-1199-4D4A-BC03-B7630BCD05A6}" name="Y" dataDxfId="1313"/>
    <tableColumn id="16" xr3:uid="{9F29B1FE-FF88-CB41-B258-896E393C668E}" name="Z" dataDxfId="1312"/>
    <tableColumn id="17" xr3:uid="{F56F6839-FA43-984B-8B92-E811D7F2D243}" name="A" dataDxfId="1311"/>
    <tableColumn id="7" xr3:uid="{DFE23340-ED52-0346-A799-0401C229CDF9}" name="ATHLETE 4" dataDxfId="1310"/>
    <tableColumn id="10" xr3:uid="{86CB3E6A-4689-404D-8166-D41C804F9A7D}" name="SALDO 12" dataDxfId="1309">
      <calculatedColumnFormula>IF(OR(Table41013422336386[[#This Row],[SCORE 1]]="",Table41013422336386[[#This Row],[SCORE 2]]=""),"",Table41013422336386[[#This Row],[SCORE 1]]-Table41013422336386[[#This Row],[SCORE 2]])</calculatedColumnFormula>
    </tableColumn>
    <tableColumn id="11" xr3:uid="{E496B4DA-02B8-0142-A6DA-34922C73BE4C}" name="SALDO 34" dataDxfId="1308">
      <calculatedColumnFormula>IF(OR(Table41013422336386[[#This Row],[SCORE 1]]="",Table41013422336386[[#This Row],[SCORE 2]]=""),"",Table41013422336386[[#This Row],[SCORE 2]]-Table41013422336386[[#This Row],[SCORE 1]])</calculatedColumnFormula>
    </tableColumn>
    <tableColumn id="12" xr3:uid="{44FD2422-2045-8643-9824-2ABDF9BCFFE3}" name="PM 12" dataDxfId="1307">
      <calculatedColumnFormula>IF(Table41013422336386[[#This Row],[SCORE 1]]="","",Table41013422336386[[#This Row],[SCORE 1]])</calculatedColumnFormula>
    </tableColumn>
    <tableColumn id="13" xr3:uid="{B4DE0E70-29FE-BE43-A153-983C0C3EF20F}" name="PM 34" dataDxfId="1306">
      <calculatedColumnFormula>IF(Table41013422336386[[#This Row],[SCORE 2]]="","",Table41013422336386[[#This Row],[SCORE 2]])</calculatedColumnFormula>
    </tableColumn>
    <tableColumn id="14" xr3:uid="{858C9FDE-AC72-FA47-8598-AD213BDCC3EC}" name="RESULT 12" dataDxfId="1305">
      <calculatedColumnFormula>IF(OR(Table41013422336386[[#This Row],[SCORE 1]]="",Table41013422336386[[#This Row],[SCORE 2]]=""),"",IF(Table41013422336386[[#This Row],[SALDO 12]]&gt;0, "WIN","LOSE"))</calculatedColumnFormula>
    </tableColumn>
    <tableColumn id="15" xr3:uid="{05D81747-61E7-6340-AB49-3C416199143A}" name="RESULT 34" dataDxfId="1304">
      <calculatedColumnFormula>IF(OR(Table41013422336386[[#This Row],[SCORE 2]]="",Table41013422336386[[#This Row],[SCORE 1]]=""),"",IF(Table41013422336386[[#This Row],[SALDO 34]]&gt;0, "WIN","LOSE"))</calculatedColumnFormula>
    </tableColumn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B2B6BFE-1BBF-7944-B209-596C8D3E777F}" name="Table361114532437487" displayName="Table361114532437487" ref="A10:G14" totalsRowShown="0" headerRowDxfId="1303" dataDxfId="1302" headerRowBorderDxfId="1300" tableBorderDxfId="1301" totalsRowBorderDxfId="1299">
  <autoFilter ref="A10:G14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11:G14">
    <sortCondition descending="1" ref="D11:D14"/>
    <sortCondition descending="1" ref="E11:E14"/>
    <sortCondition descending="1" ref="F11:F14"/>
  </sortState>
  <tableColumns count="7">
    <tableColumn id="7" xr3:uid="{A5DA23CB-5A5E-2641-B1E5-B38476EFF289}" name="Group" dataDxfId="1298"/>
    <tableColumn id="1" xr3:uid="{CEC6B2DE-EA66-2646-A27D-79E69A842497}" name="Athletes " dataDxfId="1297"/>
    <tableColumn id="8" xr3:uid="{D5D9FFF0-DB39-C845-BCFD-7036915A2853}" name="WIN" dataDxfId="1296">
      <calculatedColumnFormula>SUM(COUNTIFS(Table41013422336386[ATHLETE 1],Table361114532437487[[#This Row],[Athletes ]],Table41013422336386[RESULT 12],Table361114532437487[[#Headers],[WIN]]),COUNTIFS(Table41013422336386[ATHLETE 2],Table361114532437487[[#This Row],[Athletes ]],Table41013422336386[RESULT 12],Table361114532437487[[#Headers],[WIN]]),COUNTIFS(Table41013422336386[ATHLETE 3],Table361114532437487[[#This Row],[Athletes ]],Table41013422336386[RESULT 34],Table361114532437487[[#Headers],[WIN]]),COUNTIFS(Table41013422336386[ATHLETE 4],Table361114532437487[[#This Row],[Athletes ]],Table41013422336386[RESULT 34],Table361114532437487[[#Headers],[WIN]]))</calculatedColumnFormula>
    </tableColumn>
    <tableColumn id="5" xr3:uid="{67D8A2E4-9D11-EC4D-9EF5-A1B58828BEFF}" name="LOSE" dataDxfId="1295">
      <calculatedColumnFormula>SUM(COUNTIFS(Table41013422336386[ATHLETE 1],Table361114532437487[[#This Row],[Athletes ]],Table41013422336386[RESULT 12],Table361114532437487[[#Headers],[LOSE]]),COUNTIFS(Table41013422336386[ATHLETE 2],Table361114532437487[[#This Row],[Athletes ]],Table41013422336386[RESULT 12],Table361114532437487[[#Headers],[LOSE]]),COUNTIFS(Table41013422336386[ATHLETE 3],Table361114532437487[[#This Row],[Athletes ]],Table41013422336386[RESULT 34],Table361114532437487[[#Headers],[LOSE]]),COUNTIFS(Table41013422336386[ATHLETE 4],Table361114532437487[[#This Row],[Athletes ]],Table41013422336386[RESULT 34],Table361114532437487[[#Headers],[LOSE]]))</calculatedColumnFormula>
    </tableColumn>
    <tableColumn id="3" xr3:uid="{8DA221A5-5C23-5F45-A87A-0D51F8DBD890}" name="Saldo" dataDxfId="1294">
      <calculatedColumnFormula>SUM(SUMIF(Table41013422336386[ATHLETE 1],Table361114532437487[[#This Row],[Athletes ]],Table41013422336386[SALDO 12]),SUMIF(Table41013422336386[ATHLETE 2],Table361114532437487[[#This Row],[Athletes ]],Table41013422336386[SALDO 12]),SUMIF(Table41013422336386[ATHLETE 3],Table361114532437487[[#This Row],[Athletes ]],Table41013422336386[SALDO 34]),SUMIF(Table41013422336386[ATHLETE 4],Table361114532437487[[#This Row],[Athletes ]],Table41013422336386[SALDO 34]))</calculatedColumnFormula>
    </tableColumn>
    <tableColumn id="4" xr3:uid="{46E63938-E631-9347-97AB-DE9618B83AD5}" name="PM" dataDxfId="1293">
      <calculatedColumnFormula>SUM(SUMIF(Table41013422336386[ATHLETE 1],Table361114532437487[[#This Row],[Athletes ]],Table41013422336386[PM 12]),SUMIF(Table41013422336386[ATHLETE 2],Table361114532437487[[#This Row],[Athletes ]],Table41013422336386[PM 12]),SUMIF(Table41013422336386[ATHLETE 3],Table361114532437487[[#This Row],[Athletes ]],Table41013422336386[PM 34]),SUMIF(Table41013422336386[ATHLETE 4],Table361114532437487[[#This Row],[Athletes ]],Table41013422336386[PM 34]))</calculatedColumnFormula>
    </tableColumn>
    <tableColumn id="6" xr3:uid="{D74B651C-8014-7C4C-AD9C-872EBDF9E5F9}" name="Rank" dataDxfId="1292">
      <calculatedColumnFormula>IF(COUNTBLANK(Table41013422336386[[SCORE 1]:[SCORE 2]])=0,IF(RANK(H11,$H$11:$H$14)=1,RANK(H11,$H$11:$H$14)&amp;"st",IF(RANK(H11,$H$11:$H$14)=2,RANK(H11,$H$11:$H$14)&amp;"nd",RANK(H11,$H$11:$H$14)&amp;"th")),"")</calculatedColumnFormula>
    </tableColumn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373B4BBA-A03A-6E4A-ABF8-9CC7930631C8}" name="Table612156213443588" displayName="Table612156213443588" ref="A16:G20" totalsRowShown="0" headerRowDxfId="1291" dataDxfId="1290" headerRowBorderDxfId="1288" tableBorderDxfId="1289" totalsRowBorderDxfId="1287">
  <autoFilter ref="A16:G20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7">
    <tableColumn id="1" xr3:uid="{BC2F7F72-2BB7-0D4E-AC79-6E96E84FA50B}" name="Group" dataDxfId="1286"/>
    <tableColumn id="2" xr3:uid="{A4D1E34A-F05D-3945-9EE8-CFC3F4183BA2}" name="Athletes " dataDxfId="1285"/>
    <tableColumn id="7" xr3:uid="{9A5C369C-B937-C34E-ACD2-E6C3A790B631}" name="WIN" dataDxfId="1284">
      <calculatedColumnFormula>SUM(COUNTIFS(Table41013422336386[ATHLETE 1],Table612156213443588[[#This Row],[Athletes ]],Table41013422336386[RESULT 12],Table361114532437487[[#Headers],[WIN]]),COUNTIFS(Table41013422336386[ATHLETE 2],Table612156213443588[[#This Row],[Athletes ]],Table41013422336386[RESULT 12],Table361114532437487[[#Headers],[WIN]]),COUNTIFS(Table41013422336386[ATHLETE 3],Table612156213443588[[#This Row],[Athletes ]],Table41013422336386[RESULT 34],Table361114532437487[[#Headers],[WIN]]),COUNTIFS(Table41013422336386[ATHLETE 4],Table612156213443588[[#This Row],[Athletes ]],Table41013422336386[RESULT 34],Table361114532437487[[#Headers],[WIN]]))</calculatedColumnFormula>
    </tableColumn>
    <tableColumn id="5" xr3:uid="{75778986-8197-714D-8CE8-75DBF18E8E0C}" name="LOSE" dataDxfId="1283">
      <calculatedColumnFormula>SUM(COUNTIFS(Table41013422336386[ATHLETE 1],Table612156213443588[[#This Row],[Athletes ]],Table41013422336386[RESULT 12],Table361114532437487[[#Headers],[LOSE]]),COUNTIFS(Table41013422336386[ATHLETE 2],Table612156213443588[[#This Row],[Athletes ]],Table41013422336386[RESULT 12],Table361114532437487[[#Headers],[LOSE]]),COUNTIFS(Table41013422336386[ATHLETE 3],Table612156213443588[[#This Row],[Athletes ]],Table41013422336386[RESULT 34],Table361114532437487[[#Headers],[LOSE]]),COUNTIFS(Table41013422336386[ATHLETE 4],Table612156213443588[[#This Row],[Athletes ]],Table41013422336386[RESULT 34],Table361114532437487[[#Headers],[LOSE]]))</calculatedColumnFormula>
    </tableColumn>
    <tableColumn id="3" xr3:uid="{9F806F9C-52FE-BB44-9A77-B8C0C79C5C5C}" name="Saldo" dataDxfId="1282">
      <calculatedColumnFormula>SUM(SUMIF(Table41013422336386[ATHLETE 1],Table612156213443588[[#This Row],[Athletes ]],Table41013422336386[SALDO 12]),SUMIF(Table41013422336386[ATHLETE 2],Table612156213443588[[#This Row],[Athletes ]],Table41013422336386[SALDO 12]),SUMIF(Table41013422336386[ATHLETE 3],Table612156213443588[[#This Row],[Athletes ]],Table41013422336386[SALDO 34]),SUMIF(Table41013422336386[ATHLETE 4],Table612156213443588[[#This Row],[Athletes ]],Table41013422336386[SALDO 34]))</calculatedColumnFormula>
    </tableColumn>
    <tableColumn id="4" xr3:uid="{614F0593-61FD-0843-B8CD-E4B0DB3CCE94}" name="PM" dataDxfId="1281">
      <calculatedColumnFormula>SUM(SUMIF(Table41013422336386[ATHLETE 1],Table612156213443588[[#This Row],[Athletes ]],Table41013422336386[PM 12]),SUMIF(Table41013422336386[ATHLETE 2],Table612156213443588[[#This Row],[Athletes ]],Table41013422336386[PM 12]),SUMIF(Table41013422336386[ATHLETE 3],Table612156213443588[[#This Row],[Athletes ]],Table41013422336386[PM 34]),SUMIF(Table41013422336386[ATHLETE 4],Table612156213443588[[#This Row],[Athletes ]],Table41013422336386[PM 34]))</calculatedColumnFormula>
    </tableColumn>
    <tableColumn id="6" xr3:uid="{80C7E92C-9356-B54C-B8FD-EBF58C804A58}" name="Rank" dataDxfId="1280">
      <calculatedColumnFormula>IF(COUNTBLANK(Table41013422336386[[SCORE 1]:[SCORE 2]])=0,IF(RANK(H17,$H$17:$H$20)=1,RANK(H17,$H$17:$H$20)&amp;"st",IF(RANK(H17,$H$17:$H$20)=2,RANK(H17,$H$17:$H$20)&amp;"nd",RANK(H17,$H$17:$H$20)&amp;"th")),"")</calculatedColumnFormula>
    </tableColumn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E92031A6-5C0D-514A-AF67-F9F65F5D1656}" name="Table157223544789" displayName="Table157223544789" ref="T2:U10" totalsRowShown="0" headerRowDxfId="1279" dataDxfId="1278" headerRowBorderDxfId="1276" tableBorderDxfId="1277">
  <autoFilter ref="T2:U10" xr:uid="{908C589F-0CD0-4EFE-993D-5B2ECC06D04A}">
    <filterColumn colId="0" hiddenButton="1"/>
    <filterColumn colId="1" hiddenButton="1"/>
  </autoFilter>
  <tableColumns count="2">
    <tableColumn id="1" xr3:uid="{C1D8CD61-4DD1-684E-9E87-021CE71BD47E}" name="Athlete" dataDxfId="1275"/>
    <tableColumn id="2" xr3:uid="{E8FCD10C-8454-EA4A-9BD3-F107DBD90757}" name="Rank" dataDxfId="1274"/>
  </tableColumns>
  <tableStyleInfo name="TableStyleMedium2" showFirstColumn="1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141227C-F003-854E-9899-A50CBF1EC571}" name="Table4101317251247545298684173134" displayName="Table4101317251247545298684173134" ref="B1:R13" totalsRowShown="0" headerRowDxfId="1273" dataDxfId="1272" headerRowBorderDxfId="1270" tableBorderDxfId="1271" totalsRowBorderDxfId="1269">
  <autoFilter ref="B1:R13" xr:uid="{A141227C-F003-854E-9899-A50CBF1EC571}"/>
  <tableColumns count="17">
    <tableColumn id="3" xr3:uid="{D7D81710-8477-6B43-896B-FFB9EA98E66B}" name="GROUP" dataDxfId="1268"/>
    <tableColumn id="5" xr3:uid="{8FE70017-DF84-8645-9D99-DAD84B713E82}" name="ATHLETE 2" dataDxfId="1267"/>
    <tableColumn id="8" xr3:uid="{BF53138F-3D6A-244E-AC5F-7C26F99717C8}" name="SCORE 1" dataDxfId="1266"/>
    <tableColumn id="9" xr3:uid="{2560E501-1A1E-2C47-A1FF-0013D25D66DF}" name="SCORE 2" dataDxfId="1265"/>
    <tableColumn id="17" xr3:uid="{99E5DD5B-2236-9C4F-85E2-E35599D8C3B3}" name="X" dataDxfId="1264"/>
    <tableColumn id="16" xr3:uid="{FF4634EF-419A-A54E-9DD1-D97CBD31CC23}" name="Y" dataDxfId="1263"/>
    <tableColumn id="2" xr3:uid="{6E358A11-E322-E549-86B7-A62166A4B56D}" name="Z" dataDxfId="1262"/>
    <tableColumn id="6" xr3:uid="{76106078-23C7-7C49-A6EF-D2B1F8FE37A8}" name="Column2" dataDxfId="1261"/>
    <tableColumn id="4" xr3:uid="{76CD96AE-2AC1-1643-A692-C38B2A150293}" name="Column1" dataDxfId="1260"/>
    <tableColumn id="1" xr3:uid="{872785E7-2793-244B-8BA3-E9D5FAF8B05F}" name="A" dataDxfId="1259"/>
    <tableColumn id="7" xr3:uid="{E51E5F90-09DC-644A-8851-B52163C8D7DF}" name="ATHLETE 4" dataDxfId="1258"/>
    <tableColumn id="10" xr3:uid="{9BDE842C-EAED-4E41-A608-6E759AC20AA6}" name="SALDO 12" dataDxfId="1257">
      <calculatedColumnFormula>IF(OR(Table4101317251247545298684173134[[#This Row],[SCORE 1]]="",Table4101317251247545298684173134[[#This Row],[SCORE 2]]=""),"",Table4101317251247545298684173134[[#This Row],[SCORE 1]]-Table4101317251247545298684173134[[#This Row],[SCORE 2]])</calculatedColumnFormula>
    </tableColumn>
    <tableColumn id="11" xr3:uid="{C7C5446C-7827-534B-9505-7465503A0310}" name="SALDO 34" dataDxfId="1256">
      <calculatedColumnFormula>IF(OR(Table4101317251247545298684173134[[#This Row],[SCORE 1]]="",Table4101317251247545298684173134[[#This Row],[SCORE 2]]=""),"",Table4101317251247545298684173134[[#This Row],[SCORE 2]]-Table4101317251247545298684173134[[#This Row],[SCORE 1]])</calculatedColumnFormula>
    </tableColumn>
    <tableColumn id="12" xr3:uid="{6BCF8AEE-6476-3A4B-8662-C5976B318433}" name="PM 12" dataDxfId="1255">
      <calculatedColumnFormula>IF(Table4101317251247545298684173134[[#This Row],[SCORE 1]]="","",Table4101317251247545298684173134[[#This Row],[SCORE 1]])</calculatedColumnFormula>
    </tableColumn>
    <tableColumn id="13" xr3:uid="{8D8C9AE2-345C-F74D-9706-E01C089120BF}" name="PM 34" dataDxfId="1254">
      <calculatedColumnFormula>IF(Table4101317251247545298684173134[[#This Row],[SCORE 2]]="","",Table4101317251247545298684173134[[#This Row],[SCORE 2]])</calculatedColumnFormula>
    </tableColumn>
    <tableColumn id="14" xr3:uid="{0690765A-6623-B247-848D-883123FE5CD2}" name="RESULT 12" dataDxfId="1253">
      <calculatedColumnFormula>IF(OR(Table4101317251247545298684173134[[#This Row],[SCORE 1]]="",Table4101317251247545298684173134[[#This Row],[SCORE 2]]=""),"",IF(Table4101317251247545298684173134[[#This Row],[SALDO 12]]&gt;0, "WIN","LOSE"))</calculatedColumnFormula>
    </tableColumn>
    <tableColumn id="15" xr3:uid="{6E9D0BFD-A83B-A645-824F-7DE8C7025DEB}" name="RESULT 34" dataDxfId="1252">
      <calculatedColumnFormula>IF(OR(Table4101317251247545298684173134[[#This Row],[SCORE 1]]="",Table4101317251247545298684173134[[#This Row],[SCORE 2]]=""),"",IF(Table4101317251247545298684173134[[#This Row],[SALDO 34]]&gt;0, "WIN","LOSE"))</calculatedColumnFormula>
    </tableColumn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6CD2B803-5DB1-3B41-A34A-6F1C9575E17D}" name="Table36111418263048555399694375135" displayName="Table36111418263048555399694375135" ref="A16:H20" totalsRowShown="0" headerRowDxfId="1251" dataDxfId="1250" headerRowBorderDxfId="1248" tableBorderDxfId="1249" totalsRowBorderDxfId="1247">
  <autoFilter ref="A16:H20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0D1558DC-9B0D-2142-8AA0-B74631043016}" name="Group" dataDxfId="1246"/>
    <tableColumn id="1" xr3:uid="{9503E98F-D16F-9742-8EA9-D68FEB95A84B}" name="Team" dataDxfId="1245"/>
    <tableColumn id="8" xr3:uid="{C474FD5E-7158-084C-8F0E-E134C269B20C}" name="WIN" dataDxfId="1244">
      <calculatedColumnFormula>SUM(COUNTIFS(Table4101317251247545298684173134[ATHLETE 2],Table36111418263048555399694375135[[#This Row],[Team]],Table4101317251247545298684173134[RESULT 12],Table36111418263048555399694375135[[#Headers],[WIN]]),COUNTIFS(Table4101317251247545298684173134[ATHLETE 4],Table36111418263048555399694375135[[#This Row],[Team]],Table4101317251247545298684173134[RESULT 34],Table36111418263048555399694375135[[#Headers],[WIN]]))</calculatedColumnFormula>
    </tableColumn>
    <tableColumn id="5" xr3:uid="{F775C53A-5A7E-574C-A020-C0762B71CC35}" name="LOSE" dataDxfId="1243">
      <calculatedColumnFormula>SUM(COUNTIFS(Table4101317251247545298684173134[ATHLETE 2],Table36111418263048555399694375135[[#This Row],[Team]],Table4101317251247545298684173134[RESULT 12],Table36111418263048555399694375135[[#Headers],[LOSE]]),COUNTIFS(Table4101317251247545298684173134[ATHLETE 4],Table36111418263048555399694375135[[#This Row],[Team]],Table4101317251247545298684173134[RESULT 34],Table36111418263048555399694375135[[#Headers],[LOSE]]))</calculatedColumnFormula>
    </tableColumn>
    <tableColumn id="3" xr3:uid="{970206FB-0905-3944-89F7-760B1D53E3D1}" name="Saldo" dataDxfId="1242">
      <calculatedColumnFormula>SUM(SUMIF(Table4101317251247545298684173134[ATHLETE 2],Table36111418263048555399694375135[[#This Row],[Team]],Table4101317251247545298684173134[SALDO 12]),SUMIF(Table4101317251247545298684173134[ATHLETE 4],Table36111418263048555399694375135[[#This Row],[Team]],Table4101317251247545298684173134[SALDO 34]))</calculatedColumnFormula>
    </tableColumn>
    <tableColumn id="4" xr3:uid="{DC25E0B1-D46F-ED41-AAD7-39602E2CAD6E}" name="PM" dataDxfId="1241">
      <calculatedColumnFormula>SUM(SUMIF(Table4101317251247545298684173134[ATHLETE 2],Table36111418263048555399694375135[[#This Row],[Team]],Table4101317251247545298684173134[PM 12]),SUMIF(Table4101317251247545298684173134[ATHLETE 4],Table36111418263048555399694375135[[#This Row],[Team]],Table4101317251247545298684173134[PM 34]))</calculatedColumnFormula>
    </tableColumn>
    <tableColumn id="6" xr3:uid="{779C3F6C-2C55-F54E-A427-6AB0EE47FA71}" name="Rank" dataDxfId="1240">
      <calculatedColumnFormula>IF(COUNTBLANK(Table4101317251247545298684173134[[SCORE 1]:[SCORE 2]])=0,IF(RANK(H17,$H$17:$H$20)=1,RANK(H17,$H$17:$H$20)&amp;"st",IF(RANK(H17,$H$17:$H$20)=2,RANK(H17,$H$17:$H$20)&amp;"nd",RANK(H17,$H$17:$H$20)&amp;"th")),"")</calculatedColumnFormula>
    </tableColumn>
    <tableColumn id="2" xr3:uid="{8ADD4E05-83D1-E64D-97C3-FBC9FF7477B2}" name="Rank support" dataDxfId="1239">
      <calculatedColumnFormula>Table36111418263048555399694375135[[#This Row],[WIN]]*1000000+Table36111418263048555399694375135[[#This Row],[Saldo]]*1000+Table36111418263048555399694375135[[#This Row],[PM]]</calculatedColumnFormula>
    </tableColumn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382A510F-C386-F04B-ADD7-04B446F22D00}" name="Table61215192731495671100704476136" displayName="Table61215192731495671100704476136" ref="A22:H26" totalsRowShown="0" headerRowDxfId="1238" dataDxfId="1237" headerRowBorderDxfId="1235" tableBorderDxfId="1236" totalsRowBorderDxfId="1234">
  <autoFilter ref="A22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3:G26">
    <sortCondition descending="1" ref="D23:D26"/>
    <sortCondition descending="1" ref="E23:E26"/>
    <sortCondition descending="1" ref="F23:F26"/>
  </sortState>
  <tableColumns count="8">
    <tableColumn id="1" xr3:uid="{343AB514-F4F2-0D4C-8D1D-4B024625B2B0}" name="Group" dataDxfId="1233"/>
    <tableColumn id="2" xr3:uid="{21588493-508B-1347-979F-BEEB6F6B2797}" name="Team" dataDxfId="1232"/>
    <tableColumn id="7" xr3:uid="{DD266EE7-1857-4A45-8E0C-8F73F045663D}" name="WIN" dataDxfId="1231">
      <calculatedColumnFormula>SUM(COUNTIFS(Table4101317251247545298684173134[ATHLETE 2],Table61215192731495671100704476136[[#This Row],[Team]],Table4101317251247545298684173134[RESULT 12],Table36111418263048555399694375135[[#Headers],[WIN]]),COUNTIFS(Table4101317251247545298684173134[ATHLETE 4],Table61215192731495671100704476136[[#This Row],[Team]],Table4101317251247545298684173134[RESULT 34],Table36111418263048555399694375135[[#Headers],[WIN]]))</calculatedColumnFormula>
    </tableColumn>
    <tableColumn id="5" xr3:uid="{D125F5C0-DA81-5743-BB06-21C7247A758E}" name="LOSE" dataDxfId="1230">
      <calculatedColumnFormula>SUM(COUNTIFS(Table4101317251247545298684173134[ATHLETE 2],Table61215192731495671100704476136[[#This Row],[Team]],Table4101317251247545298684173134[RESULT 12],Table36111418263048555399694375135[[#Headers],[LOSE]]),COUNTIFS(Table4101317251247545298684173134[ATHLETE 4],Table61215192731495671100704476136[[#This Row],[Team]],Table4101317251247545298684173134[RESULT 34],Table36111418263048555399694375135[[#Headers],[LOSE]]))</calculatedColumnFormula>
    </tableColumn>
    <tableColumn id="3" xr3:uid="{75E22E22-752A-C541-93DD-22FD380EBF57}" name="Saldo" dataDxfId="1229">
      <calculatedColumnFormula>SUM(SUMIF(Table4101317251247545298684173134[ATHLETE 2],Table61215192731495671100704476136[[#This Row],[Team]],Table4101317251247545298684173134[SALDO 12]),SUMIF(Table4101317251247545298684173134[ATHLETE 4],Table61215192731495671100704476136[[#This Row],[Team]],Table4101317251247545298684173134[SALDO 34]))</calculatedColumnFormula>
    </tableColumn>
    <tableColumn id="4" xr3:uid="{7429B735-9C78-B849-81B4-A47087E48312}" name="PM" dataDxfId="1228">
      <calculatedColumnFormula>SUM(SUMIF(Table4101317251247545298684173134[ATHLETE 2],Table61215192731495671100704476136[[#This Row],[Team]],Table4101317251247545298684173134[PM 12]),SUMIF(Table4101317251247545298684173134[ATHLETE 4],Table61215192731495671100704476136[[#This Row],[Team]],Table4101317251247545298684173134[PM 34]))</calculatedColumnFormula>
    </tableColumn>
    <tableColumn id="6" xr3:uid="{4EEC0172-8FF9-7640-854A-30E5C20DCC9E}" name="Rank" dataDxfId="1227">
      <calculatedColumnFormula>IF(COUNTBLANK(Table4101317251247545298684173134[[SCORE 1]:[SCORE 2]])=0,IF(RANK(H23,$H$23:$H$26)=1,RANK(H23,$H$23:$H$26)&amp;"st",IF(RANK(H23,$H$23:$H$26)=2,RANK(H23,$H$23:$H$26)&amp;"nd",RANK(H23,$H$23:$H$26)&amp;"th")),"")</calculatedColumnFormula>
    </tableColumn>
    <tableColumn id="8" xr3:uid="{03090762-48D6-3F48-A667-0985BB874CAD}" name="Rank support" dataDxfId="1226">
      <calculatedColumnFormula>Table61215192731495671100704476136[[#This Row],[WIN]]*1000000+Table61215192731495671100704476136[[#This Row],[Saldo]]*1000+Table61215192731495671100704476136[[#This Row],[PM]]</calculatedColumnFormula>
    </tableColumn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C23262F6-B0DB-3A4B-9903-1CF77E4BF7D2}" name="Table15202832506072101714577137" displayName="Table15202832506072101714577137" ref="T2:U10" totalsRowShown="0" headerRowDxfId="1225" dataDxfId="1224" headerRowBorderDxfId="1222" tableBorderDxfId="1223">
  <autoFilter ref="T2:U10" xr:uid="{908C589F-0CD0-4EFE-993D-5B2ECC06D04A}">
    <filterColumn colId="0" hiddenButton="1"/>
    <filterColumn colId="1" hiddenButton="1"/>
  </autoFilter>
  <tableColumns count="2">
    <tableColumn id="1" xr3:uid="{FD38DBC8-BFE6-C345-889A-47166118FCD3}" name="Athlete" dataDxfId="1221"/>
    <tableColumn id="2" xr3:uid="{1C6D9B26-BB27-6C49-8FD9-5A3805906577}" name="Rank" dataDxfId="1220"/>
  </tableColumns>
  <tableStyleInfo name="TableStyleMedium2" showFirstColumn="1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C5BDA5-EEBC-CB4E-8F8E-CB1CF8F20BF1}" name="Games_2" displayName="Games_2" ref="B1:R13" totalsRowShown="0" headerRowDxfId="1219" dataDxfId="1218" headerRowBorderDxfId="1216" tableBorderDxfId="1217" totalsRowBorderDxfId="1215">
  <autoFilter ref="B1:R13" xr:uid="{C79D687B-AEB2-42F8-B262-AEDE9265CB48}"/>
  <tableColumns count="17">
    <tableColumn id="3" xr3:uid="{CF4B701B-7364-F842-8936-7B8B4960F4AF}" name="GROUP" dataDxfId="1214"/>
    <tableColumn id="4" xr3:uid="{0621E405-DD2F-5B49-9CAA-4E466FA2F3EE}" name="ATHLETE 1" dataDxfId="1213"/>
    <tableColumn id="5" xr3:uid="{889374DF-21B5-F941-A275-FF1DF644EDF1}" name="ATHLETE 2" dataDxfId="1212"/>
    <tableColumn id="8" xr3:uid="{DB50C75E-8514-9449-B10F-7E217BAB471E}" name="SCORE 1" dataDxfId="1211"/>
    <tableColumn id="9" xr3:uid="{0FD8190D-54EF-2F43-93E6-D0C78D7E72F9}" name="SCORE 2" dataDxfId="1210"/>
    <tableColumn id="6" xr3:uid="{23779D8D-D9B5-6E42-A8BD-6A3EB98C63B7}" name="ATHLETE 3" dataDxfId="1209"/>
    <tableColumn id="1" xr3:uid="{388DBD88-2C5C-0F4B-8B6B-06BE1D02CB99}" name="X" dataDxfId="1208"/>
    <tableColumn id="2" xr3:uid="{9F044B13-4DDC-8D49-93D6-49A391C6B6CD}" name="Y" dataDxfId="1207"/>
    <tableColumn id="16" xr3:uid="{E557683B-56E8-7741-9B1C-34539D71F137}" name="Z" dataDxfId="1206"/>
    <tableColumn id="17" xr3:uid="{3BBB54B6-7350-C54F-A486-E3C02250DDB2}" name="A" dataDxfId="1205"/>
    <tableColumn id="7" xr3:uid="{F5BD0EF2-2285-EE41-9E6D-B903D3248F5F}" name="ATHLETE 4" dataDxfId="1204"/>
    <tableColumn id="10" xr3:uid="{E4162ABB-AD77-5840-AC6C-2AE80FFAFFE6}" name="SALDO 12" dataDxfId="1203">
      <calculatedColumnFormula>IF(OR(Games_2[[#This Row],[SCORE 1]]="",Games_2[[#This Row],[SCORE 2]]=""),"",Games_2[[#This Row],[SCORE 1]]-Games_2[[#This Row],[SCORE 2]])</calculatedColumnFormula>
    </tableColumn>
    <tableColumn id="11" xr3:uid="{0941D126-DA40-3541-BDC9-69D6F599C439}" name="SALDO 34" dataDxfId="1202">
      <calculatedColumnFormula>IF(OR(Games_2[[#This Row],[SCORE 1]]="",Games_2[[#This Row],[SCORE 2]]=""),"",Games_2[[#This Row],[SCORE 2]]-Games_2[[#This Row],[SCORE 1]])</calculatedColumnFormula>
    </tableColumn>
    <tableColumn id="12" xr3:uid="{1C6BFA48-8A65-234E-BEA1-4766DF83A9A0}" name="PM 12" dataDxfId="1201">
      <calculatedColumnFormula>IF(Games_2[[#This Row],[SCORE 1]]="","",Games_2[[#This Row],[SCORE 1]])</calculatedColumnFormula>
    </tableColumn>
    <tableColumn id="13" xr3:uid="{1CD6A902-CA38-1346-90DE-A1D6064CC955}" name="PM 34" dataDxfId="1200">
      <calculatedColumnFormula>IF(Games_2[[#This Row],[SCORE 2]]="","",Games_2[[#This Row],[SCORE 2]])</calculatedColumnFormula>
    </tableColumn>
    <tableColumn id="14" xr3:uid="{C0574811-261A-FD42-A597-7405DFD632AF}" name="RESULT 12" dataDxfId="1199">
      <calculatedColumnFormula>IF(OR(Games_2[[#This Row],[SCORE 1]]="",Games_2[[#This Row],[SCORE 2]]=""),"",IF(Games_2[[#This Row],[SALDO 12]]&gt;0, "WIN","LOSE"))</calculatedColumnFormula>
    </tableColumn>
    <tableColumn id="15" xr3:uid="{9296AD19-B0A7-124D-BF61-22B7EECC5ACD}" name="RESULT 34" dataDxfId="1198">
      <calculatedColumnFormula>IF(OR(Games_2[[#This Row],[SCORE 2]]="",Games_2[[#This Row],[SCORE 1]]=""),"",IF(Games_2[[#This Row],[SALDO 34]]&gt;0, "WIN","LOSE"))</calculatedColumnFormula>
    </tableColumn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6369B0-1C9E-044E-91E1-09205FB2B844}" name="Analysis_3" displayName="Analysis_3" ref="A16:H22" totalsRowShown="0" headerRowDxfId="1197" dataDxfId="1196" headerRowBorderDxfId="1194" tableBorderDxfId="1195" totalsRowBorderDxfId="1193">
  <autoFilter ref="A16:H22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865CF944-9F59-504C-8363-53273659C639}" name="Reference" dataDxfId="1192"/>
    <tableColumn id="1" xr3:uid="{754BC085-7355-664F-ACA8-94A430A64F7B}" name="Atheletes " dataDxfId="1191"/>
    <tableColumn id="8" xr3:uid="{2BE65843-78E9-F84B-9FC9-231298A6619F}" name="WIN" dataDxfId="1190"/>
    <tableColumn id="5" xr3:uid="{E9084F5E-D0E5-4947-9395-F58699CA9A4B}" name="LOSE" dataDxfId="1189"/>
    <tableColumn id="3" xr3:uid="{76DCB6F6-870E-D349-8A38-C5149F577C94}" name="Saldo" dataDxfId="1188"/>
    <tableColumn id="4" xr3:uid="{83CA12B7-0D68-384E-83C8-B8AFB6192E77}" name="PM" dataDxfId="1187"/>
    <tableColumn id="6" xr3:uid="{E149E66F-629C-2445-8176-A5E7684BF92E}" name="Rank" dataDxfId="1186">
      <calculatedColumnFormula>IF(COUNTBLANK(Games_2[[SCORE 1]:[SCORE 2]])=0,IF(RANK(H17,$H$17:$H$22)=1,RANK(H17,$H$17:$H$22)&amp;"st",IF(RANK(H17,$H$17:$H$22)=2,RANK(H17,$H$17:$H$22)&amp;"nd",IF(RANK(H17,$H$17:$H$22)=3,RANK(H17,$H$17:$H$22)&amp;"rd",RANK(H17,$H$17:$H$22)&amp;"th"))),"")</calculatedColumnFormula>
    </tableColumn>
    <tableColumn id="2" xr3:uid="{D1A31F36-B45F-D845-8737-C58D56E3944C}" name="Rank support" dataDxfId="1185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88ECCF-F031-0342-89BE-01BBA0FFF382}" name="Table157223544789133510" displayName="Table157223544789133510" ref="T2:U10" totalsRowShown="0" headerRowDxfId="1184" dataDxfId="1183" headerRowBorderDxfId="1181" tableBorderDxfId="1182">
  <autoFilter ref="T2:U10" xr:uid="{908C589F-0CD0-4EFE-993D-5B2ECC06D04A}">
    <filterColumn colId="0" hiddenButton="1"/>
    <filterColumn colId="1" hiddenButton="1"/>
  </autoFilter>
  <tableColumns count="2">
    <tableColumn id="1" xr3:uid="{AD911257-065C-2E4E-95A7-7AACBC12BBA1}" name="Athlete" dataDxfId="1180"/>
    <tableColumn id="2" xr3:uid="{BC8F8F4F-D178-2E4F-8ACF-C904242B2964}" name="Rank" dataDxfId="1179"/>
  </tableColumns>
  <tableStyleInfo name="TableStyleMedium2" showFirstColumn="1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A7DA99-B3FE-004D-BFF6-DA1337F7D6D8}" name="Analysis_4" displayName="Analysis_4" ref="A24:H30" totalsRowShown="0" headerRowDxfId="1178" headerRowBorderDxfId="1176" tableBorderDxfId="1177" totalsRowBorderDxfId="1175">
  <autoFilter ref="A24:H30" xr:uid="{56A7DA99-B3FE-004D-BFF6-DA1337F7D6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5698525-BC0E-9A45-93E6-78524D9CFD90}" name="Reference" dataDxfId="1174"/>
    <tableColumn id="2" xr3:uid="{BAC1238D-2BCB-FB41-98C5-CFDFEC984BD2}" name="Atheletes " dataDxfId="1173"/>
    <tableColumn id="3" xr3:uid="{71E9BFD1-7814-B44D-8641-F7DEBE83F85A}" name="WIN"/>
    <tableColumn id="4" xr3:uid="{9488F932-07E6-E242-827E-AF24AE773FDA}" name="LOSE"/>
    <tableColumn id="5" xr3:uid="{B72386D0-5025-D041-89A2-C12C5933A41D}" name="Saldo"/>
    <tableColumn id="6" xr3:uid="{580CBBD1-1F4E-4E42-9506-15ACD719B9D5}" name="PM"/>
    <tableColumn id="7" xr3:uid="{58C380A4-EA36-674D-85CE-B246D2525E33}" name="Rank"/>
    <tableColumn id="9" xr3:uid="{7E273A56-D04F-D449-9A66-B1824BDDD362}" name="Rank support" dataDxfId="1172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D5706B9F-F926-5246-A940-FC2CECC3FF86}" name="Game_5" displayName="Game_5" ref="B1:R11" totalsRowShown="0" headerRowDxfId="1171" dataDxfId="1170" headerRowBorderDxfId="1168" tableBorderDxfId="1169" totalsRowBorderDxfId="1167">
  <autoFilter ref="B1:R11" xr:uid="{C79D687B-AEB2-42F8-B262-AEDE9265CB48}"/>
  <tableColumns count="17">
    <tableColumn id="3" xr3:uid="{9E44C8BB-0422-054A-B1D7-AC8CE9684248}" name="GROUP" dataDxfId="1166"/>
    <tableColumn id="4" xr3:uid="{039C4301-C549-7140-B006-6ECB9E850577}" name="ATHLETE 1" dataDxfId="1165"/>
    <tableColumn id="5" xr3:uid="{F282D4BE-B9EC-204C-95F9-E6F3FDF56C79}" name="ATHLETE 2" dataDxfId="1164"/>
    <tableColumn id="8" xr3:uid="{E36F38BE-638F-C346-A282-5620923E0414}" name="SCORE 1" dataDxfId="1163"/>
    <tableColumn id="9" xr3:uid="{BDA6F197-81C7-D644-921D-2F5FBF40E0BB}" name="SCORE 2" dataDxfId="1162"/>
    <tableColumn id="6" xr3:uid="{A6E1F5F4-0B94-F544-B42D-D342CBF50D18}" name="ATHLETE 3" dataDxfId="1161"/>
    <tableColumn id="16" xr3:uid="{90DEAC85-B660-9F42-B112-28F86926662B}" name="X" dataDxfId="1160"/>
    <tableColumn id="1" xr3:uid="{77B6FC69-E81B-9A4F-9A97-EF2652AEC83A}" name="Y" dataDxfId="1159"/>
    <tableColumn id="17" xr3:uid="{560AE27C-8326-8A49-9126-79CAD3C7A225}" name="Z" dataDxfId="1158"/>
    <tableColumn id="18" xr3:uid="{71467F12-F1BE-D849-A45D-5D733981DFD0}" name="A" dataDxfId="1157"/>
    <tableColumn id="7" xr3:uid="{386EEE19-BD60-3841-8C17-8DB8D2339232}" name="ATHLETE 4" dataDxfId="1156"/>
    <tableColumn id="10" xr3:uid="{4426D5C1-BA6F-8A48-964B-2F0E0028F643}" name="SALDO 12" dataDxfId="1155">
      <calculatedColumnFormula>IF(OR(Game_5[[#This Row],[SCORE 1]]="",Game_5[[#This Row],[SCORE 2]]=""),"",Game_5[[#This Row],[SCORE 1]]-Game_5[[#This Row],[SCORE 2]])</calculatedColumnFormula>
    </tableColumn>
    <tableColumn id="11" xr3:uid="{86CD7CC6-D23F-4C4B-9A5C-747C7733B1CA}" name="SALDO 34" dataDxfId="1154">
      <calculatedColumnFormula>IF(OR(Game_5[[#This Row],[SCORE 1]]="",Game_5[[#This Row],[SCORE 2]]=""),"",Game_5[[#This Row],[SCORE 2]]-Game_5[[#This Row],[SCORE 1]])</calculatedColumnFormula>
    </tableColumn>
    <tableColumn id="12" xr3:uid="{39E09437-3BD4-6A48-8F26-48A9F61DF6AC}" name="PM 12" dataDxfId="1153">
      <calculatedColumnFormula>IF(Game_5[[#This Row],[SCORE 1]]="","",Game_5[[#This Row],[SCORE 1]])</calculatedColumnFormula>
    </tableColumn>
    <tableColumn id="13" xr3:uid="{43827AD5-C0BA-ED4B-A526-785A51FB45E0}" name="PM 34" dataDxfId="1152">
      <calculatedColumnFormula>IF(Game_5[[#This Row],[SCORE 2]]="","",Game_5[[#This Row],[SCORE 2]])</calculatedColumnFormula>
    </tableColumn>
    <tableColumn id="14" xr3:uid="{DFD86807-BA8D-504C-9F14-76CF65234297}" name="RESULT 12" dataDxfId="1151">
      <calculatedColumnFormula>IF(OR(Game_5[[#This Row],[SCORE 1]]="",Game_5[[#This Row],[SCORE 2]]=""),"",IF(Game_5[[#This Row],[SALDO 12]]&gt;0, "WIN","LOSE"))</calculatedColumnFormula>
    </tableColumn>
    <tableColumn id="15" xr3:uid="{33FB1F77-3DFD-9640-A241-AB233B5D601A}" name="RESULT 34" dataDxfId="1150">
      <calculatedColumnFormula>IF(OR(Game_5[[#This Row],[SCORE 1]]="",Game_5[[#This Row],[SCORE 2]]=""),"",IF(Game_5[[#This Row],[SALDO 34]]&gt;0, "WIN","LOSE"))</calculatedColumnFormula>
    </tableColumn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1F99023F-509E-A24D-8920-DA5F677AEAA9}" name="Analysis_15" displayName="Analysis_15" ref="A14:G19" totalsRowShown="0" headerRowDxfId="1149" dataDxfId="1148" headerRowBorderDxfId="1146" tableBorderDxfId="1147" totalsRowBorderDxfId="1145">
  <autoFilter ref="A14:G1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15:G19">
    <sortCondition descending="1" ref="D15:D19"/>
    <sortCondition descending="1" ref="E15:E19"/>
    <sortCondition descending="1" ref="F15:F19"/>
  </sortState>
  <tableColumns count="7">
    <tableColumn id="7" xr3:uid="{80DE987A-EABC-834B-BBE0-22D671670173}" name="Reference" dataDxfId="1144"/>
    <tableColumn id="1" xr3:uid="{68C4D37D-34EF-A843-B81C-BB93A966C4C8}" name="Atheletes " dataDxfId="1143"/>
    <tableColumn id="8" xr3:uid="{B8133984-CA7A-194C-9BEF-233576BBA386}" name="WIN" dataDxfId="1142">
      <calculatedColumnFormula>SUM(COUNTIFS(Game_5[ATHLETE 1],Analysis_15[[#This Row],[Atheletes ]],Game_5[RESULT 12],"win"),COUNTIFS(Game_5[ATHLETE 2],Analysis_15[[#This Row],[Atheletes ]],Game_5[RESULT 12],"win"),COUNTIFS(Game_5[ATHLETE 3],Analysis_15[[#This Row],[Atheletes ]],Game_5[RESULT 34],"win"),COUNTIFS(Game_5[ATHLETE 4],Analysis_15[[#This Row],[Atheletes ]],Game_5[RESULT 34],"win"))</calculatedColumnFormula>
    </tableColumn>
    <tableColumn id="5" xr3:uid="{56EE03EC-AFA4-5943-AF06-3AA403E5C103}" name="LOSE" dataDxfId="1141">
      <calculatedColumnFormula>SUM(COUNTIFS(Game_5[ATHLETE 1],Analysis_15[[#This Row],[Atheletes ]],Game_5[RESULT 12],"lose"),COUNTIFS(Game_5[ATHLETE 2],Analysis_15[[#This Row],[Atheletes ]],Game_5[RESULT 12],"lose"),COUNTIFS(Game_5[ATHLETE 3],Analysis_15[[#This Row],[Atheletes ]],Game_5[RESULT 34],"lose"),COUNTIFS(Game_5[ATHLETE 4],Analysis_15[[#This Row],[Atheletes ]],Game_5[RESULT 34],"lose"))</calculatedColumnFormula>
    </tableColumn>
    <tableColumn id="3" xr3:uid="{DD843EBB-1053-C24E-B7BF-BEBBDC4E2906}" name="Saldo" dataDxfId="1140">
      <calculatedColumnFormula>SUM(SUMIF(Game_5[ATHLETE 1],Analysis_15[[#This Row],[Atheletes ]],Game_5[SALDO 12]),SUMIF(Game_5[ATHLETE 2],Analysis_15[[#This Row],[Atheletes ]],Game_5[SALDO 12]),SUMIF(Game_5[ATHLETE 3],Analysis_15[[#This Row],[Atheletes ]],Game_5[SALDO 34]),SUMIF(Game_5[ATHLETE 4],Analysis_15[[#This Row],[Atheletes ]],Game_5[SALDO 34]))</calculatedColumnFormula>
    </tableColumn>
    <tableColumn id="4" xr3:uid="{8703AA27-0923-C243-A8EA-B8CA7C5B4C42}" name="PM" dataDxfId="1139">
      <calculatedColumnFormula>SUM(SUMIF(Game_5[ATHLETE 1],Analysis_15[[#This Row],[Atheletes ]],Game_5[PM 12]),SUMIF(Game_5[ATHLETE 2],Analysis_15[[#This Row],[Atheletes ]],Game_5[PM 12]),SUMIF(Game_5[ATHLETE 3],Analysis_15[[#This Row],[Atheletes ]],Game_5[PM 34]),SUMIF(Game_5[ATHLETE 4],Analysis_15[[#This Row],[Atheletes ]],Game_5[PM 34]))</calculatedColumnFormula>
    </tableColumn>
    <tableColumn id="6" xr3:uid="{3241287C-E9D0-2742-9682-C08872A40A9C}" name="Rank" dataDxfId="1138">
      <calculatedColumnFormula>IF(COUNTBLANK(Game_5[[SCORE 1]:[SCORE 2]])=0,IF(RANK(H15,$H$15:$H$19)=1,RANK(H15,$H$15:$H$19)&amp;"st",IF(RANK(H15,$H$15:$H$19)=2,RANK(H15,$H$15:$H$19)&amp;"nd",IF(RANK(H15,$H$15:$H$19)=3,RANK(H15,$H$15:$H$19)&amp;"rd",RANK(H15,$H$15:$H$19)&amp;"th"))),"")</calculatedColumnFormula>
    </tableColumn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F0DFCBC2-C497-BC4F-95A2-85ED9B5FA48F}" name="Analysis_16" displayName="Analysis_16" ref="A21:G26" totalsRowShown="0" headerRowDxfId="1137" dataDxfId="1136" headerRowBorderDxfId="1134" tableBorderDxfId="1135" totalsRowBorderDxfId="1133">
  <autoFilter ref="A21:G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2:G26">
    <sortCondition descending="1" ref="D22:D26"/>
    <sortCondition descending="1" ref="E22:E26"/>
    <sortCondition descending="1" ref="F22:F26"/>
  </sortState>
  <tableColumns count="7">
    <tableColumn id="1" xr3:uid="{0D01843D-ABF8-2E41-943A-693D0308B5A2}" name="Reference" dataDxfId="1132"/>
    <tableColumn id="2" xr3:uid="{C2E3098A-4297-FD43-90D5-60582A1A048D}" name="Atheletes " dataDxfId="1131"/>
    <tableColumn id="7" xr3:uid="{0F72DFDA-AE12-8B46-87AF-A53F154A1F7E}" name="WIN" dataDxfId="1130">
      <calculatedColumnFormula>SUM(COUNTIFS(Game_5[ATHLETE 1],Analysis_16[[#This Row],[Atheletes ]],Game_5[RESULT 12],"win"),COUNTIFS(Game_5[ATHLETE 2],Analysis_16[[#This Row],[Atheletes ]],Game_5[RESULT 12],"win"),COUNTIFS(Game_5[ATHLETE 3],Analysis_16[[#This Row],[Atheletes ]],Game_5[RESULT 34],"win"),COUNTIFS(Game_5[ATHLETE 4],Analysis_16[[#This Row],[Atheletes ]],Game_5[RESULT 34],"win"))</calculatedColumnFormula>
    </tableColumn>
    <tableColumn id="5" xr3:uid="{67C16200-3831-6F45-99A8-FA754E3F4E01}" name="LOSE" dataDxfId="1129">
      <calculatedColumnFormula>SUM(COUNTIFS(Game_5[ATHLETE 1],Analysis_16[[#This Row],[Atheletes ]],Game_5[RESULT 12],"lose"),COUNTIFS(Game_5[ATHLETE 2],Analysis_16[[#This Row],[Atheletes ]],Game_5[RESULT 12],"lose"),COUNTIFS(Game_5[ATHLETE 3],Analysis_16[[#This Row],[Atheletes ]],Game_5[RESULT 34],"lose"),COUNTIFS(Game_5[ATHLETE 4],Analysis_16[[#This Row],[Atheletes ]],Game_5[RESULT 34],"lose"))</calculatedColumnFormula>
    </tableColumn>
    <tableColumn id="3" xr3:uid="{59487BBC-D3D4-DF4F-ABFF-2B8F6078DDE6}" name="Saldo" dataDxfId="1128">
      <calculatedColumnFormula>SUM(SUMIF(Game_5[ATHLETE 1],Analysis_16[[#This Row],[Atheletes ]],Game_5[SALDO 12]),SUMIF(Game_5[ATHLETE 2],Analysis_16[[#This Row],[Atheletes ]],Game_5[SALDO 12]),SUMIF(Game_5[ATHLETE 3],Analysis_16[[#This Row],[Atheletes ]],Game_5[SALDO 34]),SUMIF(Game_5[ATHLETE 4],Analysis_16[[#This Row],[Atheletes ]],Game_5[SALDO 34]))</calculatedColumnFormula>
    </tableColumn>
    <tableColumn id="4" xr3:uid="{DB50F8B2-972F-274E-84D2-79EFE2E15061}" name="PM" dataDxfId="1127">
      <calculatedColumnFormula>SUM(SUMIF(Game_5[ATHLETE 1],Analysis_16[[#This Row],[Atheletes ]],Game_5[PM 12]),SUMIF(Game_5[ATHLETE 2],Analysis_16[[#This Row],[Atheletes ]],Game_5[PM 12]),SUMIF(Game_5[ATHLETE 3],Analysis_16[[#This Row],[Atheletes ]],Game_5[PM 34]),SUMIF(Game_5[ATHLETE 4],Analysis_16[[#This Row],[Atheletes ]],Game_5[PM 34]))</calculatedColumnFormula>
    </tableColumn>
    <tableColumn id="6" xr3:uid="{D67A12C2-664C-E047-8C45-AACB603143F3}" name="Rank" dataDxfId="1126">
      <calculatedColumnFormula>IF(COUNTBLANK(Game_5[[SCORE 1]:[SCORE 2]])=0,IF(RANK(H22,$H$22:$H$26)=1,RANK(H22,$H$22:$H$26)&amp;"st",IF(RANK(H22,$H$22:$H$26)=2,RANK(H22,$H$22:$H$26)&amp;"nd",IF(RANK(H22,$H$22:$H$26)=3,RANK(H22,$H$22:$H$26)&amp;"rd",RANK(H22,$H$22:$H$26)&amp;"th"))),"")</calculatedColumnFormula>
    </tableColumn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9033FCEA-6702-4A4C-B104-71D9CD8CC0EA}" name="Table15722354466784681" displayName="Table15722354466784681" ref="T2:U12" totalsRowShown="0" headerRowDxfId="1125" headerRowBorderDxfId="1123" tableBorderDxfId="1124">
  <autoFilter ref="T2:U12" xr:uid="{908C589F-0CD0-4EFE-993D-5B2ECC06D04A}">
    <filterColumn colId="0" hiddenButton="1"/>
    <filterColumn colId="1" hiddenButton="1"/>
  </autoFilter>
  <tableColumns count="2">
    <tableColumn id="1" xr3:uid="{28E15C2E-6CE7-F54E-B2BE-B745C46159F9}" name="Athlete"/>
    <tableColumn id="2" xr3:uid="{F640791D-9EC0-2540-BF3A-66C79978B717}" name="Rank" dataDxfId="1122"/>
  </tableColumns>
  <tableStyleInfo name="TableStyleMedium2" showFirstColumn="1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54CC31-6B7E-AE4C-B63B-AEA5329B2E84}" name="Game_52" displayName="Game_52" ref="B1:R11" totalsRowShown="0" headerRowDxfId="1121" dataDxfId="1120" headerRowBorderDxfId="1118" tableBorderDxfId="1119" totalsRowBorderDxfId="1117">
  <autoFilter ref="B1:R11" xr:uid="{C79D687B-AEB2-42F8-B262-AEDE9265CB48}"/>
  <tableColumns count="17">
    <tableColumn id="3" xr3:uid="{F9891492-0C7C-EB45-AF5A-908E7E3A0AF2}" name="GROUP" dataDxfId="1116"/>
    <tableColumn id="4" xr3:uid="{2FEBFD7D-15EC-9045-889B-66B19A035D48}" name="ATHLETE 1" dataDxfId="1115"/>
    <tableColumn id="5" xr3:uid="{1489BF23-2168-854B-8482-60F54CB8F375}" name="ATHLETE 2" dataDxfId="1114"/>
    <tableColumn id="8" xr3:uid="{32FB1C7C-8412-F24F-8F93-2458A92A2981}" name="SCORE 1" dataDxfId="1113"/>
    <tableColumn id="9" xr3:uid="{EE7651C3-A541-054F-A1DE-B8CDA66278FA}" name="SCORE 2" dataDxfId="1112"/>
    <tableColumn id="6" xr3:uid="{D7C1F189-BDFB-3F45-8520-9DC155FB2C25}" name="ATHLETE 3" dataDxfId="1111"/>
    <tableColumn id="16" xr3:uid="{044629DA-ADA0-7341-A6EF-4B6CBFAAB7EC}" name="X" dataDxfId="1110"/>
    <tableColumn id="1" xr3:uid="{39289A8B-8A8D-1240-855F-3A3811182CE1}" name="Y" dataDxfId="1109"/>
    <tableColumn id="17" xr3:uid="{FBD852B7-3AA7-DD4A-9470-416AE40A984E}" name="Z" dataDxfId="1108"/>
    <tableColumn id="18" xr3:uid="{9D33C603-EC6A-5F49-8327-20AA193EA66E}" name="A" dataDxfId="1107"/>
    <tableColumn id="7" xr3:uid="{1AC72514-DF60-554B-8314-3689A5A38DCC}" name="ATHLETE 4" dataDxfId="1106"/>
    <tableColumn id="10" xr3:uid="{A7B36CAB-BCA0-E242-818C-2B08DEFC4349}" name="SALDO 12" dataDxfId="1105">
      <calculatedColumnFormula>IF(OR(Game_52[[#This Row],[SCORE 1]]="",Game_52[[#This Row],[SCORE 2]]=""),"",Game_52[[#This Row],[SCORE 1]]-Game_52[[#This Row],[SCORE 2]])</calculatedColumnFormula>
    </tableColumn>
    <tableColumn id="11" xr3:uid="{4B375A7C-BCEA-9B4D-93B5-10BEB67FEA77}" name="SALDO 34" dataDxfId="1104">
      <calculatedColumnFormula>IF(OR(Game_52[[#This Row],[SCORE 1]]="",Game_52[[#This Row],[SCORE 2]]=""),"",Game_52[[#This Row],[SCORE 2]]-Game_52[[#This Row],[SCORE 1]])</calculatedColumnFormula>
    </tableColumn>
    <tableColumn id="12" xr3:uid="{98487C18-C480-D84B-8EDA-C4D01EF7F9CB}" name="PM 12" dataDxfId="1103">
      <calculatedColumnFormula>IF(Game_52[[#This Row],[SCORE 1]]="","",Game_52[[#This Row],[SCORE 1]])</calculatedColumnFormula>
    </tableColumn>
    <tableColumn id="13" xr3:uid="{83099EB9-8C3C-A749-B173-B79E7DB74DC7}" name="PM 34" dataDxfId="1102">
      <calculatedColumnFormula>IF(Game_52[[#This Row],[SCORE 2]]="","",Game_52[[#This Row],[SCORE 2]])</calculatedColumnFormula>
    </tableColumn>
    <tableColumn id="14" xr3:uid="{9E47FFEF-DAB2-2449-A248-89393567AFBC}" name="RESULT 12" dataDxfId="1101">
      <calculatedColumnFormula>IF(OR(Game_52[[#This Row],[SCORE 1]]="",Game_52[[#This Row],[SCORE 2]]=""),"",IF(Game_52[[#This Row],[SALDO 12]]&gt;0, "WIN","LOSE"))</calculatedColumnFormula>
    </tableColumn>
    <tableColumn id="15" xr3:uid="{45123415-5E66-3044-95CD-3D5B4957323E}" name="RESULT 34" dataDxfId="1100">
      <calculatedColumnFormula>IF(OR(Game_52[[#This Row],[SCORE 1]]="",Game_52[[#This Row],[SCORE 2]]=""),"",IF(Game_52[[#This Row],[SALDO 34]]&gt;0, "WIN","LOSE"))</calculatedColumnFormula>
    </tableColumn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663B3B-7EFC-D347-9B32-8722026F174D}" name="Analysis_156" displayName="Analysis_156" ref="A14:H19" totalsRowShown="0" headerRowDxfId="1099" dataDxfId="1098" headerRowBorderDxfId="1096" tableBorderDxfId="1097" totalsRowBorderDxfId="1095">
  <autoFilter ref="A14:H1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5:G19">
    <sortCondition descending="1" ref="D15:D19"/>
    <sortCondition descending="1" ref="E15:E19"/>
    <sortCondition descending="1" ref="F15:F19"/>
  </sortState>
  <tableColumns count="8">
    <tableColumn id="7" xr3:uid="{4932D9E9-3926-9C40-8A11-D8CC8C411E9A}" name="Reference" dataDxfId="1094"/>
    <tableColumn id="1" xr3:uid="{6898855D-094E-D142-9467-5C265ACBF72C}" name="Athletes " dataDxfId="1093"/>
    <tableColumn id="8" xr3:uid="{2C03CE09-3116-424D-AD68-BC569C0746BD}" name="WIN" dataDxfId="1092">
      <calculatedColumnFormula>SUM(COUNTIFS(Game_52[ATHLETE 1],Analysis_156[[#This Row],[Athletes ]],Game_52[RESULT 12],"win"),COUNTIFS(Game_52[ATHLETE 2],Analysis_156[[#This Row],[Athletes ]],Game_52[RESULT 12],"win"),COUNTIFS(Game_52[ATHLETE 3],Analysis_156[[#This Row],[Athletes ]],Game_52[RESULT 34],"win"),COUNTIFS(Game_52[ATHLETE 4],Analysis_156[[#This Row],[Athletes ]],Game_52[RESULT 34],"win"))</calculatedColumnFormula>
    </tableColumn>
    <tableColumn id="5" xr3:uid="{C8DD0AAD-CAF7-574E-8112-1DDEF1095734}" name="LOSE" dataDxfId="1091">
      <calculatedColumnFormula>SUM(COUNTIFS(Game_52[ATHLETE 1],Analysis_156[[#This Row],[Athletes ]],Game_52[RESULT 12],"lose"),COUNTIFS(Game_52[ATHLETE 2],Analysis_156[[#This Row],[Athletes ]],Game_52[RESULT 12],"lose"),COUNTIFS(Game_52[ATHLETE 3],Analysis_156[[#This Row],[Athletes ]],Game_52[RESULT 34],"lose"),COUNTIFS(Game_52[ATHLETE 4],Analysis_156[[#This Row],[Athletes ]],Game_52[RESULT 34],"lose"))</calculatedColumnFormula>
    </tableColumn>
    <tableColumn id="3" xr3:uid="{EAAC5666-0144-F544-AF66-2578B6AA5607}" name="Saldo" dataDxfId="1090">
      <calculatedColumnFormula>SUM(SUMIF(Game_52[ATHLETE 1],Analysis_156[[#This Row],[Athletes ]],Game_52[SALDO 12]),SUMIF(Game_52[ATHLETE 2],Analysis_156[[#This Row],[Athletes ]],Game_52[SALDO 12]),SUMIF(Game_52[ATHLETE 3],Analysis_156[[#This Row],[Athletes ]],Game_52[SALDO 34]),SUMIF(Game_52[ATHLETE 4],Analysis_156[[#This Row],[Athletes ]],Game_52[SALDO 34]))</calculatedColumnFormula>
    </tableColumn>
    <tableColumn id="4" xr3:uid="{E720EC76-4D6B-0346-A2B1-6EA65F36C124}" name="PM" dataDxfId="1089">
      <calculatedColumnFormula>SUM(SUMIF(Game_52[ATHLETE 1],Analysis_156[[#This Row],[Athletes ]],Game_52[PM 12]),SUMIF(Game_52[ATHLETE 2],Analysis_156[[#This Row],[Athletes ]],Game_52[PM 12]),SUMIF(Game_52[ATHLETE 3],Analysis_156[[#This Row],[Athletes ]],Game_52[PM 34]),SUMIF(Game_52[ATHLETE 4],Analysis_156[[#This Row],[Athletes ]],Game_52[PM 34]))</calculatedColumnFormula>
    </tableColumn>
    <tableColumn id="6" xr3:uid="{7F04F8D0-02ED-6446-A0BF-670914CED87A}" name="Rank" dataDxfId="1088">
      <calculatedColumnFormula>IF(COUNTBLANK(Game_52[[SCORE 1]:[SCORE 2]])=0,IF(RANK(H15,$H$15:$H$19)=1,RANK(H15,$H$15:$H$19)&amp;"st",IF(RANK(H15,$H$15:$H$19)=2,RANK(H15,$H$15:$H$19)&amp;"nd",IF(RANK(H15,$H$15:$H$19)=3,RANK(H15,$H$15:$H$19)&amp;"rd",RANK(H15,$H$15:$H$19)&amp;"th"))),"")</calculatedColumnFormula>
    </tableColumn>
    <tableColumn id="2" xr3:uid="{34BD853A-472F-E54A-8943-E3F51E62A8C3}" name="Rank Support" dataDxfId="1087">
      <calculatedColumnFormula>Analysis_156[[#This Row],[WIN]]*1000000+Analysis_156[[#This Row],[Saldo]]*1000+Analysis_156[[#This Row],[PM]]</calculatedColumnFormula>
    </tableColumn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2BDFE59F-DC09-8B4F-B387-BFD7BC7B1A1E}" name="Analysis_1664" displayName="Analysis_1664" ref="A21:H26" totalsRowShown="0" headerRowDxfId="1086" dataDxfId="1085" headerRowBorderDxfId="1083" tableBorderDxfId="1084" totalsRowBorderDxfId="1082">
  <autoFilter ref="A21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2:G26">
    <sortCondition descending="1" ref="D22:D26"/>
    <sortCondition descending="1" ref="E22:E26"/>
    <sortCondition descending="1" ref="F22:F26"/>
  </sortState>
  <tableColumns count="8">
    <tableColumn id="1" xr3:uid="{82088019-D4EE-794C-B6B5-05F41B5C2FFC}" name="Reference" dataDxfId="1081"/>
    <tableColumn id="2" xr3:uid="{6DD8C462-5E85-1346-9CC0-C67BA6B1D4FD}" name="Athletes " dataDxfId="1080"/>
    <tableColumn id="7" xr3:uid="{5F998F70-1A05-9042-98F7-2BEC7627EC98}" name="WIN" dataDxfId="1079">
      <calculatedColumnFormula>SUM(COUNTIFS(Game_52[ATHLETE 1],Analysis_1664[[#This Row],[Athletes ]],Game_52[RESULT 12],"win"),COUNTIFS(Game_52[ATHLETE 2],Analysis_1664[[#This Row],[Athletes ]],Game_52[RESULT 12],"win"),COUNTIFS(Game_52[ATHLETE 3],Analysis_1664[[#This Row],[Athletes ]],Game_52[RESULT 34],"win"),COUNTIFS(Game_52[ATHLETE 4],Analysis_1664[[#This Row],[Athletes ]],Game_52[RESULT 34],"win"))</calculatedColumnFormula>
    </tableColumn>
    <tableColumn id="5" xr3:uid="{6C99E949-49E9-F547-B990-B356A4230B38}" name="LOSE" dataDxfId="1078">
      <calculatedColumnFormula>SUM(COUNTIFS(Game_52[ATHLETE 1],Analysis_1664[[#This Row],[Athletes ]],Game_52[RESULT 12],"lose"),COUNTIFS(Game_52[ATHLETE 2],Analysis_1664[[#This Row],[Athletes ]],Game_52[RESULT 12],"lose"),COUNTIFS(Game_52[ATHLETE 3],Analysis_1664[[#This Row],[Athletes ]],Game_52[RESULT 34],"lose"),COUNTIFS(Game_52[ATHLETE 4],Analysis_1664[[#This Row],[Athletes ]],Game_52[RESULT 34],"lose"))</calculatedColumnFormula>
    </tableColumn>
    <tableColumn id="3" xr3:uid="{C53B0B09-99DF-BE43-B10C-BD586B47FED1}" name="Saldo" dataDxfId="1077">
      <calculatedColumnFormula>SUM(SUMIF(Game_52[ATHLETE 1],Analysis_1664[[#This Row],[Athletes ]],Game_52[SALDO 12]),SUMIF(Game_52[ATHLETE 2],Analysis_1664[[#This Row],[Athletes ]],Game_52[SALDO 12]),SUMIF(Game_52[ATHLETE 3],Analysis_1664[[#This Row],[Athletes ]],Game_52[SALDO 34]),SUMIF(Game_52[ATHLETE 4],Analysis_1664[[#This Row],[Athletes ]],Game_52[SALDO 34]))</calculatedColumnFormula>
    </tableColumn>
    <tableColumn id="4" xr3:uid="{1541620A-8865-6941-90C5-06BB66AD5A09}" name="PM" dataDxfId="1076">
      <calculatedColumnFormula>SUM(SUMIF(Game_52[ATHLETE 1],Analysis_1664[[#This Row],[Athletes ]],Game_52[PM 12]),SUMIF(Game_52[ATHLETE 2],Analysis_1664[[#This Row],[Athletes ]],Game_52[PM 12]),SUMIF(Game_52[ATHLETE 3],Analysis_1664[[#This Row],[Athletes ]],Game_52[PM 34]),SUMIF(Game_52[ATHLETE 4],Analysis_1664[[#This Row],[Athletes ]],Game_52[PM 34]))</calculatedColumnFormula>
    </tableColumn>
    <tableColumn id="6" xr3:uid="{34F3F78F-3752-4A4D-B71B-CB45D10913E1}" name="Rank" dataDxfId="1075">
      <calculatedColumnFormula>IF(COUNTBLANK(Game_52[[SCORE 1]:[SCORE 2]])=0,IF(RANK(H22,$H$22:$H$26)=1,RANK(H22,$H$22:$H$26)&amp;"st",IF(RANK(H22,$H$22:$H$26)=2,RANK(H22,$H$22:$H$26)&amp;"nd",IF(RANK(H22,$H$22:$H$26)=3,RANK(H22,$H$22:$H$26)&amp;"rd",RANK(H22,$H$22:$H$26)&amp;"th"))),"")</calculatedColumnFormula>
    </tableColumn>
    <tableColumn id="8" xr3:uid="{25A47B52-2B8D-2D4E-BCC4-70E9F71FE757}" name="Rank Support" dataDxfId="1074">
      <calculatedColumnFormula>Analysis_1664[[#This Row],[WIN]]*1000000+Analysis_1664[[#This Row],[Saldo]]*1000+Analysis_1664[[#This Row],[PM]]</calculatedColumnFormula>
    </tableColumn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57BB8E1-EE8B-214D-9006-DA8BC8370D1D}" name="Table1572235446678468165" displayName="Table1572235446678468165" ref="T2:U12" totalsRowShown="0" headerRowDxfId="1073" headerRowBorderDxfId="1071" tableBorderDxfId="1072">
  <autoFilter ref="T2:U12" xr:uid="{908C589F-0CD0-4EFE-993D-5B2ECC06D04A}">
    <filterColumn colId="0" hiddenButton="1"/>
    <filterColumn colId="1" hiddenButton="1"/>
  </autoFilter>
  <tableColumns count="2">
    <tableColumn id="1" xr3:uid="{840F4661-9734-7049-AA20-5B912D4584BE}" name="Athlete"/>
    <tableColumn id="2" xr3:uid="{675E79FA-4F67-D340-8818-9E622606068B}" name="Rank" dataDxfId="1070"/>
  </tableColumns>
  <tableStyleInfo name="TableStyleMedium2" showFirstColumn="1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CBA09FE6-D612-C647-A368-ACBAD12BE687}" name="Table4101317251247545298" displayName="Table4101317251247545298" ref="B1:R10" totalsRowShown="0" headerRowDxfId="1069" dataDxfId="1068" headerRowBorderDxfId="1066" tableBorderDxfId="1067" totalsRowBorderDxfId="1065">
  <autoFilter ref="B1:R10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3" xr3:uid="{5821FD4B-9E1F-814F-A705-09F44FA8BFA5}" name="GROUP" dataDxfId="1064"/>
    <tableColumn id="4" xr3:uid="{D88CD127-6083-1644-A84B-1A608EDF9A93}" name="ATHLETE 1" dataDxfId="1063"/>
    <tableColumn id="5" xr3:uid="{2E480400-AE98-324C-90F2-0C1B7277C0FF}" name="ATHLETE 2" dataDxfId="1062"/>
    <tableColumn id="8" xr3:uid="{C016799A-B578-0F45-8495-4E55E3FF088D}" name="SCORE 1" dataDxfId="1061"/>
    <tableColumn id="9" xr3:uid="{78EF42BF-79A6-294E-B175-30C3666FBA41}" name="SCORE 2" dataDxfId="1060"/>
    <tableColumn id="6" xr3:uid="{47DA6D10-F7AD-A442-93E4-5897299D2500}" name="ATHLETE 3" dataDxfId="1059"/>
    <tableColumn id="17" xr3:uid="{F22ECF50-B443-1041-8D68-60F5324B0C82}" name="X" dataDxfId="1058"/>
    <tableColumn id="16" xr3:uid="{E5AF7BDE-EDD5-9E44-8770-2FE74C4B187F}" name="Y" dataDxfId="1057"/>
    <tableColumn id="2" xr3:uid="{F043FDC8-F8F5-714E-9CE5-86662356111B}" name="Z" dataDxfId="1056"/>
    <tableColumn id="1" xr3:uid="{8520DD85-D1DD-D84B-9D4B-1D4FD11F1909}" name="A" dataDxfId="1055"/>
    <tableColumn id="7" xr3:uid="{B14C603E-BF33-6448-9630-A47EB9E0EC03}" name="ATHLETE 4" dataDxfId="1054"/>
    <tableColumn id="10" xr3:uid="{E8109084-0BFC-0244-B131-AA1D387281C2}" name="SALDO 12" dataDxfId="1053">
      <calculatedColumnFormula>IF(OR(Table4101317251247545298[[#This Row],[SCORE 1]]="",Table4101317251247545298[[#This Row],[SCORE 2]]=""),"",Table4101317251247545298[[#This Row],[SCORE 1]]-Table4101317251247545298[[#This Row],[SCORE 2]])</calculatedColumnFormula>
    </tableColumn>
    <tableColumn id="11" xr3:uid="{3FB0EC4E-316D-2541-B73B-472E4D67A08D}" name="SALDO 34" dataDxfId="1052">
      <calculatedColumnFormula>IF(OR(Table4101317251247545298[[#This Row],[SCORE 1]]="",Table4101317251247545298[[#This Row],[SCORE 2]]=""),"",Table4101317251247545298[[#This Row],[SCORE 2]]-Table4101317251247545298[[#This Row],[SCORE 1]])</calculatedColumnFormula>
    </tableColumn>
    <tableColumn id="12" xr3:uid="{E57BEB57-51B5-FF4C-AF63-7E9208424084}" name="PM 12" dataDxfId="1051">
      <calculatedColumnFormula>IF(Table4101317251247545298[[#This Row],[SCORE 1]]="","",Table4101317251247545298[[#This Row],[SCORE 1]])</calculatedColumnFormula>
    </tableColumn>
    <tableColumn id="13" xr3:uid="{E70F2D93-1B3B-C148-8C87-03717DD9B005}" name="PM 34" dataDxfId="1050">
      <calculatedColumnFormula>IF(Table4101317251247545298[[#This Row],[SCORE 2]]="","",Table4101317251247545298[[#This Row],[SCORE 2]])</calculatedColumnFormula>
    </tableColumn>
    <tableColumn id="14" xr3:uid="{9C15B217-9A85-5946-8487-49F906A6BB02}" name="RESULT 12" dataDxfId="1049">
      <calculatedColumnFormula>IF(OR(Table4101317251247545298[[#This Row],[SCORE 1]]="",Table4101317251247545298[[#This Row],[SCORE 2]]=""),"",IF(Table4101317251247545298[[#This Row],[SALDO 12]]&gt;0, "WIN","LOSE"))</calculatedColumnFormula>
    </tableColumn>
    <tableColumn id="15" xr3:uid="{8CAD2B1E-DA00-5D43-97DB-89F120DF4925}" name="RESULT 34" dataDxfId="1048">
      <calculatedColumnFormula>IF(OR(Table4101317251247545298[[#This Row],[SCORE 1]]="",Table4101317251247545298[[#This Row],[SCORE 2]]=""),"",IF(Table4101317251247545298[[#This Row],[SALDO 34]]&gt;0, "WIN","LOSE"))</calculatedColumnFormula>
    </tableColumn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7E32DED1-0B24-7E4B-87A2-EEFCF16F71D9}" name="Table36111418263048555399" displayName="Table36111418263048555399" ref="A13:H17" totalsRowShown="0" headerRowDxfId="1047" dataDxfId="1046" headerRowBorderDxfId="1044" tableBorderDxfId="1045" totalsRowBorderDxfId="1043">
  <autoFilter ref="A13:H17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4:G17">
    <sortCondition descending="1" ref="D14:D17"/>
    <sortCondition descending="1" ref="E14:E17"/>
    <sortCondition descending="1" ref="F14:F17"/>
  </sortState>
  <tableColumns count="8">
    <tableColumn id="7" xr3:uid="{9B4177CA-63BB-3D40-824B-BA2262EA9DE1}" name="Group" dataDxfId="1042"/>
    <tableColumn id="1" xr3:uid="{3B2B77F7-1D6F-C74B-8DE2-74E397EC09CF}" name="Athletes" dataDxfId="1041"/>
    <tableColumn id="8" xr3:uid="{27571B63-0242-C941-9BC5-01AFBC3070EA}" name="WIN" dataDxfId="1040">
      <calculatedColumnFormula>SUM(COUNTIFS(Table4101317251247545298[ATHLETE 1],Table36111418263048555399[[#This Row],[Athletes]],Table4101317251247545298[RESULT 12],Table36111418263048555399[[#Headers],[WIN]]),COUNTIFS(Table4101317251247545298[ATHLETE 2],Table36111418263048555399[[#This Row],[Athletes]],Table4101317251247545298[RESULT 12],Table36111418263048555399[[#Headers],[WIN]]),COUNTIFS(Table4101317251247545298[ATHLETE 3],Table36111418263048555399[[#This Row],[Athletes]],Table4101317251247545298[RESULT 34],Table36111418263048555399[[#Headers],[WIN]]),COUNTIFS(Table4101317251247545298[ATHLETE 4],Table36111418263048555399[[#This Row],[Athletes]],Table4101317251247545298[RESULT 34],Table36111418263048555399[[#Headers],[WIN]]))</calculatedColumnFormula>
    </tableColumn>
    <tableColumn id="5" xr3:uid="{DA9BF019-3ED9-F24E-8C7D-81514F79FE27}" name="LOSE" dataDxfId="1039">
      <calculatedColumnFormula>SUM(COUNTIFS(Table4101317251247545298[ATHLETE 1],Table36111418263048555399[[#This Row],[Athletes]],Table4101317251247545298[RESULT 12],Table36111418263048555399[[#Headers],[LOSE]]),COUNTIFS(Table4101317251247545298[ATHLETE 2],Table36111418263048555399[[#This Row],[Athletes]],Table4101317251247545298[RESULT 12],Table36111418263048555399[[#Headers],[LOSE]]),COUNTIFS(Table4101317251247545298[ATHLETE 3],Table36111418263048555399[[#This Row],[Athletes]],Table4101317251247545298[RESULT 34],Table36111418263048555399[[#Headers],[LOSE]]),COUNTIFS(Table4101317251247545298[ATHLETE 4],Table36111418263048555399[[#This Row],[Athletes]],Table4101317251247545298[RESULT 34],Table36111418263048555399[[#Headers],[LOSE]]))</calculatedColumnFormula>
    </tableColumn>
    <tableColumn id="3" xr3:uid="{073CECDF-DD9C-F548-ADBB-8B595EABD7AD}" name="Saldo" dataDxfId="1038">
      <calculatedColumnFormula>SUM(SUMIF(Table4101317251247545298[ATHLETE 1],Table36111418263048555399[[#This Row],[Athletes]],Table4101317251247545298[SALDO 12]),SUMIF(Table4101317251247545298[ATHLETE 2],Table36111418263048555399[[#This Row],[Athletes]],Table4101317251247545298[SALDO 12]),SUMIF(Table4101317251247545298[ATHLETE 3],Table36111418263048555399[[#This Row],[Athletes]],Table4101317251247545298[SALDO 34]),SUMIF(Table4101317251247545298[ATHLETE 4],Table36111418263048555399[[#This Row],[Athletes]],Table4101317251247545298[SALDO 34]))</calculatedColumnFormula>
    </tableColumn>
    <tableColumn id="4" xr3:uid="{DBD35181-5B46-4A4D-ABC0-675F7CF450D9}" name="PM" dataDxfId="1037">
      <calculatedColumnFormula>SUM(SUMIF(Table4101317251247545298[ATHLETE 1],Table36111418263048555399[[#This Row],[Athletes]],Table4101317251247545298[PM 12]),SUMIF(Table4101317251247545298[ATHLETE 2],Table36111418263048555399[[#This Row],[Athletes]],Table4101317251247545298[PM 12]),SUMIF(Table4101317251247545298[ATHLETE 3],Table36111418263048555399[[#This Row],[Athletes]],Table4101317251247545298[PM 34]),SUMIF(Table4101317251247545298[ATHLETE 4],Table36111418263048555399[[#This Row],[Athletes]],Table4101317251247545298[PM 34]))</calculatedColumnFormula>
    </tableColumn>
    <tableColumn id="6" xr3:uid="{34B80DBD-6862-EA45-A050-8A21B30E3E20}" name="Rank" dataDxfId="1036">
      <calculatedColumnFormula>IF(COUNTBLANK(Table4101317251247545298[[SCORE 1]:[SCORE 2]])=0,IF(RANK(H14,$H$14:$H$17)=1,RANK(H14,$H$14:$H$17)&amp;"st",IF(RANK(H14,$H$14:$H$17)=2,RANK(H14,$H$14:$H$17)&amp;"nd",RANK(H14,$H$14:$H$17)&amp;"th")),"")</calculatedColumnFormula>
    </tableColumn>
    <tableColumn id="2" xr3:uid="{2F23428D-BD6A-2D45-B5AE-189AF2931778}" name="Rank support" dataDxfId="1035">
      <calculatedColumnFormula>Table36111418263048555399[[#This Row],[WIN]]*1000000+Table36111418263048555399[[#This Row],[Saldo]]*1000+Table36111418263048555399[[#This Row],[PM]]</calculatedColumnFormula>
    </tableColumn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D7CA9C28-06FF-914B-9A9B-040144080F45}" name="Table61215192731495671100" displayName="Table61215192731495671100" ref="A19:H23" totalsRowShown="0" headerRowDxfId="1034" dataDxfId="1033" headerRowBorderDxfId="1031" tableBorderDxfId="1032" totalsRowBorderDxfId="1030">
  <autoFilter ref="A19:H23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0:G23">
    <sortCondition descending="1" ref="D20:D23"/>
    <sortCondition descending="1" ref="E20:E23"/>
    <sortCondition descending="1" ref="F20:F23"/>
  </sortState>
  <tableColumns count="8">
    <tableColumn id="1" xr3:uid="{99D0E5D4-CA32-6A41-BFE0-E6A6A18385F8}" name="Group" dataDxfId="1029"/>
    <tableColumn id="2" xr3:uid="{A5504510-12FE-C645-98F8-B39E976C9842}" name="Athletes" dataDxfId="1028"/>
    <tableColumn id="7" xr3:uid="{23AFBD68-7FEE-2042-8235-E69361411722}" name="WIN" dataDxfId="1027">
      <calculatedColumnFormula>SUM(COUNTIFS(Table4101317251247545298[ATHLETE 1],Table61215192731495671100[[#This Row],[Athletes]],Table4101317251247545298[RESULT 12],Table36111418263048555399[[#Headers],[WIN]]),COUNTIFS(Table4101317251247545298[ATHLETE 2],Table61215192731495671100[[#This Row],[Athletes]],Table4101317251247545298[RESULT 12],Table36111418263048555399[[#Headers],[WIN]]),COUNTIFS(Table4101317251247545298[ATHLETE 3],Table61215192731495671100[[#This Row],[Athletes]],Table4101317251247545298[RESULT 34],Table36111418263048555399[[#Headers],[WIN]]),COUNTIFS(Table4101317251247545298[ATHLETE 4],Table61215192731495671100[[#This Row],[Athletes]],Table4101317251247545298[RESULT 34],Table36111418263048555399[[#Headers],[WIN]]))</calculatedColumnFormula>
    </tableColumn>
    <tableColumn id="5" xr3:uid="{B88162AB-E154-E940-930A-B7DAF09E715A}" name="LOSE" dataDxfId="1026">
      <calculatedColumnFormula>SUM(COUNTIFS(Table4101317251247545298[ATHLETE 1],Table61215192731495671100[[#This Row],[Athletes]],Table4101317251247545298[RESULT 12],Table36111418263048555399[[#Headers],[LOSE]]),COUNTIFS(Table4101317251247545298[ATHLETE 2],Table61215192731495671100[[#This Row],[Athletes]],Table4101317251247545298[RESULT 12],Table36111418263048555399[[#Headers],[LOSE]]),COUNTIFS(Table4101317251247545298[ATHLETE 3],Table61215192731495671100[[#This Row],[Athletes]],Table4101317251247545298[RESULT 34],Table36111418263048555399[[#Headers],[LOSE]]),COUNTIFS(Table4101317251247545298[ATHLETE 4],Table61215192731495671100[[#This Row],[Athletes]],Table4101317251247545298[RESULT 34],Table36111418263048555399[[#Headers],[LOSE]]))</calculatedColumnFormula>
    </tableColumn>
    <tableColumn id="3" xr3:uid="{CABEF057-1480-AE43-BAED-185A4BAB1143}" name="Saldo" dataDxfId="1025">
      <calculatedColumnFormula>SUM(SUMIF(Table4101317251247545298[ATHLETE 1],Table61215192731495671100[[#This Row],[Athletes]],Table4101317251247545298[SALDO 12]),SUMIF(Table4101317251247545298[ATHLETE 2],Table61215192731495671100[[#This Row],[Athletes]],Table4101317251247545298[SALDO 12]),SUMIF(Table4101317251247545298[ATHLETE 3],Table61215192731495671100[[#This Row],[Athletes]],Table4101317251247545298[SALDO 34]),SUMIF(Table4101317251247545298[ATHLETE 4],Table61215192731495671100[[#This Row],[Athletes]],Table4101317251247545298[SALDO 34]))</calculatedColumnFormula>
    </tableColumn>
    <tableColumn id="4" xr3:uid="{00C1D935-99AE-3949-B3E4-E77834EE248C}" name="PM" dataDxfId="1024">
      <calculatedColumnFormula>SUM(SUMIF(Table4101317251247545298[ATHLETE 1],Table61215192731495671100[[#This Row],[Athletes]],Table4101317251247545298[PM 12]),SUMIF(Table4101317251247545298[ATHLETE 2],Table61215192731495671100[[#This Row],[Athletes]],Table4101317251247545298[PM 12]),SUMIF(Table4101317251247545298[ATHLETE 3],Table61215192731495671100[[#This Row],[Athletes]],Table4101317251247545298[PM 34]),SUMIF(Table4101317251247545298[ATHLETE 4],Table61215192731495671100[[#This Row],[Athletes]],Table4101317251247545298[PM 34]))</calculatedColumnFormula>
    </tableColumn>
    <tableColumn id="6" xr3:uid="{5407C9D4-F8B6-DD46-98EB-CF7C10CBDA91}" name="Rank" dataDxfId="1023">
      <calculatedColumnFormula>IF(COUNTBLANK(Table4101317251247545298[[SCORE 1]:[SCORE 2]])=0,IF(RANK(H20,$H$20:$H$23)=1,RANK(H20,$H$20:$H$23)&amp;"st",IF(RANK(H20,$H$20:$H$23)=2,RANK(H20,$H$20:$H$23)&amp;"nd",RANK(H20,$H$20:$H$23)&amp;"th")),"")</calculatedColumnFormula>
    </tableColumn>
    <tableColumn id="8" xr3:uid="{A3BDFAAB-DB0F-E04C-9C9F-3C059BAD2D08}" name="Rank support" dataDxfId="1022">
      <calculatedColumnFormula>Table61215192731495671100[[#This Row],[WIN]]*1000000+Table61215192731495671100[[#This Row],[Saldo]]*1000+Table61215192731495671100[[#This Row],[PM]]</calculatedColumnFormula>
    </tableColumn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8BD3875C-F20E-CF4B-BA43-CCE3DD27E44C}" name="Table15202832506072101" displayName="Table15202832506072101" ref="T2:U14" totalsRowShown="0" headerRowDxfId="1021" dataDxfId="1020" headerRowBorderDxfId="1018" tableBorderDxfId="1019">
  <autoFilter ref="T2:U14" xr:uid="{908C589F-0CD0-4EFE-993D-5B2ECC06D04A}">
    <filterColumn colId="0" hiddenButton="1"/>
    <filterColumn colId="1" hiddenButton="1"/>
  </autoFilter>
  <tableColumns count="2">
    <tableColumn id="1" xr3:uid="{C3451695-C461-274B-8EC7-1F1666831021}" name="Athlete" dataDxfId="1017"/>
    <tableColumn id="2" xr3:uid="{DE896294-5C0A-F943-825B-93D434908C54}" name="Rank" dataDxfId="1016"/>
  </tableColumns>
  <tableStyleInfo name="TableStyleMedium2" showFirstColumn="1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2B05EA34-7780-4344-9FBA-A6DB7738D75F}" name="Table6121519272933516273102" displayName="Table6121519272933516273102" ref="A25:H29" totalsRowShown="0" headerRowDxfId="1015" dataDxfId="1014" headerRowBorderDxfId="1012" tableBorderDxfId="1013" totalsRowBorderDxfId="1011">
  <autoFilter ref="A25:H29" xr:uid="{C1D8D95A-3D53-41E8-AABC-9D152E7B02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6:G29">
    <sortCondition descending="1" ref="D20:D23"/>
    <sortCondition descending="1" ref="E20:E23"/>
    <sortCondition descending="1" ref="F20:F23"/>
  </sortState>
  <tableColumns count="8">
    <tableColumn id="1" xr3:uid="{83DB0C5D-173F-8F42-AC42-43FDE4044F86}" name="Group" dataDxfId="1010"/>
    <tableColumn id="2" xr3:uid="{229CDF1F-2972-FC49-BBD6-E0C382928CFA}" name="Athletes" dataDxfId="1009"/>
    <tableColumn id="7" xr3:uid="{0D9EEED1-30FF-ED40-9DD6-9C98B3EC4C32}" name="WIN" dataDxfId="1008">
      <calculatedColumnFormula>SUM(COUNTIFS(Table4101317251247545298[ATHLETE 1],Table6121519272933516273102[[#This Row],[Athletes]],Table4101317251247545298[RESULT 12],Table36111418263048555399[[#Headers],[WIN]]),COUNTIFS(Table4101317251247545298[ATHLETE 2],Table6121519272933516273102[[#This Row],[Athletes]],Table4101317251247545298[RESULT 12],Table36111418263048555399[[#Headers],[WIN]]),COUNTIFS(Table4101317251247545298[ATHLETE 3],Table6121519272933516273102[[#This Row],[Athletes]],Table4101317251247545298[RESULT 34],Table36111418263048555399[[#Headers],[WIN]]),COUNTIFS(Table4101317251247545298[ATHLETE 4],Table6121519272933516273102[[#This Row],[Athletes]],Table4101317251247545298[RESULT 34],Table36111418263048555399[[#Headers],[WIN]]))</calculatedColumnFormula>
    </tableColumn>
    <tableColumn id="5" xr3:uid="{1E7F0A77-4BE9-014D-A002-2AF89B4C5097}" name="LOSE" dataDxfId="1007">
      <calculatedColumnFormula>SUM(COUNTIFS(Table4101317251247545298[ATHLETE 1],Table6121519272933516273102[[#This Row],[Athletes]],Table4101317251247545298[RESULT 12],Table36111418263048555399[[#Headers],[LOSE]]),COUNTIFS(Table4101317251247545298[ATHLETE 2],Table6121519272933516273102[[#This Row],[Athletes]],Table4101317251247545298[RESULT 12],Table36111418263048555399[[#Headers],[LOSE]]),COUNTIFS(Table4101317251247545298[ATHLETE 3],Table6121519272933516273102[[#This Row],[Athletes]],Table4101317251247545298[RESULT 34],Table36111418263048555399[[#Headers],[LOSE]]),COUNTIFS(Table4101317251247545298[ATHLETE 4],Table6121519272933516273102[[#This Row],[Athletes]],Table4101317251247545298[RESULT 34],Table36111418263048555399[[#Headers],[LOSE]]))</calculatedColumnFormula>
    </tableColumn>
    <tableColumn id="3" xr3:uid="{3073D5AA-EE60-4E4D-8F5D-659226A32EB9}" name="Saldo" dataDxfId="1006">
      <calculatedColumnFormula>SUM(SUMIF(Table4101317251247545298[ATHLETE 1],Table6121519272933516273102[[#This Row],[Athletes]],Table4101317251247545298[SALDO 12]),SUMIF(Table4101317251247545298[ATHLETE 2],Table6121519272933516273102[[#This Row],[Athletes]],Table4101317251247545298[SALDO 12]),SUMIF(Table4101317251247545298[ATHLETE 3],Table6121519272933516273102[[#This Row],[Athletes]],Table4101317251247545298[SALDO 34]),SUMIF(Table4101317251247545298[ATHLETE 4],Table6121519272933516273102[[#This Row],[Athletes]],Table4101317251247545298[SALDO 34]))</calculatedColumnFormula>
    </tableColumn>
    <tableColumn id="4" xr3:uid="{FA348CD2-037E-834A-A759-C44878CC57E3}" name="PM" dataDxfId="1005">
      <calculatedColumnFormula>SUM(SUMIF(Table4101317251247545298[ATHLETE 1],Table6121519272933516273102[[#This Row],[Athletes]],Table4101317251247545298[PM 12]),SUMIF(Table4101317251247545298[ATHLETE 2],Table6121519272933516273102[[#This Row],[Athletes]],Table4101317251247545298[PM 12]),SUMIF(Table4101317251247545298[ATHLETE 3],Table6121519272933516273102[[#This Row],[Athletes]],Table4101317251247545298[PM 34]),SUMIF(Table4101317251247545298[ATHLETE 4],Table6121519272933516273102[[#This Row],[Athletes]],Table4101317251247545298[PM 34]))</calculatedColumnFormula>
    </tableColumn>
    <tableColumn id="6" xr3:uid="{CA1F6518-B109-DC41-9661-684DF783D01F}" name="Rank" dataDxfId="1004">
      <calculatedColumnFormula>IF(COUNTBLANK(Table4101317251247545298[[SCORE 1]:[SCORE 2]])=0,IF(RANK(H26,$H$26:$H$29)=1,RANK(H26,$H$26:$H$29)&amp;"st",IF(RANK(H26,$H$26:$H$29)=2,RANK(H26,$H$26:$H$29)&amp;"nd",RANK(H26,$H$26:$H$29)&amp;"th")),"")</calculatedColumnFormula>
    </tableColumn>
    <tableColumn id="8" xr3:uid="{0DAF6EE0-3AD7-2B48-9513-82DBCDA55998}" name="Rank support" dataDxfId="1003">
      <calculatedColumnFormula>Table6121519272933516273102[[#This Row],[WIN]]*1000000+Table6121519272933516273102[[#This Row],[Saldo]]*1000+Table6121519272933516273102[[#This Row],[PM]]</calculatedColumnFormula>
    </tableColumn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C43A07B-BFC4-0342-8036-A8B393EBC1B4}" name="Table41013172512475452986841" displayName="Table41013172512475452986841" ref="B1:R10" totalsRowShown="0" headerRowDxfId="1002" dataDxfId="1001" headerRowBorderDxfId="999" tableBorderDxfId="1000" totalsRowBorderDxfId="998">
  <autoFilter ref="B1:R10" xr:uid="{C79D687B-AEB2-42F8-B262-AEDE9265CB48}"/>
  <tableColumns count="17">
    <tableColumn id="3" xr3:uid="{BA4EEDA1-496A-AC40-A5A8-6F3800A7B05B}" name="GROUP" dataDxfId="997"/>
    <tableColumn id="4" xr3:uid="{17A1F4AB-0060-9A48-8C36-0C5E2BD0CF1D}" name="ATHLETE 1" dataDxfId="996"/>
    <tableColumn id="5" xr3:uid="{A219694B-59EC-DD4E-8888-6F6E6A771735}" name="ATHLETE 2" dataDxfId="995"/>
    <tableColumn id="8" xr3:uid="{E7B5382E-FC05-3148-89AD-EFF5DE608B94}" name="SCORE 1" dataDxfId="994"/>
    <tableColumn id="9" xr3:uid="{3D4598D9-3654-614F-B206-637BA6BD682C}" name="SCORE 2" dataDxfId="993"/>
    <tableColumn id="6" xr3:uid="{D5C2D383-C597-744E-8E1A-A8D5A1CCCF1B}" name="ATHLETE 3" dataDxfId="992"/>
    <tableColumn id="17" xr3:uid="{FDD7146E-07F9-FA48-B9F6-4E632620C994}" name="X" dataDxfId="991"/>
    <tableColumn id="16" xr3:uid="{3D5EB6A6-B4B5-5C43-A0D1-0D2BD71CC8DA}" name="Y" dataDxfId="990"/>
    <tableColumn id="2" xr3:uid="{459BB0F7-6870-6141-B3F5-724C8C11B869}" name="Z" dataDxfId="989"/>
    <tableColumn id="1" xr3:uid="{B0B15BD8-BFA6-3A43-B609-A3C2AC9BF081}" name="A" dataDxfId="988"/>
    <tableColumn id="7" xr3:uid="{E2EBA249-BF1C-8C48-A1CC-9A816DC45002}" name="ATHLETE 4" dataDxfId="987"/>
    <tableColumn id="10" xr3:uid="{EB56A2EA-2903-FC45-8A66-7B4B01286710}" name="SALDO 12" dataDxfId="986">
      <calculatedColumnFormula>IF(OR(Table41013172512475452986841[[#This Row],[SCORE 1]]="",Table41013172512475452986841[[#This Row],[SCORE 2]]=""),"",Table41013172512475452986841[[#This Row],[SCORE 1]]-Table41013172512475452986841[[#This Row],[SCORE 2]])</calculatedColumnFormula>
    </tableColumn>
    <tableColumn id="11" xr3:uid="{64628A81-374A-D94B-A8C8-2576066BC2C0}" name="SALDO 34" dataDxfId="985">
      <calculatedColumnFormula>IF(OR(Table41013172512475452986841[[#This Row],[SCORE 1]]="",Table41013172512475452986841[[#This Row],[SCORE 2]]=""),"",Table41013172512475452986841[[#This Row],[SCORE 2]]-Table41013172512475452986841[[#This Row],[SCORE 1]])</calculatedColumnFormula>
    </tableColumn>
    <tableColumn id="12" xr3:uid="{F8CBABD7-6B9B-904C-A83E-A5A4093966BC}" name="PM 12" dataDxfId="984">
      <calculatedColumnFormula>IF(Table41013172512475452986841[[#This Row],[SCORE 1]]="","",Table41013172512475452986841[[#This Row],[SCORE 1]])</calculatedColumnFormula>
    </tableColumn>
    <tableColumn id="13" xr3:uid="{88BE6A36-F2F5-1345-AE68-38960DA57443}" name="PM 34" dataDxfId="983">
      <calculatedColumnFormula>IF(Table41013172512475452986841[[#This Row],[SCORE 2]]="","",Table41013172512475452986841[[#This Row],[SCORE 2]])</calculatedColumnFormula>
    </tableColumn>
    <tableColumn id="14" xr3:uid="{ABCDC74C-8386-CD49-B77C-15F830D74973}" name="RESULT 12" dataDxfId="982">
      <calculatedColumnFormula>IF(OR(Table41013172512475452986841[[#This Row],[SCORE 1]]="",Table41013172512475452986841[[#This Row],[SCORE 2]]=""),"",IF(Table41013172512475452986841[[#This Row],[SALDO 12]]&gt;0, "WIN","LOSE"))</calculatedColumnFormula>
    </tableColumn>
    <tableColumn id="15" xr3:uid="{56DB34FC-CF3C-7C4F-93E1-C758835044AF}" name="RESULT 34" dataDxfId="981">
      <calculatedColumnFormula>IF(OR(Table41013172512475452986841[[#This Row],[SCORE 1]]="",Table41013172512475452986841[[#This Row],[SCORE 2]]=""),"",IF(Table41013172512475452986841[[#This Row],[SALDO 34]]&gt;0, "WIN","LOSE"))</calculatedColumnFormula>
    </tableColumn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98814E2-2D30-194D-8C67-0EC3EAB48B65}" name="Table361114182630485553996943" displayName="Table361114182630485553996943" ref="A13:H17" totalsRowShown="0" headerRowDxfId="980" dataDxfId="979" headerRowBorderDxfId="977" tableBorderDxfId="978" totalsRowBorderDxfId="976">
  <autoFilter ref="A13:H17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4:G17">
    <sortCondition descending="1" ref="D14:D17"/>
    <sortCondition descending="1" ref="E14:E17"/>
    <sortCondition descending="1" ref="F14:F17"/>
  </sortState>
  <tableColumns count="8">
    <tableColumn id="7" xr3:uid="{72E2AD68-893A-094B-A603-574841F98495}" name="Group" dataDxfId="975"/>
    <tableColumn id="1" xr3:uid="{2A49CB53-DE0D-744C-8517-7DC68CEF04FA}" name="Athletes" dataDxfId="974"/>
    <tableColumn id="8" xr3:uid="{035EDD23-D9B1-AA42-8320-28676BD93CA2}" name="WIN" dataDxfId="973">
      <calculatedColumnFormula>SUM(COUNTIFS(Table41013172512475452986841[ATHLETE 1],Table361114182630485553996943[[#This Row],[Athletes]],Table41013172512475452986841[RESULT 12],Table361114182630485553996943[[#Headers],[WIN]]),COUNTIFS(Table41013172512475452986841[ATHLETE 2],Table361114182630485553996943[[#This Row],[Athletes]],Table41013172512475452986841[RESULT 12],Table361114182630485553996943[[#Headers],[WIN]]),COUNTIFS(Table41013172512475452986841[ATHLETE 3],Table361114182630485553996943[[#This Row],[Athletes]],Table41013172512475452986841[RESULT 34],Table361114182630485553996943[[#Headers],[WIN]]),COUNTIFS(Table41013172512475452986841[ATHLETE 4],Table361114182630485553996943[[#This Row],[Athletes]],Table41013172512475452986841[RESULT 34],Table361114182630485553996943[[#Headers],[WIN]]))</calculatedColumnFormula>
    </tableColumn>
    <tableColumn id="5" xr3:uid="{9EACDCEA-A5E4-1545-9C82-2BBC220E216B}" name="LOSE" dataDxfId="972">
      <calculatedColumnFormula>SUM(COUNTIFS(Table41013172512475452986841[ATHLETE 1],Table361114182630485553996943[[#This Row],[Athletes]],Table41013172512475452986841[RESULT 12],Table361114182630485553996943[[#Headers],[LOSE]]),COUNTIFS(Table41013172512475452986841[ATHLETE 2],Table361114182630485553996943[[#This Row],[Athletes]],Table41013172512475452986841[RESULT 12],Table361114182630485553996943[[#Headers],[LOSE]]),COUNTIFS(Table41013172512475452986841[ATHLETE 3],Table361114182630485553996943[[#This Row],[Athletes]],Table41013172512475452986841[RESULT 34],Table361114182630485553996943[[#Headers],[LOSE]]),COUNTIFS(Table41013172512475452986841[ATHLETE 4],Table361114182630485553996943[[#This Row],[Athletes]],Table41013172512475452986841[RESULT 34],Table361114182630485553996943[[#Headers],[LOSE]]))</calculatedColumnFormula>
    </tableColumn>
    <tableColumn id="3" xr3:uid="{16B14BB2-B91E-0A48-BDF7-61E5EE1AB313}" name="Saldo" dataDxfId="971">
      <calculatedColumnFormula>SUM(SUMIF(Table41013172512475452986841[ATHLETE 1],Table361114182630485553996943[[#This Row],[Athletes]],Table41013172512475452986841[SALDO 12]),SUMIF(Table41013172512475452986841[ATHLETE 2],Table361114182630485553996943[[#This Row],[Athletes]],Table41013172512475452986841[SALDO 12]),SUMIF(Table41013172512475452986841[ATHLETE 3],Table361114182630485553996943[[#This Row],[Athletes]],Table41013172512475452986841[SALDO 34]),SUMIF(Table41013172512475452986841[ATHLETE 4],Table361114182630485553996943[[#This Row],[Athletes]],Table41013172512475452986841[SALDO 34]))</calculatedColumnFormula>
    </tableColumn>
    <tableColumn id="4" xr3:uid="{76B87305-F4D1-A945-8DAE-8920093DDEAD}" name="PM" dataDxfId="970">
      <calculatedColumnFormula>SUM(SUMIF(Table41013172512475452986841[ATHLETE 1],Table361114182630485553996943[[#This Row],[Athletes]],Table41013172512475452986841[PM 12]),SUMIF(Table41013172512475452986841[ATHLETE 2],Table361114182630485553996943[[#This Row],[Athletes]],Table41013172512475452986841[PM 12]),SUMIF(Table41013172512475452986841[ATHLETE 3],Table361114182630485553996943[[#This Row],[Athletes]],Table41013172512475452986841[PM 34]),SUMIF(Table41013172512475452986841[ATHLETE 4],Table361114182630485553996943[[#This Row],[Athletes]],Table41013172512475452986841[PM 34]))</calculatedColumnFormula>
    </tableColumn>
    <tableColumn id="6" xr3:uid="{80B56608-DBDB-7847-941F-CCD12D7BC04C}" name="Rank" dataDxfId="969">
      <calculatedColumnFormula>IF(COUNTBLANK(Table41013172512475452986841[[SCORE 1]:[SCORE 2]])=0,IF(RANK(H14,$H$14:$H$17)=1,RANK(H14,$H$14:$H$17)&amp;"st",IF(RANK(H14,$H$14:$H$17)=2,RANK(H14,$H$14:$H$17)&amp;"nd",RANK(H14,$H$14:$H$17)&amp;"th")),"")</calculatedColumnFormula>
    </tableColumn>
    <tableColumn id="2" xr3:uid="{4D2B8ACB-6512-BE4E-867E-ED43968979C4}" name="Rank support" dataDxfId="968">
      <calculatedColumnFormula>Table361114182630485553996943[[#This Row],[WIN]]*1000000+Table361114182630485553996943[[#This Row],[Saldo]]*1000+Table361114182630485553996943[[#This Row],[PM]]</calculatedColumnFormula>
    </tableColumn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3CFFF943-49B0-5D49-96F9-B24A679023AC}" name="Table612151927314956711007044" displayName="Table612151927314956711007044" ref="A19:H23" totalsRowShown="0" headerRowDxfId="967" dataDxfId="966" headerRowBorderDxfId="964" tableBorderDxfId="965" totalsRowBorderDxfId="963">
  <autoFilter ref="A19:H23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0:G23">
    <sortCondition descending="1" ref="D20:D23"/>
    <sortCondition descending="1" ref="E20:E23"/>
    <sortCondition descending="1" ref="F20:F23"/>
  </sortState>
  <tableColumns count="8">
    <tableColumn id="1" xr3:uid="{FB62E80E-F595-624D-A75B-889327D26700}" name="Group" dataDxfId="962"/>
    <tableColumn id="2" xr3:uid="{0862F43B-C463-094B-A63B-387BC5B77858}" name="Athletes" dataDxfId="961"/>
    <tableColumn id="7" xr3:uid="{9F8CC034-1BFC-2B42-8A48-57171D704568}" name="WIN" dataDxfId="960">
      <calculatedColumnFormula>SUM(COUNTIFS(Table41013172512475452986841[ATHLETE 1],Table612151927314956711007044[[#This Row],[Athletes]],Table41013172512475452986841[RESULT 12],Table361114182630485553996943[[#Headers],[WIN]]),COUNTIFS(Table41013172512475452986841[ATHLETE 2],Table612151927314956711007044[[#This Row],[Athletes]],Table41013172512475452986841[RESULT 12],Table361114182630485553996943[[#Headers],[WIN]]),COUNTIFS(Table41013172512475452986841[ATHLETE 3],Table612151927314956711007044[[#This Row],[Athletes]],Table41013172512475452986841[RESULT 34],Table361114182630485553996943[[#Headers],[WIN]]),COUNTIFS(Table41013172512475452986841[ATHLETE 4],Table612151927314956711007044[[#This Row],[Athletes]],Table41013172512475452986841[RESULT 34],Table361114182630485553996943[[#Headers],[WIN]]))</calculatedColumnFormula>
    </tableColumn>
    <tableColumn id="5" xr3:uid="{2A1B7D93-00B1-F949-8493-1FCCEAEA059A}" name="LOSE" dataDxfId="959">
      <calculatedColumnFormula>SUM(COUNTIFS(Table41013172512475452986841[ATHLETE 1],Table612151927314956711007044[[#This Row],[Athletes]],Table41013172512475452986841[RESULT 12],Table361114182630485553996943[[#Headers],[LOSE]]),COUNTIFS(Table41013172512475452986841[ATHLETE 2],Table612151927314956711007044[[#This Row],[Athletes]],Table41013172512475452986841[RESULT 12],Table361114182630485553996943[[#Headers],[LOSE]]),COUNTIFS(Table41013172512475452986841[ATHLETE 3],Table612151927314956711007044[[#This Row],[Athletes]],Table41013172512475452986841[RESULT 34],Table361114182630485553996943[[#Headers],[LOSE]]),COUNTIFS(Table41013172512475452986841[ATHLETE 4],Table612151927314956711007044[[#This Row],[Athletes]],Table41013172512475452986841[RESULT 34],Table361114182630485553996943[[#Headers],[LOSE]]))</calculatedColumnFormula>
    </tableColumn>
    <tableColumn id="3" xr3:uid="{AD9B9082-6AD0-7043-AEBB-9EABAA320532}" name="Saldo" dataDxfId="958">
      <calculatedColumnFormula>SUM(SUMIF(Table41013172512475452986841[ATHLETE 1],Table612151927314956711007044[[#This Row],[Athletes]],Table41013172512475452986841[SALDO 12]),SUMIF(Table41013172512475452986841[ATHLETE 2],Table612151927314956711007044[[#This Row],[Athletes]],Table41013172512475452986841[SALDO 12]),SUMIF(Table41013172512475452986841[ATHLETE 3],Table612151927314956711007044[[#This Row],[Athletes]],Table41013172512475452986841[SALDO 34]),SUMIF(Table41013172512475452986841[ATHLETE 4],Table612151927314956711007044[[#This Row],[Athletes]],Table41013172512475452986841[SALDO 34]))</calculatedColumnFormula>
    </tableColumn>
    <tableColumn id="4" xr3:uid="{A5908999-F26D-9948-ACF8-C3430F2960CC}" name="PM" dataDxfId="957">
      <calculatedColumnFormula>SUM(SUMIF(Table41013172512475452986841[ATHLETE 1],Table612151927314956711007044[[#This Row],[Athletes]],Table41013172512475452986841[PM 12]),SUMIF(Table41013172512475452986841[ATHLETE 2],Table612151927314956711007044[[#This Row],[Athletes]],Table41013172512475452986841[PM 12]),SUMIF(Table41013172512475452986841[ATHLETE 3],Table612151927314956711007044[[#This Row],[Athletes]],Table41013172512475452986841[PM 34]),SUMIF(Table41013172512475452986841[ATHLETE 4],Table612151927314956711007044[[#This Row],[Athletes]],Table41013172512475452986841[PM 34]))</calculatedColumnFormula>
    </tableColumn>
    <tableColumn id="6" xr3:uid="{5649F425-5594-314D-9772-C84AA2BB0C32}" name="Rank" dataDxfId="956">
      <calculatedColumnFormula>IF(COUNTBLANK(Table41013172512475452986841[[SCORE 1]:[SCORE 2]])=0,IF(RANK(H20,$H$20:$H$23)=1,RANK(H20,$H$20:$H$23)&amp;"st",IF(RANK(H20,$H$20:$H$23)=2,RANK(H20,$H$20:$H$23)&amp;"nd",RANK(H20,$H$20:$H$23)&amp;"th")),"")</calculatedColumnFormula>
    </tableColumn>
    <tableColumn id="8" xr3:uid="{99512FC0-03AC-BF4F-8304-6111234644FA}" name="Rank support" dataDxfId="955">
      <calculatedColumnFormula>Table612151927314956711007044[[#This Row],[WIN]]*1000000+Table612151927314956711007044[[#This Row],[Saldo]]*1000+Table612151927314956711007044[[#This Row],[PM]]</calculatedColumnFormula>
    </tableColumn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AFAD02F-35D8-984C-82D9-A45BBC392763}" name="Table152028325060721017145" displayName="Table152028325060721017145" ref="T2:U14" totalsRowShown="0" headerRowDxfId="954" dataDxfId="953" headerRowBorderDxfId="951" tableBorderDxfId="952">
  <autoFilter ref="T2:U14" xr:uid="{908C589F-0CD0-4EFE-993D-5B2ECC06D04A}">
    <filterColumn colId="0" hiddenButton="1"/>
    <filterColumn colId="1" hiddenButton="1"/>
  </autoFilter>
  <tableColumns count="2">
    <tableColumn id="1" xr3:uid="{9F514170-5B98-9D40-B83C-1D2762B63066}" name="Athlete" dataDxfId="950"/>
    <tableColumn id="2" xr3:uid="{786726C2-639E-D542-ACE9-0475A71CDA64}" name="Rank" dataDxfId="949"/>
  </tableColumns>
  <tableStyleInfo name="TableStyleMedium2" showFirstColumn="1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C1435F22-FFD3-124E-86E7-251FF157B586}" name="Table61215192729335162731027262" displayName="Table61215192729335162731027262" ref="A25:H29" totalsRowShown="0" headerRowDxfId="948" dataDxfId="947" headerRowBorderDxfId="945" tableBorderDxfId="946" totalsRowBorderDxfId="944">
  <autoFilter ref="A25:H29" xr:uid="{C1D8D95A-3D53-41E8-AABC-9D152E7B02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6:G29">
    <sortCondition descending="1" ref="D20:D23"/>
    <sortCondition descending="1" ref="E20:E23"/>
    <sortCondition descending="1" ref="F20:F23"/>
  </sortState>
  <tableColumns count="8">
    <tableColumn id="1" xr3:uid="{FD0F959E-585F-3948-98BF-8AD96E87E73F}" name="Group" dataDxfId="943"/>
    <tableColumn id="2" xr3:uid="{9321EBFA-5717-B94D-BF2B-52514708183E}" name="Athletes" dataDxfId="942"/>
    <tableColumn id="7" xr3:uid="{43EE5F2B-6964-7E4E-AFF5-6A0207719A0A}" name="WIN" dataDxfId="941">
      <calculatedColumnFormula>SUM(COUNTIFS(Table41013172512475452986841[ATHLETE 1],Table61215192729335162731027262[[#This Row],[Athletes]],Table41013172512475452986841[RESULT 12],Table361114182630485553996943[[#Headers],[WIN]]),COUNTIFS(Table41013172512475452986841[ATHLETE 2],Table61215192729335162731027262[[#This Row],[Athletes]],Table41013172512475452986841[RESULT 12],Table361114182630485553996943[[#Headers],[WIN]]),COUNTIFS(Table41013172512475452986841[ATHLETE 3],Table61215192729335162731027262[[#This Row],[Athletes]],Table41013172512475452986841[RESULT 34],Table361114182630485553996943[[#Headers],[WIN]]),COUNTIFS(Table41013172512475452986841[ATHLETE 4],Table61215192729335162731027262[[#This Row],[Athletes]],Table41013172512475452986841[RESULT 34],Table361114182630485553996943[[#Headers],[WIN]]))</calculatedColumnFormula>
    </tableColumn>
    <tableColumn id="5" xr3:uid="{A224EF7F-BE70-8F49-9AB4-6650230FD474}" name="LOSE" dataDxfId="940">
      <calculatedColumnFormula>SUM(COUNTIFS(Table41013172512475452986841[ATHLETE 1],Table61215192729335162731027262[[#This Row],[Athletes]],Table41013172512475452986841[RESULT 12],Table361114182630485553996943[[#Headers],[LOSE]]),COUNTIFS(Table41013172512475452986841[ATHLETE 2],Table61215192729335162731027262[[#This Row],[Athletes]],Table41013172512475452986841[RESULT 12],Table361114182630485553996943[[#Headers],[LOSE]]),COUNTIFS(Table41013172512475452986841[ATHLETE 3],Table61215192729335162731027262[[#This Row],[Athletes]],Table41013172512475452986841[RESULT 34],Table361114182630485553996943[[#Headers],[LOSE]]),COUNTIFS(Table41013172512475452986841[ATHLETE 4],Table61215192729335162731027262[[#This Row],[Athletes]],Table41013172512475452986841[RESULT 34],Table361114182630485553996943[[#Headers],[LOSE]]))</calculatedColumnFormula>
    </tableColumn>
    <tableColumn id="3" xr3:uid="{13189A22-C937-A844-8C10-58D0EEC2CB76}" name="Saldo" dataDxfId="939">
      <calculatedColumnFormula>SUM(SUMIF(Table41013172512475452986841[ATHLETE 1],Table61215192729335162731027262[[#This Row],[Athletes]],Table41013172512475452986841[SALDO 12]),SUMIF(Table41013172512475452986841[ATHLETE 2],Table61215192729335162731027262[[#This Row],[Athletes]],Table41013172512475452986841[SALDO 12]),SUMIF(Table41013172512475452986841[ATHLETE 3],Table61215192729335162731027262[[#This Row],[Athletes]],Table41013172512475452986841[SALDO 34]),SUMIF(Table41013172512475452986841[ATHLETE 4],Table61215192729335162731027262[[#This Row],[Athletes]],Table41013172512475452986841[SALDO 34]))</calculatedColumnFormula>
    </tableColumn>
    <tableColumn id="4" xr3:uid="{19AF2708-D66C-454B-A4F6-22ACE4188C57}" name="PM" dataDxfId="938">
      <calculatedColumnFormula>SUM(SUMIF(Table41013172512475452986841[ATHLETE 1],Table61215192729335162731027262[[#This Row],[Athletes]],Table41013172512475452986841[PM 12]),SUMIF(Table41013172512475452986841[ATHLETE 2],Table61215192729335162731027262[[#This Row],[Athletes]],Table41013172512475452986841[PM 12]),SUMIF(Table41013172512475452986841[ATHLETE 3],Table61215192729335162731027262[[#This Row],[Athletes]],Table41013172512475452986841[PM 34]),SUMIF(Table41013172512475452986841[ATHLETE 4],Table61215192729335162731027262[[#This Row],[Athletes]],Table41013172512475452986841[PM 34]))</calculatedColumnFormula>
    </tableColumn>
    <tableColumn id="6" xr3:uid="{63921D03-4B35-084A-B4D0-086F294FFE27}" name="Rank" dataDxfId="937">
      <calculatedColumnFormula>IF(COUNTBLANK(Table41013172512475452986841[[SCORE 1]:[SCORE 2]])=0,IF(RANK(H26,$H$26:$H$29)=1,RANK(H26,$H$26:$H$29)&amp;"st",IF(RANK(H26,$H$26:$H$29)=2,RANK(H26,$H$26:$H$29)&amp;"nd",RANK(H26,$H$26:$H$29)&amp;"th")),"")</calculatedColumnFormula>
    </tableColumn>
    <tableColumn id="8" xr3:uid="{3B7D5340-3E45-CD4A-8292-1D9959156D19}" name="Rank support" dataDxfId="936">
      <calculatedColumnFormula>Table61215192729335162731027262[[#This Row],[WIN]]*1000000+Table61215192729335162731027262[[#This Row],[Saldo]]*1000+Table61215192729335162731027262[[#This Row],[PM]]</calculatedColumnFormula>
    </tableColumn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33181B2-36AA-9A40-83D3-80D6A3EE8F68}" name="Games_1117" displayName="Games_1117" ref="B1:Q16" totalsRowShown="0" headerRowDxfId="935" dataDxfId="934" headerRowBorderDxfId="932" tableBorderDxfId="933" totalsRowBorderDxfId="931">
  <autoFilter ref="B1:Q16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3" xr3:uid="{13F98F22-BA2E-EC4C-85CF-EAC0D2CC3399}" name="GROUP" dataDxfId="930"/>
    <tableColumn id="4" xr3:uid="{669B31DF-02C6-C844-BDAF-635705D5AC42}" name="ATHLETE 1" dataDxfId="929"/>
    <tableColumn id="5" xr3:uid="{1C0E4653-7110-6745-943A-4A590661AB5C}" name="ATHLETE 2" dataDxfId="928"/>
    <tableColumn id="8" xr3:uid="{9D1CBCF0-AB63-144D-99E5-BB9B995E5E1C}" name="SCORE 1" dataDxfId="927"/>
    <tableColumn id="9" xr3:uid="{D0B440DC-D04A-8140-8FC8-E8E5BB05B7DB}" name="SCORE 2" dataDxfId="926"/>
    <tableColumn id="6" xr3:uid="{398EEC51-E094-294B-B8CF-CF7C7B4EE958}" name="ATHLETE 3" dataDxfId="925"/>
    <tableColumn id="16" xr3:uid="{7B61A33A-B4F3-944E-8DC3-C99757A6D443}" name="X" dataDxfId="924"/>
    <tableColumn id="1" xr3:uid="{511E7B81-ED76-C047-84E9-CA214C5B975C}" name="Y" dataDxfId="923"/>
    <tableColumn id="17" xr3:uid="{7FFE0D02-CBFC-0345-ADC1-A169A83A0959}" name="Z" dataDxfId="922"/>
    <tableColumn id="7" xr3:uid="{CB29180B-D3FF-FE4B-8542-9202E2B53824}" name="ATHLETE 4" dataDxfId="921"/>
    <tableColumn id="10" xr3:uid="{ADC6A341-B683-5141-A5EA-3BC2A8C68FF5}" name="SALDO 12" dataDxfId="920">
      <calculatedColumnFormula>IF(OR(Games_1117[[#This Row],[SCORE 1]]="",Games_1117[[#This Row],[SCORE 2]]=""),"",Games_1117[[#This Row],[SCORE 1]]-Games_1117[[#This Row],[SCORE 2]])</calculatedColumnFormula>
    </tableColumn>
    <tableColumn id="11" xr3:uid="{CBF4504B-2F99-4147-A3DF-B04F3BF07BAD}" name="SALDO 34" dataDxfId="919">
      <calculatedColumnFormula>IF(OR(Games_1117[[#This Row],[SCORE 1]]="",Games_1117[[#This Row],[SCORE 2]]=""),"",Games_1117[[#This Row],[SCORE 2]]-Games_1117[[#This Row],[SCORE 1]])</calculatedColumnFormula>
    </tableColumn>
    <tableColumn id="12" xr3:uid="{A926B377-E695-844C-95B4-2E6ED72BED9E}" name="PM 12" dataDxfId="918">
      <calculatedColumnFormula>IF(Games_1117[[#This Row],[SCORE 1]]="","",Games_1117[[#This Row],[SCORE 1]])</calculatedColumnFormula>
    </tableColumn>
    <tableColumn id="13" xr3:uid="{64EBA800-B761-B748-B386-6DD32B6AB464}" name="PM 34" dataDxfId="917">
      <calculatedColumnFormula>IF(Games_1117[[#This Row],[SCORE 2]]="","",Games_1117[[#This Row],[SCORE 2]])</calculatedColumnFormula>
    </tableColumn>
    <tableColumn id="14" xr3:uid="{28894E1D-1F7E-8541-805C-A9B1BC0A147A}" name="RESULT 12" dataDxfId="916">
      <calculatedColumnFormula>IF(OR(Games_1117[[#This Row],[SCORE 1]]="",Games_1117[[#This Row],[SCORE 2]]=""),"",IF(Games_1117[[#This Row],[SALDO 12]]&gt;0, "WIN","LOSE"))</calculatedColumnFormula>
    </tableColumn>
    <tableColumn id="15" xr3:uid="{AB2C67EC-CEAB-A540-8396-1B2395CD36E8}" name="RESULT 34" dataDxfId="915">
      <calculatedColumnFormula>IF(OR(Games_1117[[#This Row],[SCORE 1]]="",Games_1117[[#This Row],[SCORE 2]]=""),"",IF(Games_1117[[#This Row],[SALDO 34]]&gt;0, "WIN","LOSE"))</calculatedColumnFormula>
    </tableColumn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BC55700-A2DC-0D4C-99E2-D6045D1F53E2}" name="Analysis_2224" displayName="Analysis_2224" ref="A19:H24" totalsRowShown="0" headerRowDxfId="914" dataDxfId="913" headerRowBorderDxfId="911" tableBorderDxfId="912" totalsRowBorderDxfId="910">
  <autoFilter ref="A19:H24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0:G24">
    <sortCondition descending="1" ref="D20:D24"/>
    <sortCondition descending="1" ref="E20:E24"/>
    <sortCondition descending="1" ref="F20:F24"/>
  </sortState>
  <tableColumns count="8">
    <tableColumn id="7" xr3:uid="{BCC485A9-D956-BA4C-81CB-4CC453E4680B}" name="Group" dataDxfId="909"/>
    <tableColumn id="1" xr3:uid="{0A7881C5-FB15-364A-BAA0-43D97B6A56E3}" name="Atheletes " dataDxfId="908"/>
    <tableColumn id="8" xr3:uid="{FB583A1C-3BC4-2147-801A-90E0585AAAF8}" name="WIN" dataDxfId="907">
      <calculatedColumnFormula>SUM(COUNTIFS(Games_1117[ATHLETE 1],Analysis_2224[[#This Row],[Atheletes ]],Games_1117[RESULT 12],"win"),COUNTIFS(Games_1117[ATHLETE 2],Analysis_2224[[#This Row],[Atheletes ]],Games_1117[RESULT 12],"win"),COUNTIFS(Games_1117[ATHLETE 3],Analysis_2224[[#This Row],[Atheletes ]],Games_1117[RESULT 34],"win"),COUNTIFS(Games_1117[ATHLETE 4],Analysis_2224[[#This Row],[Atheletes ]],Games_1117[RESULT 34],"win"))</calculatedColumnFormula>
    </tableColumn>
    <tableColumn id="5" xr3:uid="{A960B8F9-D413-D740-B98E-42807310198C}" name="LOSE" dataDxfId="906">
      <calculatedColumnFormula>SUM(COUNTIFS(Games_1117[ATHLETE 1],Analysis_2224[[#This Row],[Atheletes ]],Games_1117[RESULT 12],"lose"),COUNTIFS(Games_1117[ATHLETE 2],Analysis_2224[[#This Row],[Atheletes ]],Games_1117[RESULT 12],"lose"),COUNTIFS(Games_1117[ATHLETE 3],Analysis_2224[[#This Row],[Atheletes ]],Games_1117[RESULT 34],"lose"),COUNTIFS(Games_1117[ATHLETE 4],Analysis_2224[[#This Row],[Atheletes ]],Games_1117[RESULT 34],"lose"))</calculatedColumnFormula>
    </tableColumn>
    <tableColumn id="3" xr3:uid="{B3159F6E-1F51-5F40-BF2E-BCE68979BF5D}" name="Saldo" dataDxfId="905">
      <calculatedColumnFormula>SUM(SUMIF(Games_1117[ATHLETE 1],Analysis_2224[[#This Row],[Atheletes ]],Games_1117[SALDO 12]),SUMIF(Games_1117[ATHLETE 2],Analysis_2224[[#This Row],[Atheletes ]],Games_1117[SALDO 12]),SUMIF(Games_1117[ATHLETE 3],Analysis_2224[[#This Row],[Atheletes ]],Games_1117[SALDO 34]),SUMIF(Games_1117[ATHLETE 4],Analysis_2224[[#This Row],[Atheletes ]],Games_1117[SALDO 34]))</calculatedColumnFormula>
    </tableColumn>
    <tableColumn id="4" xr3:uid="{D6EF4F9A-B935-4243-8BD3-2A952745EDCF}" name="PM" dataDxfId="904">
      <calculatedColumnFormula>SUM(SUMIF(Games_1117[ATHLETE 1],Analysis_2224[[#This Row],[Atheletes ]],Games_1117[PM 12]),SUMIF(Games_1117[ATHLETE 2],Analysis_2224[[#This Row],[Atheletes ]],Games_1117[PM 12]),SUMIF(Games_1117[ATHLETE 3],Analysis_2224[[#This Row],[Atheletes ]],Games_1117[PM 34]),SUMIF(Games_1117[ATHLETE 4],Analysis_2224[[#This Row],[Atheletes ]],Games_1117[PM 34]))</calculatedColumnFormula>
    </tableColumn>
    <tableColumn id="6" xr3:uid="{BE145769-13BD-0E42-A88F-6F2848B36338}" name="Rank" dataDxfId="903">
      <calculatedColumnFormula>IF(COUNTBLANK(Games_1117[[SCORE 1]:[SCORE 2]])=0,IF(RANK(H20,$H$20:$H$24)=1,RANK(H20,$H$20:$H$24)&amp;"st",IF(RANK(H20,$H$20:$H$24)=2,RANK(H20,$H$20:$H$24)&amp;"nd",IF(RANK(H20,$H$20:$H$24)=3,RANK(H20,$H$20:$H$24)&amp;"rd",RANK(H20,$H$20:$H$24)&amp;"th"))),"")</calculatedColumnFormula>
    </tableColumn>
    <tableColumn id="2" xr3:uid="{1678BECD-4448-FF42-88FF-6CE44135695F}" name="Rank Support" dataDxfId="902">
      <calculatedColumnFormula>Analysis_2224[[#This Row],[WIN]]*1000000+Analysis_2224[[#This Row],[Saldo]]*1000+Analysis_2224[[#This Row],[PM]]</calculatedColumnFormula>
    </tableColumn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476B9B4-F299-714E-805A-88DDC48B5679}" name="Analsyis_2325" displayName="Analsyis_2325" ref="A26:H31" totalsRowShown="0" headerRowDxfId="901" dataDxfId="900" headerRowBorderDxfId="898" tableBorderDxfId="899" totalsRowBorderDxfId="897">
  <autoFilter ref="A26:H31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7:G31">
    <sortCondition descending="1" ref="D27:D31"/>
    <sortCondition descending="1" ref="E27:E31"/>
    <sortCondition descending="1" ref="F27:F31"/>
  </sortState>
  <tableColumns count="8">
    <tableColumn id="1" xr3:uid="{EA73896C-AE8F-8D46-B566-642E6ECC5413}" name="Group" dataDxfId="896"/>
    <tableColumn id="2" xr3:uid="{D67EC3CC-6193-0A43-B3A4-0A6D2DC1FDDF}" name="Atheletes " dataDxfId="895"/>
    <tableColumn id="7" xr3:uid="{E4886F55-C3D8-FD48-A9FE-134B539DC6D3}" name="WIN" dataDxfId="894">
      <calculatedColumnFormula>SUM(COUNTIFS(Games_1117[ATHLETE 1],Analsyis_2325[[#This Row],[Atheletes ]],Games_1117[RESULT 12],"win"),COUNTIFS(Games_1117[ATHLETE 2],Analsyis_2325[[#This Row],[Atheletes ]],Games_1117[RESULT 12],"win"),COUNTIFS(Games_1117[ATHLETE 3],Analsyis_2325[[#This Row],[Atheletes ]],Games_1117[RESULT 34],"win"),COUNTIFS(Games_1117[ATHLETE 4],Analsyis_2325[[#This Row],[Atheletes ]],Games_1117[RESULT 34],"win"))</calculatedColumnFormula>
    </tableColumn>
    <tableColumn id="5" xr3:uid="{36514C95-E32F-494E-B401-F538429672BE}" name="LOSE" dataDxfId="893">
      <calculatedColumnFormula>SUM(COUNTIFS(Games_1117[ATHLETE 1],Analsyis_2325[[#This Row],[Atheletes ]],Games_1117[RESULT 12],"lose"),COUNTIFS(Games_1117[ATHLETE 2],Analsyis_2325[[#This Row],[Atheletes ]],Games_1117[RESULT 12],"lose"),COUNTIFS(Games_1117[ATHLETE 3],Analsyis_2325[[#This Row],[Atheletes ]],Games_1117[RESULT 34],"lose"),COUNTIFS(Games_1117[ATHLETE 4],Analsyis_2325[[#This Row],[Atheletes ]],Games_1117[RESULT 34],"lose"))</calculatedColumnFormula>
    </tableColumn>
    <tableColumn id="3" xr3:uid="{93F47265-AA28-6F44-871A-04788B73BD47}" name="Saldo" dataDxfId="892">
      <calculatedColumnFormula>SUM(SUMIF(Games_1117[ATHLETE 1],Analsyis_2325[[#This Row],[Atheletes ]],Games_1117[SALDO 12]),SUMIF(Games_1117[ATHLETE 2],Analsyis_2325[[#This Row],[Atheletes ]],Games_1117[SALDO 12]),SUMIF(Games_1117[ATHLETE 3],Analsyis_2325[[#This Row],[Atheletes ]],Games_1117[SALDO 34]),SUMIF(Games_1117[ATHLETE 4],Analsyis_2325[[#This Row],[Atheletes ]],Games_1117[SALDO 34]))</calculatedColumnFormula>
    </tableColumn>
    <tableColumn id="4" xr3:uid="{ABEB09E5-9E6F-1742-AEB5-F99B6D8C49BB}" name="PM" dataDxfId="891">
      <calculatedColumnFormula>SUM(SUMIF(Games_1117[ATHLETE 1],Analsyis_2325[[#This Row],[Atheletes ]],Games_1117[PM 12]),SUMIF(Games_1117[ATHLETE 2],Analsyis_2325[[#This Row],[Atheletes ]],Games_1117[PM 12]),SUMIF(Games_1117[ATHLETE 3],Analsyis_2325[[#This Row],[Atheletes ]],Games_1117[PM 34]),SUMIF(Games_1117[ATHLETE 4],Analsyis_2325[[#This Row],[Atheletes ]],Games_1117[PM 34]))</calculatedColumnFormula>
    </tableColumn>
    <tableColumn id="6" xr3:uid="{389C769A-8010-8A45-A05A-247A94ED4194}" name="Rank" dataDxfId="890">
      <calculatedColumnFormula>IF(COUNTBLANK(Games_1117[[SCORE 1]:[SCORE 2]])=0,IF(RANK(H27,$H$27:$H$31)=1,RANK(H27,$H$27:$H$31)&amp;"st",IF(RANK(H27,$H$27:$H$31)=2,RANK(H27,$H$27:$H$31)&amp;"nd",IF(RANK(H27,$H$27:$H$31)=3,RANK(H27,$H$27:$H$31)&amp;"rd",RANK(H27,$H$27:$H$31)&amp;"th"))),"")</calculatedColumnFormula>
    </tableColumn>
    <tableColumn id="8" xr3:uid="{D7016C0C-6215-A849-99AD-2B1705FC3F7B}" name="Rank Support" dataDxfId="889">
      <calculatedColumnFormula>Analsyis_2325[[#This Row],[WIN]]*1000000+Analsyis_2325[[#This Row],[Saldo]]*1000+Analsyis_2325[[#This Row],[PM]]</calculatedColumnFormula>
    </tableColumn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C957563B-926E-3248-AB81-62C742CCD017}" name="Table1572235446678468111248" displayName="Table1572235446678468111248" ref="S2:T17" totalsRowShown="0" headerRowDxfId="888" headerRowBorderDxfId="886" tableBorderDxfId="887">
  <autoFilter ref="S2:T17" xr:uid="{908C589F-0CD0-4EFE-993D-5B2ECC06D04A}">
    <filterColumn colId="0" hiddenButton="1"/>
    <filterColumn colId="1" hiddenButton="1"/>
  </autoFilter>
  <tableColumns count="2">
    <tableColumn id="1" xr3:uid="{508F8B57-F707-C74D-8B09-7C41251AFB4C}" name="Athlete" dataDxfId="885"/>
    <tableColumn id="2" xr3:uid="{F97ABA2F-7378-504D-8E56-DE22F2F3655A}" name="Rank" dataDxfId="884"/>
  </tableColumns>
  <tableStyleInfo name="TableStyleMedium2" showFirstColumn="1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181DF88-F7A6-3649-9CD9-C660B9984BB5}" name="Analysis_2449" displayName="Analysis_2449" ref="A33:H38" totalsRowShown="0" headerRowDxfId="883" dataDxfId="882" headerRowBorderDxfId="880" tableBorderDxfId="881" totalsRowBorderDxfId="879">
  <autoFilter ref="A33:H38" xr:uid="{A6EBCCC8-7711-F647-8E13-2AAA9CEE4D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34:G38">
    <sortCondition descending="1" ref="D27:D31"/>
    <sortCondition descending="1" ref="E27:E31"/>
    <sortCondition descending="1" ref="F27:F31"/>
  </sortState>
  <tableColumns count="8">
    <tableColumn id="1" xr3:uid="{1C4B960C-BA2D-9B43-AF0F-ADDE5E0A113B}" name="Group" dataDxfId="878"/>
    <tableColumn id="2" xr3:uid="{9E746190-79FE-1F47-9EEA-37B2D30544B2}" name="Atheletes " dataDxfId="877"/>
    <tableColumn id="7" xr3:uid="{4B433E5D-A8B4-234C-AD3A-1A750BD9A481}" name="WIN" dataDxfId="876">
      <calculatedColumnFormula>SUM(COUNTIFS(Games_1117[ATHLETE 1],Analysis_2449[[#This Row],[Atheletes ]],Games_1117[RESULT 12],"win"),COUNTIFS(Games_1117[ATHLETE 2],Analysis_2449[[#This Row],[Atheletes ]],Games_1117[RESULT 12],"win"),COUNTIFS(Games_1117[ATHLETE 3],Analysis_2449[[#This Row],[Atheletes ]],Games_1117[RESULT 34],"win"),COUNTIFS(Games_1117[ATHLETE 4],Analysis_2449[[#This Row],[Atheletes ]],Games_1117[RESULT 34],"win"))</calculatedColumnFormula>
    </tableColumn>
    <tableColumn id="5" xr3:uid="{4086C474-F8A1-D147-BCAC-0D4CB5A374C0}" name="LOSE" dataDxfId="875">
      <calculatedColumnFormula>SUM(COUNTIFS(Games_1117[ATHLETE 1],Analysis_2449[[#This Row],[Atheletes ]],Games_1117[RESULT 12],"lose"),COUNTIFS(Games_1117[ATHLETE 2],Analysis_2449[[#This Row],[Atheletes ]],Games_1117[RESULT 12],"lose"),COUNTIFS(Games_1117[ATHLETE 3],Analysis_2449[[#This Row],[Atheletes ]],Games_1117[RESULT 34],"lose"),COUNTIFS(Games_1117[ATHLETE 4],Analysis_2449[[#This Row],[Atheletes ]],Games_1117[RESULT 34],"lose"))</calculatedColumnFormula>
    </tableColumn>
    <tableColumn id="3" xr3:uid="{FB48A154-7E0A-364E-9168-FE529D70FB5A}" name="Saldo" dataDxfId="874">
      <calculatedColumnFormula>SUM(SUMIF(Games_1117[ATHLETE 1],Analysis_2449[[#This Row],[Atheletes ]],Games_1117[SALDO 12]),SUMIF(Games_1117[ATHLETE 2],Analysis_2449[[#This Row],[Atheletes ]],Games_1117[SALDO 12]),SUMIF(Games_1117[ATHLETE 3],Analysis_2449[[#This Row],[Atheletes ]],Games_1117[SALDO 34]),SUMIF(Games_1117[ATHLETE 4],Analysis_2449[[#This Row],[Atheletes ]],Games_1117[SALDO 34]))</calculatedColumnFormula>
    </tableColumn>
    <tableColumn id="4" xr3:uid="{F14342DB-2612-2147-8DEE-32E796C65A37}" name="PM" dataDxfId="873">
      <calculatedColumnFormula>SUM(SUMIF(Games_1117[ATHLETE 1],Analysis_2449[[#This Row],[Atheletes ]],Games_1117[PM 12]),SUMIF(Games_1117[ATHLETE 2],Analysis_2449[[#This Row],[Atheletes ]],Games_1117[PM 12]),SUMIF(Games_1117[ATHLETE 3],Analysis_2449[[#This Row],[Atheletes ]],Games_1117[PM 34]),SUMIF(Games_1117[ATHLETE 4],Analysis_2449[[#This Row],[Atheletes ]],Games_1117[PM 34]))</calculatedColumnFormula>
    </tableColumn>
    <tableColumn id="6" xr3:uid="{37F40D32-704E-564B-9F97-1C1CC88B76B6}" name="Rank" dataDxfId="872">
      <calculatedColumnFormula>IF(COUNTBLANK(Games_1117[[SCORE 1]:[SCORE 2]])=0,IF(RANK(H34,$H$34:$H$38)=1,RANK(H34,$H$34:$H$38)&amp;"st",IF(RANK(H34,$H$34:$H$38)=2,RANK(H34,$H$34:$H$38)&amp;"nd",IF(RANK(H34,$H$34:$H$38)=3,RANK(H34,$H$34:$H$38)&amp;"rd",RANK(H34,$H$34:$H$38)&amp;"th"))),"")</calculatedColumnFormula>
    </tableColumn>
    <tableColumn id="8" xr3:uid="{6775947B-6CBD-FB41-8D67-724FAD8AAD34}" name="Rank Support" dataDxfId="871">
      <calculatedColumnFormula>Analysis_2449[[#This Row],[WIN]]*1000000+Analysis_2449[[#This Row],[Saldo]]*1000+Analysis_2449[[#This Row],[PM]]</calculatedColumnFormula>
    </tableColumn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4472FA4-BCCC-6C4A-9CA1-13ADF32DDD06}" name="Games_1112" displayName="Games_1112" ref="B1:Q16" totalsRowShown="0" headerRowDxfId="870" dataDxfId="869" headerRowBorderDxfId="867" tableBorderDxfId="868" totalsRowBorderDxfId="866">
  <autoFilter ref="B1:Q16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3" xr3:uid="{ABE854D9-A15B-1A4B-B15E-3BA4CE4EAE8B}" name="GROUP" dataDxfId="865"/>
    <tableColumn id="4" xr3:uid="{0F88C79C-1108-C04C-A7D7-549579F2DB9D}" name="ATHLETE 1" dataDxfId="864"/>
    <tableColumn id="5" xr3:uid="{D2B38F92-4E33-3B40-9351-418DC6F32305}" name="ATHLETE 2" dataDxfId="863"/>
    <tableColumn id="8" xr3:uid="{4EC8CE66-D1DA-F842-B428-DC3155327D97}" name="SCORE 1" dataDxfId="862"/>
    <tableColumn id="9" xr3:uid="{4A5323DC-F18B-644E-A47D-5B9A107ABBE1}" name="SCORE 2" dataDxfId="861"/>
    <tableColumn id="6" xr3:uid="{ACD13873-3A30-0640-A333-90BECC0C462B}" name="ATHLETE 3" dataDxfId="860"/>
    <tableColumn id="16" xr3:uid="{4C784B7B-3957-934E-8EB7-0FB5FC5CAAB5}" name="X" dataDxfId="859"/>
    <tableColumn id="1" xr3:uid="{96E7FC61-3050-9247-BE61-26EA7A147055}" name="Y" dataDxfId="858"/>
    <tableColumn id="17" xr3:uid="{41C7CF60-4DA2-D540-8EA0-8B13836CBF5D}" name="Z" dataDxfId="857"/>
    <tableColumn id="7" xr3:uid="{8509D27D-0D8C-9446-AA0B-CB16A2E32942}" name="ATHLETE 4" dataDxfId="856"/>
    <tableColumn id="10" xr3:uid="{734C2AB6-334B-0647-A39A-820B39A4D5F0}" name="SALDO 12" dataDxfId="855">
      <calculatedColumnFormula>IF(OR(Games_1112[[#This Row],[SCORE 1]]="",Games_1112[[#This Row],[SCORE 2]]=""),"",Games_1112[[#This Row],[SCORE 1]]-Games_1112[[#This Row],[SCORE 2]])</calculatedColumnFormula>
    </tableColumn>
    <tableColumn id="11" xr3:uid="{ED316EB9-C048-B24D-899D-7A1BBC789930}" name="SALDO 34" dataDxfId="854">
      <calculatedColumnFormula>IF(OR(Games_1112[[#This Row],[SCORE 1]]="",Games_1112[[#This Row],[SCORE 2]]=""),"",Games_1112[[#This Row],[SCORE 2]]-Games_1112[[#This Row],[SCORE 1]])</calculatedColumnFormula>
    </tableColumn>
    <tableColumn id="12" xr3:uid="{C62CF4C0-9698-6E49-B5A6-8B98A88C4D07}" name="PM 12" dataDxfId="853">
      <calculatedColumnFormula>IF(Games_1112[[#This Row],[SCORE 1]]="","",Games_1112[[#This Row],[SCORE 1]])</calculatedColumnFormula>
    </tableColumn>
    <tableColumn id="13" xr3:uid="{8A70AF99-FD10-0949-852A-E27D0D6DDD1A}" name="PM 34" dataDxfId="852">
      <calculatedColumnFormula>IF(Games_1112[[#This Row],[SCORE 2]]="","",Games_1112[[#This Row],[SCORE 2]])</calculatedColumnFormula>
    </tableColumn>
    <tableColumn id="14" xr3:uid="{49D19CC9-3BE7-824B-BA5B-A24AA530D488}" name="RESULT 12" dataDxfId="851">
      <calculatedColumnFormula>IF(OR(Games_1112[[#This Row],[SCORE 1]]="",Games_1112[[#This Row],[SCORE 2]]=""),"",IF(Games_1112[[#This Row],[SALDO 12]]&gt;0, "WIN","LOSE"))</calculatedColumnFormula>
    </tableColumn>
    <tableColumn id="15" xr3:uid="{DA89168C-D691-DB43-8839-8AA4567FE7A4}" name="RESULT 34" dataDxfId="850">
      <calculatedColumnFormula>IF(OR(Games_1112[[#This Row],[SCORE 1]]="",Games_1112[[#This Row],[SCORE 2]]=""),"",IF(Games_1112[[#This Row],[SALDO 34]]&gt;0, "WIN","LOSE"))</calculatedColumnFormula>
    </tableColumn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769DF37-78D7-534F-A929-0830E857A873}" name="Analysis_2213" displayName="Analysis_2213" ref="A19:H24" totalsRowShown="0" headerRowDxfId="849" dataDxfId="848" headerRowBorderDxfId="846" tableBorderDxfId="847" totalsRowBorderDxfId="845">
  <autoFilter ref="A19:H24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0:G24">
    <sortCondition descending="1" ref="D20:D24"/>
    <sortCondition descending="1" ref="E20:E24"/>
    <sortCondition descending="1" ref="F20:F24"/>
  </sortState>
  <tableColumns count="8">
    <tableColumn id="7" xr3:uid="{5998E4DF-54CD-FA43-A4A4-62BDBC66F67E}" name="Group" dataDxfId="844"/>
    <tableColumn id="1" xr3:uid="{DF2AD3B9-A382-AF46-891D-8A93D9D29A3F}" name="Atheletes " dataDxfId="843"/>
    <tableColumn id="8" xr3:uid="{2A32066E-0C06-1944-B733-09C613160B3F}" name="WIN" dataDxfId="842">
      <calculatedColumnFormula>SUM(COUNTIFS(Games_1112[ATHLETE 1],Analysis_2213[[#This Row],[Atheletes ]],Games_1112[RESULT 12],"win"),COUNTIFS(Games_1112[ATHLETE 2],Analysis_2213[[#This Row],[Atheletes ]],Games_1112[RESULT 12],"win"),COUNTIFS(Games_1112[ATHLETE 3],Analysis_2213[[#This Row],[Atheletes ]],Games_1112[RESULT 34],"win"),COUNTIFS(Games_1112[ATHLETE 4],Analysis_2213[[#This Row],[Atheletes ]],Games_1112[RESULT 34],"win"))</calculatedColumnFormula>
    </tableColumn>
    <tableColumn id="5" xr3:uid="{B8BEB21F-D81C-D84F-8C39-8B274C0687BB}" name="LOSE" dataDxfId="841">
      <calculatedColumnFormula>SUM(COUNTIFS(Games_1112[ATHLETE 1],Analysis_2213[[#This Row],[Atheletes ]],Games_1112[RESULT 12],"lose"),COUNTIFS(Games_1112[ATHLETE 2],Analysis_2213[[#This Row],[Atheletes ]],Games_1112[RESULT 12],"lose"),COUNTIFS(Games_1112[ATHLETE 3],Analysis_2213[[#This Row],[Atheletes ]],Games_1112[RESULT 34],"lose"),COUNTIFS(Games_1112[ATHLETE 4],Analysis_2213[[#This Row],[Atheletes ]],Games_1112[RESULT 34],"lose"))</calculatedColumnFormula>
    </tableColumn>
    <tableColumn id="3" xr3:uid="{1DCFDAE6-0A8A-7940-8492-A4CE52D5338D}" name="Saldo" dataDxfId="840">
      <calculatedColumnFormula>SUM(SUMIF(Games_1112[ATHLETE 1],Analysis_2213[[#This Row],[Atheletes ]],Games_1112[SALDO 12]),SUMIF(Games_1112[ATHLETE 2],Analysis_2213[[#This Row],[Atheletes ]],Games_1112[SALDO 12]),SUMIF(Games_1112[ATHLETE 3],Analysis_2213[[#This Row],[Atheletes ]],Games_1112[SALDO 34]),SUMIF(Games_1112[ATHLETE 4],Analysis_2213[[#This Row],[Atheletes ]],Games_1112[SALDO 34]))</calculatedColumnFormula>
    </tableColumn>
    <tableColumn id="4" xr3:uid="{9AB00B45-D746-FF44-A3F2-88541C6EEA5E}" name="PM" dataDxfId="839">
      <calculatedColumnFormula>SUM(SUMIF(Games_1112[ATHLETE 1],Analysis_2213[[#This Row],[Atheletes ]],Games_1112[PM 12]),SUMIF(Games_1112[ATHLETE 2],Analysis_2213[[#This Row],[Atheletes ]],Games_1112[PM 12]),SUMIF(Games_1112[ATHLETE 3],Analysis_2213[[#This Row],[Atheletes ]],Games_1112[PM 34]),SUMIF(Games_1112[ATHLETE 4],Analysis_2213[[#This Row],[Atheletes ]],Games_1112[PM 34]))</calculatedColumnFormula>
    </tableColumn>
    <tableColumn id="6" xr3:uid="{D7D80488-8F5B-534D-9927-4AE3B1F15B3E}" name="Rank" dataDxfId="838">
      <calculatedColumnFormula>IF(COUNTBLANK(Games_1112[[SCORE 1]:[SCORE 2]])=0,IF(RANK(H20,$H$20:$H$24)=1,RANK(H20,$H$20:$H$24)&amp;"st",IF(RANK(H20,$H$20:$H$24)=2,RANK(H20,$H$20:$H$24)&amp;"nd",IF(RANK(H20,$H$20:$H$24)=3,RANK(H20,$H$20:$H$24)&amp;"rd",RANK(H20,$H$20:$H$24)&amp;"th"))),"")</calculatedColumnFormula>
    </tableColumn>
    <tableColumn id="2" xr3:uid="{26353FF7-D34F-D548-AE18-5951FD83CF01}" name="Rank Support" dataDxfId="837">
      <calculatedColumnFormula>Analysis_2213[[#This Row],[WIN]]*1000000+Analysis_2213[[#This Row],[Saldo]]*1000+Analysis_2213[[#This Row],[PM]]</calculatedColumnFormula>
    </tableColumn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6767149-BD86-1944-846A-BD4D7D84CE5B}" name="Analsyis_2314" displayName="Analsyis_2314" ref="A26:H31" totalsRowShown="0" headerRowDxfId="836" dataDxfId="835" headerRowBorderDxfId="833" tableBorderDxfId="834" totalsRowBorderDxfId="832">
  <autoFilter ref="A26:H31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7:G31">
    <sortCondition descending="1" ref="D27:D31"/>
    <sortCondition descending="1" ref="E27:E31"/>
    <sortCondition descending="1" ref="F27:F31"/>
  </sortState>
  <tableColumns count="8">
    <tableColumn id="1" xr3:uid="{9EA45761-E2BC-0148-BB06-A7B2DAC9E24F}" name="Group" dataDxfId="831"/>
    <tableColumn id="2" xr3:uid="{A936F031-6873-B34E-8F01-CFDE1E381186}" name="Atheletes " dataDxfId="830"/>
    <tableColumn id="7" xr3:uid="{8B4A146F-D8F8-C540-B6B4-E7A09BAA7F9C}" name="WIN" dataDxfId="829">
      <calculatedColumnFormula>SUM(COUNTIFS(Games_1112[ATHLETE 1],Analsyis_2314[[#This Row],[Atheletes ]],Games_1112[RESULT 12],"win"),COUNTIFS(Games_1112[ATHLETE 2],Analsyis_2314[[#This Row],[Atheletes ]],Games_1112[RESULT 12],"win"),COUNTIFS(Games_1112[ATHLETE 3],Analsyis_2314[[#This Row],[Atheletes ]],Games_1112[RESULT 34],"win"),COUNTIFS(Games_1112[ATHLETE 4],Analsyis_2314[[#This Row],[Atheletes ]],Games_1112[RESULT 34],"win"))</calculatedColumnFormula>
    </tableColumn>
    <tableColumn id="5" xr3:uid="{226C46DB-E155-824E-9216-1945BD72D1DC}" name="LOSE" dataDxfId="828">
      <calculatedColumnFormula>SUM(COUNTIFS(Games_1112[ATHLETE 1],Analsyis_2314[[#This Row],[Atheletes ]],Games_1112[RESULT 12],"lose"),COUNTIFS(Games_1112[ATHLETE 2],Analsyis_2314[[#This Row],[Atheletes ]],Games_1112[RESULT 12],"lose"),COUNTIFS(Games_1112[ATHLETE 3],Analsyis_2314[[#This Row],[Atheletes ]],Games_1112[RESULT 34],"lose"),COUNTIFS(Games_1112[ATHLETE 4],Analsyis_2314[[#This Row],[Atheletes ]],Games_1112[RESULT 34],"lose"))</calculatedColumnFormula>
    </tableColumn>
    <tableColumn id="3" xr3:uid="{F610AAA1-183A-D043-BF1F-D04BE70D2D6F}" name="Saldo" dataDxfId="827">
      <calculatedColumnFormula>SUM(SUMIF(Games_1112[ATHLETE 1],Analsyis_2314[[#This Row],[Atheletes ]],Games_1112[SALDO 12]),SUMIF(Games_1112[ATHLETE 2],Analsyis_2314[[#This Row],[Atheletes ]],Games_1112[SALDO 12]),SUMIF(Games_1112[ATHLETE 3],Analsyis_2314[[#This Row],[Atheletes ]],Games_1112[SALDO 34]),SUMIF(Games_1112[ATHLETE 4],Analsyis_2314[[#This Row],[Atheletes ]],Games_1112[SALDO 34]))</calculatedColumnFormula>
    </tableColumn>
    <tableColumn id="4" xr3:uid="{B84D98BF-3051-E74F-ABFD-382BD1CE18FE}" name="PM" dataDxfId="826">
      <calculatedColumnFormula>SUM(SUMIF(Games_1112[ATHLETE 1],Analsyis_2314[[#This Row],[Atheletes ]],Games_1112[PM 12]),SUMIF(Games_1112[ATHLETE 2],Analsyis_2314[[#This Row],[Atheletes ]],Games_1112[PM 12]),SUMIF(Games_1112[ATHLETE 3],Analsyis_2314[[#This Row],[Atheletes ]],Games_1112[PM 34]),SUMIF(Games_1112[ATHLETE 4],Analsyis_2314[[#This Row],[Atheletes ]],Games_1112[PM 34]))</calculatedColumnFormula>
    </tableColumn>
    <tableColumn id="6" xr3:uid="{0886F183-D7CA-8A42-A7B0-1D52B293EE61}" name="Rank" dataDxfId="825">
      <calculatedColumnFormula>IF(COUNTBLANK(Games_1112[[SCORE 1]:[SCORE 2]])=0,IF(RANK(H27,$H$27:$H$31)=1,RANK(H27,$H$27:$H$31)&amp;"st",IF(RANK(H27,$H$27:$H$31)=2,RANK(H27,$H$27:$H$31)&amp;"nd",IF(RANK(H27,$H$27:$H$31)=3,RANK(H27,$H$27:$H$31)&amp;"rd",RANK(H27,$H$27:$H$31)&amp;"th"))),"")</calculatedColumnFormula>
    </tableColumn>
    <tableColumn id="8" xr3:uid="{94F8DEED-1C7B-C341-B079-119F79B43468}" name="Rank Support" dataDxfId="824">
      <calculatedColumnFormula>Analsyis_2314[[#This Row],[WIN]]*1000000+Analsyis_2314[[#This Row],[Saldo]]*1000+Analsyis_2314[[#This Row],[PM]]</calculatedColumnFormula>
    </tableColumn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763AC2D-FAB9-C148-A615-0F55B8A10CB0}" name="Table1572235446678468111215" displayName="Table1572235446678468111215" ref="S2:T17" totalsRowShown="0" headerRowDxfId="823" headerRowBorderDxfId="821" tableBorderDxfId="822">
  <autoFilter ref="S2:T17" xr:uid="{908C589F-0CD0-4EFE-993D-5B2ECC06D04A}">
    <filterColumn colId="0" hiddenButton="1"/>
    <filterColumn colId="1" hiddenButton="1"/>
  </autoFilter>
  <tableColumns count="2">
    <tableColumn id="1" xr3:uid="{49F7E0FD-2F04-3541-8766-06F4F997E0A4}" name="Athlete" dataDxfId="820"/>
    <tableColumn id="2" xr3:uid="{21A61451-11C3-E44D-9ED6-0C65983FD64C}" name="Rank" dataDxfId="819"/>
  </tableColumns>
  <tableStyleInfo name="TableStyleMedium2" showFirstColumn="1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CEE8B58-B2FA-FC4F-B32D-7EAE75B30F11}" name="Analysis_2416" displayName="Analysis_2416" ref="A33:H38" totalsRowShown="0" headerRowDxfId="818" dataDxfId="817" headerRowBorderDxfId="815" tableBorderDxfId="816" totalsRowBorderDxfId="814">
  <autoFilter ref="A33:H38" xr:uid="{A6EBCCC8-7711-F647-8E13-2AAA9CEE4D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34:G38">
    <sortCondition descending="1" ref="D27:D31"/>
    <sortCondition descending="1" ref="E27:E31"/>
    <sortCondition descending="1" ref="F27:F31"/>
  </sortState>
  <tableColumns count="8">
    <tableColumn id="1" xr3:uid="{0CAB7E6F-4D09-644E-B6CF-2A1DACBA77B6}" name="Group" dataDxfId="813"/>
    <tableColumn id="2" xr3:uid="{74913FCF-B894-A643-B48C-F75F4E8302C7}" name="Atheletes " dataDxfId="812"/>
    <tableColumn id="7" xr3:uid="{449D35A8-1B8B-8340-9C3D-6D2F08209D19}" name="WIN" dataDxfId="811">
      <calculatedColumnFormula>SUM(COUNTIFS(Games_1112[ATHLETE 1],Analysis_2416[[#This Row],[Atheletes ]],Games_1112[RESULT 12],"win"),COUNTIFS(Games_1112[ATHLETE 2],Analysis_2416[[#This Row],[Atheletes ]],Games_1112[RESULT 12],"win"),COUNTIFS(Games_1112[ATHLETE 3],Analysis_2416[[#This Row],[Atheletes ]],Games_1112[RESULT 34],"win"),COUNTIFS(Games_1112[ATHLETE 4],Analysis_2416[[#This Row],[Atheletes ]],Games_1112[RESULT 34],"win"))</calculatedColumnFormula>
    </tableColumn>
    <tableColumn id="5" xr3:uid="{40139FB6-DD1E-CE4E-B817-363E3E867D88}" name="LOSE" dataDxfId="810">
      <calculatedColumnFormula>SUM(COUNTIFS(Games_1112[ATHLETE 1],Analysis_2416[[#This Row],[Atheletes ]],Games_1112[RESULT 12],"lose"),COUNTIFS(Games_1112[ATHLETE 2],Analysis_2416[[#This Row],[Atheletes ]],Games_1112[RESULT 12],"lose"),COUNTIFS(Games_1112[ATHLETE 3],Analysis_2416[[#This Row],[Atheletes ]],Games_1112[RESULT 34],"lose"),COUNTIFS(Games_1112[ATHLETE 4],Analysis_2416[[#This Row],[Atheletes ]],Games_1112[RESULT 34],"lose"))</calculatedColumnFormula>
    </tableColumn>
    <tableColumn id="3" xr3:uid="{0EC1C6F6-D1E1-FC4D-9618-72B7ADFC5A96}" name="Saldo" dataDxfId="809">
      <calculatedColumnFormula>SUM(SUMIF(Games_1112[ATHLETE 1],Analysis_2416[[#This Row],[Atheletes ]],Games_1112[SALDO 12]),SUMIF(Games_1112[ATHLETE 2],Analysis_2416[[#This Row],[Atheletes ]],Games_1112[SALDO 12]),SUMIF(Games_1112[ATHLETE 3],Analysis_2416[[#This Row],[Atheletes ]],Games_1112[SALDO 34]),SUMIF(Games_1112[ATHLETE 4],Analysis_2416[[#This Row],[Atheletes ]],Games_1112[SALDO 34]))</calculatedColumnFormula>
    </tableColumn>
    <tableColumn id="4" xr3:uid="{EA15873F-0B6A-464E-BC73-61C081AEA796}" name="PM" dataDxfId="808">
      <calculatedColumnFormula>SUM(SUMIF(Games_1112[ATHLETE 1],Analysis_2416[[#This Row],[Atheletes ]],Games_1112[PM 12]),SUMIF(Games_1112[ATHLETE 2],Analysis_2416[[#This Row],[Atheletes ]],Games_1112[PM 12]),SUMIF(Games_1112[ATHLETE 3],Analysis_2416[[#This Row],[Atheletes ]],Games_1112[PM 34]),SUMIF(Games_1112[ATHLETE 4],Analysis_2416[[#This Row],[Atheletes ]],Games_1112[PM 34]))</calculatedColumnFormula>
    </tableColumn>
    <tableColumn id="6" xr3:uid="{1BB8F782-7C50-DB4E-ABF5-A1DCD8054DD6}" name="Rank" dataDxfId="807">
      <calculatedColumnFormula>IF(COUNTBLANK(Games_1112[[SCORE 1]:[SCORE 2]])=0,IF(RANK(H34,$H$34:$H$38)=1,RANK(H34,$H$34:$H$38)&amp;"st",IF(RANK(H34,$H$34:$H$38)=2,RANK(H34,$H$34:$H$38)&amp;"nd",IF(RANK(H34,$H$34:$H$38)=3,RANK(H34,$H$34:$H$38)&amp;"rd",RANK(H34,$H$34:$H$38)&amp;"th"))),"")</calculatedColumnFormula>
    </tableColumn>
    <tableColumn id="8" xr3:uid="{C8554D42-01DC-5C4E-B0CE-24758C83A0AD}" name="Rank Support" dataDxfId="806">
      <calculatedColumnFormula>Analysis_2416[[#This Row],[WIN]]*1000000+Analysis_2416[[#This Row],[Saldo]]*1000+Analysis_2416[[#This Row],[PM]]</calculatedColumnFormula>
    </tableColumn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AB589EB-E2EC-7A46-95BF-A6D07F790821}" name="Games_4" displayName="Games_4" ref="B1:R13" totalsRowShown="0" headerRowDxfId="805" dataDxfId="804" headerRowBorderDxfId="802" tableBorderDxfId="803" totalsRowBorderDxfId="801">
  <autoFilter ref="B1:R13" xr:uid="{C79D687B-AEB2-42F8-B262-AEDE9265CB48}"/>
  <tableColumns count="17">
    <tableColumn id="3" xr3:uid="{19D9CBA6-DDF9-CD42-BD1D-574CD119F388}" name="GROUP" dataDxfId="800"/>
    <tableColumn id="4" xr3:uid="{467403E9-4E7D-924B-9693-F45ABA9ADFDC}" name="ATHLETE 1" dataDxfId="799"/>
    <tableColumn id="5" xr3:uid="{47797BA5-70C3-9A49-BC23-7AEEF632F05F}" name="ATHLETE 2" dataDxfId="798"/>
    <tableColumn id="8" xr3:uid="{6683DA36-57C4-CD43-813C-4C32A2A7EA2C}" name="SCORE 1" dataDxfId="797"/>
    <tableColumn id="9" xr3:uid="{0F61CFEE-70A6-344A-B222-C77BE0C38BD9}" name="SCORE 2" dataDxfId="796"/>
    <tableColumn id="6" xr3:uid="{BF200EC3-9DCE-0643-89D3-3D7DD6F31014}" name="ATHLETE 3" dataDxfId="795"/>
    <tableColumn id="17" xr3:uid="{7C4A1606-5C8A-E742-BDDE-A0384B7EDC95}" name="X" dataDxfId="794"/>
    <tableColumn id="16" xr3:uid="{C88A8997-C98A-124B-9BB6-C01E73338A87}" name="Y" dataDxfId="793"/>
    <tableColumn id="2" xr3:uid="{EC3B4098-8154-FB46-8CDA-CE3933161DBC}" name="Z" dataDxfId="792"/>
    <tableColumn id="1" xr3:uid="{5EAA896B-8AC5-F945-8F61-F2E34836B34B}" name="A" dataDxfId="791"/>
    <tableColumn id="7" xr3:uid="{95707E62-608E-5549-BA27-4E3DA8160DBA}" name="ATHLETE 4" dataDxfId="790"/>
    <tableColumn id="10" xr3:uid="{9DA397C2-FC00-3540-B435-FFE3D06DABEE}" name="SALDO 12" dataDxfId="789">
      <calculatedColumnFormula>IF(OR(Games_4[[#This Row],[SCORE 1]]="",Games_4[[#This Row],[SCORE 2]]=""),"",Games_4[[#This Row],[SCORE 1]]-Games_4[[#This Row],[SCORE 2]])</calculatedColumnFormula>
    </tableColumn>
    <tableColumn id="11" xr3:uid="{56812967-FAF6-6A43-9F47-C1FF70CAC256}" name="SALDO 34" dataDxfId="788">
      <calculatedColumnFormula>IF(OR(Games_4[[#This Row],[SCORE 1]]="",Games_4[[#This Row],[SCORE 2]]=""),"",Games_4[[#This Row],[SCORE 2]]-Games_4[[#This Row],[SCORE 1]])</calculatedColumnFormula>
    </tableColumn>
    <tableColumn id="12" xr3:uid="{B067DA98-C91D-B541-8D7F-AB5E6DB5E1CF}" name="PM 12" dataDxfId="787">
      <calculatedColumnFormula>IF(Games_4[[#This Row],[SCORE 1]]="","",Games_4[[#This Row],[SCORE 1]])</calculatedColumnFormula>
    </tableColumn>
    <tableColumn id="13" xr3:uid="{95554274-9938-A648-A77D-65BC9710AD59}" name="PM 34" dataDxfId="786">
      <calculatedColumnFormula>IF(Games_4[[#This Row],[SCORE 2]]="","",Games_4[[#This Row],[SCORE 2]])</calculatedColumnFormula>
    </tableColumn>
    <tableColumn id="14" xr3:uid="{8DECE543-CAF2-F24E-B1FB-33DFA0F0F7A5}" name="RESULT 12" dataDxfId="785">
      <calculatedColumnFormula>IF(OR(Games_4[[#This Row],[SCORE 1]]="",Games_4[[#This Row],[SCORE 2]]=""),"",IF(Games_4[[#This Row],[SALDO 12]]&gt;0, "WIN","LOSE"))</calculatedColumnFormula>
    </tableColumn>
    <tableColumn id="15" xr3:uid="{71DE3AE7-B110-3B4A-A494-6DB2735A0B5B}" name="RESULT 34" dataDxfId="784">
      <calculatedColumnFormula>IF(OR(Games_4[[#This Row],[SCORE 1]]="",Games_4[[#This Row],[SCORE 2]]=""),"",IF(Games_4[[#This Row],[SALDO 34]]&gt;0, "WIN","LOSE"))</calculatedColumnFormula>
    </tableColumn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B5F975F-06BD-0347-9A54-F779128E32A1}" name="Analysis_9" displayName="Analysis_9" ref="A16:H20" totalsRowShown="0" headerRowDxfId="783" dataDxfId="782" headerRowBorderDxfId="780" tableBorderDxfId="781" totalsRowBorderDxfId="779">
  <autoFilter ref="A16:H20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F808E676-3427-8A4D-9783-03794A5C92BA}" name="Group" dataDxfId="778"/>
    <tableColumn id="1" xr3:uid="{ACEEDE65-20E6-924B-81ED-AE6B545BD86A}" name="Atheletes " dataDxfId="777"/>
    <tableColumn id="8" xr3:uid="{2BC890EF-EA29-7C40-A97B-4DE75806550F}" name="WIN" dataDxfId="776">
      <calculatedColumnFormula>SUM(COUNTIFS(Games_4[ATHLETE 1],Analysis_9[[#This Row],[Atheletes ]],Games_4[RESULT 12],Analysis_9[[#Headers],[WIN]]),COUNTIFS(Games_4[ATHLETE 2],Analysis_9[[#This Row],[Atheletes ]],Games_4[RESULT 12],Analysis_9[[#Headers],[WIN]]),COUNTIFS(Games_4[ATHLETE 3],Analysis_9[[#This Row],[Atheletes ]],Games_4[RESULT 34],Analysis_9[[#Headers],[WIN]]),COUNTIFS(Games_4[ATHLETE 4],Analysis_9[[#This Row],[Atheletes ]],Games_4[RESULT 34],Analysis_9[[#Headers],[WIN]]))</calculatedColumnFormula>
    </tableColumn>
    <tableColumn id="5" xr3:uid="{E515F0F5-08A6-664F-AA0F-1CA77DDF0C7E}" name="LOSE" dataDxfId="775">
      <calculatedColumnFormula>SUM(COUNTIFS(Games_4[ATHLETE 1],Analysis_9[[#This Row],[Atheletes ]],Games_4[RESULT 12],Analysis_9[[#Headers],[LOSE]]),COUNTIFS(Games_4[ATHLETE 2],Analysis_9[[#This Row],[Atheletes ]],Games_4[RESULT 12],Analysis_9[[#Headers],[LOSE]]),COUNTIFS(Games_4[ATHLETE 3],Analysis_9[[#This Row],[Atheletes ]],Games_4[RESULT 34],Analysis_9[[#Headers],[LOSE]]),COUNTIFS(Games_4[ATHLETE 4],Analysis_9[[#This Row],[Atheletes ]],Games_4[RESULT 34],Analysis_9[[#Headers],[LOSE]]))</calculatedColumnFormula>
    </tableColumn>
    <tableColumn id="3" xr3:uid="{416C3576-6CB8-6740-B55B-6B0C1F3CB973}" name="Saldo" dataDxfId="774">
      <calculatedColumnFormula>SUM(SUMIF(Games_4[ATHLETE 1],Analysis_9[[#This Row],[Atheletes ]],Games_4[SALDO 12]),SUMIF(Games_4[ATHLETE 2],Analysis_9[[#This Row],[Atheletes ]],Games_4[SALDO 12]),SUMIF(Games_4[ATHLETE 3],Analysis_9[[#This Row],[Atheletes ]],Games_4[SALDO 34]),SUMIF(Games_4[ATHLETE 4],Analysis_9[[#This Row],[Atheletes ]],Games_4[SALDO 34]))</calculatedColumnFormula>
    </tableColumn>
    <tableColumn id="4" xr3:uid="{501752A9-674F-404F-B38A-6B4AFA76BD72}" name="PM" dataDxfId="773">
      <calculatedColumnFormula>SUM(SUMIF(Games_4[ATHLETE 1],Analysis_9[[#This Row],[Atheletes ]],Games_4[PM 12]),SUMIF(Games_4[ATHLETE 2],Analysis_9[[#This Row],[Atheletes ]],Games_4[PM 12]),SUMIF(Games_4[ATHLETE 3],Analysis_9[[#This Row],[Atheletes ]],Games_4[PM 34]),SUMIF(Games_4[ATHLETE 4],Analysis_9[[#This Row],[Atheletes ]],Games_4[PM 34]))</calculatedColumnFormula>
    </tableColumn>
    <tableColumn id="6" xr3:uid="{CE679145-BE89-F644-B142-D5A68E70B14B}" name="Rank" dataDxfId="772">
      <calculatedColumnFormula>IF(COUNTBLANK(Games_4[[SCORE 1]:[SCORE 2]])=0,IF(RANK(H17,$H$17:$H$20)=1,RANK(H17,$H$17:$H$20)&amp;"st",IF(RANK(H17,$H$17:$H$20)=2,RANK(H17,$H$17:$H$20)&amp;"nd",IF(RANK(H17,$H$17:$H$20)=3,RANK(H17,$H$17:$H$20)&amp;"rd",RANK(H17,$H$17:$H$20)&amp;"th"))),"")</calculatedColumnFormula>
    </tableColumn>
    <tableColumn id="2" xr3:uid="{C7CF7BA1-CDA3-674E-BB0B-ADEE6DC0DC27}" name="Rank support" dataDxfId="771">
      <calculatedColumnFormula>IF(COUNTBLANK(Games_4[[SCORE 1]:[SCORE 2]])=0,Analysis_9[[#This Row],[WIN]]*1000000+Analysis_9[[#This Row],[Saldo]]*1000+Analysis_9[[#This Row],[PM]],"")</calculatedColumnFormula>
    </tableColumn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DF98917-E50B-0248-A1B4-78FF21B213C7}" name="Analysis_10" displayName="Analysis_10" ref="A22:H26" totalsRowShown="0" headerRowDxfId="770" dataDxfId="769" headerRowBorderDxfId="767" tableBorderDxfId="768" totalsRowBorderDxfId="766">
  <autoFilter ref="A22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3:G26">
    <sortCondition descending="1" ref="D23:D26"/>
    <sortCondition descending="1" ref="E23:E26"/>
    <sortCondition descending="1" ref="F23:F26"/>
  </sortState>
  <tableColumns count="8">
    <tableColumn id="1" xr3:uid="{4D302915-FE55-A942-9EBD-14098295FDDF}" name="Group" dataDxfId="765"/>
    <tableColumn id="2" xr3:uid="{7465B9C7-D692-0347-A970-5E8912DBC6E3}" name="Atheletes " dataDxfId="764"/>
    <tableColumn id="7" xr3:uid="{E4D1A28D-2283-D243-B0EF-C578C716A57E}" name="WIN" dataDxfId="763">
      <calculatedColumnFormula>SUM(COUNTIFS(Games_4[ATHLETE 1],Analysis_10[[#This Row],[Atheletes ]],Games_4[RESULT 12],Analysis_9[[#Headers],[WIN]]),COUNTIFS(Games_4[ATHLETE 2],Analysis_10[[#This Row],[Atheletes ]],Games_4[RESULT 12],Analysis_9[[#Headers],[WIN]]),COUNTIFS(Games_4[ATHLETE 3],Analysis_10[[#This Row],[Atheletes ]],Games_4[RESULT 34],Analysis_9[[#Headers],[WIN]]),COUNTIFS(Games_4[ATHLETE 4],Analysis_10[[#This Row],[Atheletes ]],Games_4[RESULT 34],Analysis_9[[#Headers],[WIN]]))</calculatedColumnFormula>
    </tableColumn>
    <tableColumn id="5" xr3:uid="{953A7E6E-47D2-8848-8B60-D1FB734EE405}" name="LOSE" dataDxfId="762">
      <calculatedColumnFormula>SUM(COUNTIFS(Games_4[ATHLETE 1],Analysis_10[[#This Row],[Atheletes ]],Games_4[RESULT 12],Analysis_9[[#Headers],[LOSE]]),COUNTIFS(Games_4[ATHLETE 2],Analysis_10[[#This Row],[Atheletes ]],Games_4[RESULT 12],Analysis_9[[#Headers],[LOSE]]),COUNTIFS(Games_4[ATHLETE 3],Analysis_10[[#This Row],[Atheletes ]],Games_4[RESULT 34],Analysis_9[[#Headers],[LOSE]]),COUNTIFS(Games_4[ATHLETE 4],Analysis_10[[#This Row],[Atheletes ]],Games_4[RESULT 34],Analysis_9[[#Headers],[LOSE]]))</calculatedColumnFormula>
    </tableColumn>
    <tableColumn id="3" xr3:uid="{29B379AC-06D4-F348-A211-5967F19CB4FF}" name="Saldo" dataDxfId="761">
      <calculatedColumnFormula>SUM(SUMIF(Games_4[ATHLETE 1],Analysis_10[[#This Row],[Atheletes ]],Games_4[SALDO 12]),SUMIF(Games_4[ATHLETE 2],Analysis_10[[#This Row],[Atheletes ]],Games_4[SALDO 12]),SUMIF(Games_4[ATHLETE 3],Analysis_10[[#This Row],[Atheletes ]],Games_4[SALDO 34]),SUMIF(Games_4[ATHLETE 4],Analysis_10[[#This Row],[Atheletes ]],Games_4[SALDO 34]))</calculatedColumnFormula>
    </tableColumn>
    <tableColumn id="4" xr3:uid="{AA541699-9B8D-1946-A8B3-6EB1CCB585AF}" name="PM" dataDxfId="760">
      <calculatedColumnFormula>SUM(SUMIF(Games_4[ATHLETE 1],Analysis_10[[#This Row],[Atheletes ]],Games_4[PM 12]),SUMIF(Games_4[ATHLETE 2],Analysis_10[[#This Row],[Atheletes ]],Games_4[PM 12]),SUMIF(Games_4[ATHLETE 3],Analysis_10[[#This Row],[Atheletes ]],Games_4[PM 34]),SUMIF(Games_4[ATHLETE 4],Analysis_10[[#This Row],[Atheletes ]],Games_4[PM 34]))</calculatedColumnFormula>
    </tableColumn>
    <tableColumn id="6" xr3:uid="{92AEDDB1-7701-8D4F-95E8-38E4E7972C49}" name="Rank" dataDxfId="759">
      <calculatedColumnFormula>IF(COUNTBLANK(Games_4[[SCORE 1]:[SCORE 2]])=0,IF(RANK(H23,$H$23:$H$26)=1,RANK(H23,$H$23:$H$26)&amp;"st",IF(RANK(H23,$H$23:$H$26)=2,RANK(H23,$H$23:$H$26)&amp;"nd",IF(RANK(H23,$H$23:$H$26)=3,RANK(H23,$H$23:$H$26)&amp;"rd",RANK(H23,$H$23:$H$26)&amp;"th"))),"")</calculatedColumnFormula>
    </tableColumn>
    <tableColumn id="8" xr3:uid="{F65FFC4E-4A60-AE42-BB17-930CBBAD9281}" name="Rank support" dataDxfId="758">
      <calculatedColumnFormula>IF(COUNTBLANK(Games_4[[SCORE 1]:[SCORE 2]])=0,Analysis_10[[#This Row],[WIN]]*1000000+Analysis_10[[#This Row],[Saldo]]*1000+Analysis_10[[#This Row],[PM]],"")</calculatedColumnFormula>
    </tableColumn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6E2E993-DFB7-2B46-A0C9-F37B4963CC00}" name="Table152028325060729321" displayName="Table152028325060729321" ref="T2:U18" totalsRowShown="0" headerRowDxfId="757" dataDxfId="756" headerRowBorderDxfId="754" tableBorderDxfId="755">
  <autoFilter ref="T2:U18" xr:uid="{908C589F-0CD0-4EFE-993D-5B2ECC06D04A}">
    <filterColumn colId="0" hiddenButton="1"/>
    <filterColumn colId="1" hiddenButton="1"/>
  </autoFilter>
  <tableColumns count="2">
    <tableColumn id="1" xr3:uid="{A44EB42D-9EAD-854E-BC94-0615A136C57A}" name="Athlete" dataDxfId="753"/>
    <tableColumn id="2" xr3:uid="{CC6F700C-994E-C94E-BF38-007C250E77CA}" name="Rank" dataDxfId="752"/>
  </tableColumns>
  <tableStyleInfo name="TableStyleMedium2" showFirstColumn="1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DF50738-810D-2D46-8321-C300A187DA8B}" name="Analysis_11" displayName="Analysis_11" ref="A28:H32" totalsRowShown="0" headerRowDxfId="751" dataDxfId="750" headerRowBorderDxfId="748" tableBorderDxfId="749" totalsRowBorderDxfId="747">
  <autoFilter ref="A28:H32" xr:uid="{C1D8D95A-3D53-41E8-AABC-9D152E7B02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9:G32">
    <sortCondition descending="1" ref="D23:D26"/>
    <sortCondition descending="1" ref="E23:E26"/>
    <sortCondition descending="1" ref="F23:F26"/>
  </sortState>
  <tableColumns count="8">
    <tableColumn id="1" xr3:uid="{92425F0F-5897-6D48-8894-8E07F49A14F1}" name="Group" dataDxfId="746"/>
    <tableColumn id="2" xr3:uid="{F9897DF2-2EE3-C44E-BEB6-4913C5A202CA}" name="Atheletes " dataDxfId="745"/>
    <tableColumn id="7" xr3:uid="{4E1242C3-18F5-0843-95FB-92F2EED5CC86}" name="WIN" dataDxfId="744">
      <calculatedColumnFormula>SUM(COUNTIFS(Games_4[ATHLETE 1],Analysis_11[[#This Row],[Atheletes ]],Games_4[RESULT 12],Analysis_9[[#Headers],[WIN]]),COUNTIFS(Games_4[ATHLETE 2],Analysis_11[[#This Row],[Atheletes ]],Games_4[RESULT 12],Analysis_9[[#Headers],[WIN]]),COUNTIFS(Games_4[ATHLETE 3],Analysis_11[[#This Row],[Atheletes ]],Games_4[RESULT 34],Analysis_9[[#Headers],[WIN]]),COUNTIFS(Games_4[ATHLETE 4],Analysis_11[[#This Row],[Atheletes ]],Games_4[RESULT 34],Analysis_9[[#Headers],[WIN]]))</calculatedColumnFormula>
    </tableColumn>
    <tableColumn id="5" xr3:uid="{30E4B484-42A3-2D4F-806B-20A4F05CF577}" name="LOSE" dataDxfId="743">
      <calculatedColumnFormula>SUM(COUNTIFS(Games_4[ATHLETE 1],Analysis_11[[#This Row],[Atheletes ]],Games_4[RESULT 12],Analysis_9[[#Headers],[LOSE]]),COUNTIFS(Games_4[ATHLETE 2],Analysis_11[[#This Row],[Atheletes ]],Games_4[RESULT 12],Analysis_9[[#Headers],[LOSE]]),COUNTIFS(Games_4[ATHLETE 3],Analysis_11[[#This Row],[Atheletes ]],Games_4[RESULT 34],Analysis_9[[#Headers],[LOSE]]),COUNTIFS(Games_4[ATHLETE 4],Analysis_11[[#This Row],[Atheletes ]],Games_4[RESULT 34],Analysis_9[[#Headers],[LOSE]]))</calculatedColumnFormula>
    </tableColumn>
    <tableColumn id="3" xr3:uid="{B6372DCB-FC40-724C-8E8B-FC56024D5724}" name="Saldo" dataDxfId="742">
      <calculatedColumnFormula>SUM(SUMIF(Games_4[ATHLETE 1],Analysis_11[[#This Row],[Atheletes ]],Games_4[SALDO 12]),SUMIF(Games_4[ATHLETE 2],Analysis_11[[#This Row],[Atheletes ]],Games_4[SALDO 12]),SUMIF(Games_4[ATHLETE 3],Analysis_11[[#This Row],[Atheletes ]],Games_4[SALDO 34]),SUMIF(Games_4[ATHLETE 4],Analysis_11[[#This Row],[Atheletes ]],Games_4[SALDO 34]))</calculatedColumnFormula>
    </tableColumn>
    <tableColumn id="4" xr3:uid="{F846A03B-BA00-E44B-B2D1-62A4B44B6846}" name="PM" dataDxfId="741">
      <calculatedColumnFormula>SUM(SUMIF(Games_4[ATHLETE 1],Analysis_11[[#This Row],[Atheletes ]],Games_4[PM 12]),SUMIF(Games_4[ATHLETE 2],Analysis_11[[#This Row],[Atheletes ]],Games_4[PM 12]),SUMIF(Games_4[ATHLETE 3],Analysis_11[[#This Row],[Atheletes ]],Games_4[PM 34]),SUMIF(Games_4[ATHLETE 4],Analysis_11[[#This Row],[Atheletes ]],Games_4[PM 34]))</calculatedColumnFormula>
    </tableColumn>
    <tableColumn id="6" xr3:uid="{FE54FA98-ABB8-D04B-9691-99CDF208B788}" name="Rank" dataDxfId="740">
      <calculatedColumnFormula>IF(COUNTBLANK(Games_4[[SCORE 1]:[SCORE 2]])=0,IF(RANK(H29,$H$29:$H$32)=1,RANK(H29,$H$29:$H$32)&amp;"st",IF(RANK(H29,$H$29:$H$32)=2,RANK(H29,$H$29:$H$32)&amp;"nd",IF(RANK(H29,$H$29:$H$32)=3,RANK(H29,$H$29:$H$32)&amp;"rd",RANK(H29,$H$29:$H$32)&amp;"th"))),"")</calculatedColumnFormula>
    </tableColumn>
    <tableColumn id="8" xr3:uid="{BE7C044A-BB90-054C-9891-638952F48AD7}" name="Rank support" dataDxfId="739">
      <calculatedColumnFormula>IF(COUNTBLANK(Games_4[[SCORE 1]:[SCORE 2]])=0,Analysis_11[[#This Row],[WIN]]*1000000+Analysis_11[[#This Row],[Saldo]]*1000+Analysis_11[[#This Row],[PM]],"")</calculatedColumnFormula>
    </tableColumn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5348C38-2998-CE49-8B93-3F0716DF3CB7}" name="Analysis_12" displayName="Analysis_12" ref="A34:H38" totalsRowShown="0" headerRowDxfId="738" dataDxfId="737" headerRowBorderDxfId="735" tableBorderDxfId="736" totalsRowBorderDxfId="734">
  <autoFilter ref="A34:H38" xr:uid="{9F4F8760-BA71-124B-B0E6-15798FF188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35:G38">
    <sortCondition descending="1" ref="D23:D26"/>
    <sortCondition descending="1" ref="E23:E26"/>
    <sortCondition descending="1" ref="F23:F26"/>
  </sortState>
  <tableColumns count="8">
    <tableColumn id="1" xr3:uid="{325F9196-AEF4-E14A-9080-187311FCCA54}" name="Group" dataDxfId="733"/>
    <tableColumn id="2" xr3:uid="{8AE92175-0C1A-5B48-8EC6-41812F2BA540}" name="Atheletes " dataDxfId="732"/>
    <tableColumn id="7" xr3:uid="{5206287F-6C36-CB43-9DD8-E64DF83EBAF7}" name="WIN" dataDxfId="731">
      <calculatedColumnFormula>SUM(COUNTIFS(Games_4[ATHLETE 1],Analysis_12[[#This Row],[Atheletes ]],Games_4[RESULT 12],Analysis_9[[#Headers],[WIN]]),COUNTIFS(Games_4[ATHLETE 2],Analysis_12[[#This Row],[Atheletes ]],Games_4[RESULT 12],Analysis_9[[#Headers],[WIN]]),COUNTIFS(Games_4[ATHLETE 3],Analysis_12[[#This Row],[Atheletes ]],Games_4[RESULT 34],Analysis_9[[#Headers],[WIN]]),COUNTIFS(Games_4[ATHLETE 4],Analysis_12[[#This Row],[Atheletes ]],Games_4[RESULT 34],Analysis_9[[#Headers],[WIN]]))</calculatedColumnFormula>
    </tableColumn>
    <tableColumn id="5" xr3:uid="{4E18D16E-F125-EA4F-AB32-268B4ACDA3BD}" name="LOSE" dataDxfId="730">
      <calculatedColumnFormula>SUM(COUNTIFS(Games_4[ATHLETE 1],Analysis_12[[#This Row],[Atheletes ]],Games_4[RESULT 12],Analysis_9[[#Headers],[LOSE]]),COUNTIFS(Games_4[ATHLETE 2],Analysis_12[[#This Row],[Atheletes ]],Games_4[RESULT 12],Analysis_9[[#Headers],[LOSE]]),COUNTIFS(Games_4[ATHLETE 3],Analysis_12[[#This Row],[Atheletes ]],Games_4[RESULT 34],Analysis_9[[#Headers],[LOSE]]),COUNTIFS(Games_4[ATHLETE 4],Analysis_12[[#This Row],[Atheletes ]],Games_4[RESULT 34],Analysis_9[[#Headers],[LOSE]]))</calculatedColumnFormula>
    </tableColumn>
    <tableColumn id="3" xr3:uid="{2CF474BB-90F8-A348-AC1D-5CFE0895690C}" name="Saldo" dataDxfId="729">
      <calculatedColumnFormula>SUM(SUMIF(Games_4[ATHLETE 1],Analysis_12[[#This Row],[Atheletes ]],Games_4[SALDO 12]),SUMIF(Games_4[ATHLETE 2],Analysis_12[[#This Row],[Atheletes ]],Games_4[SALDO 12]),SUMIF(Games_4[ATHLETE 3],Analysis_12[[#This Row],[Atheletes ]],Games_4[SALDO 34]),SUMIF(Games_4[ATHLETE 4],Analysis_12[[#This Row],[Atheletes ]],Games_4[SALDO 34]))</calculatedColumnFormula>
    </tableColumn>
    <tableColumn id="4" xr3:uid="{047D229A-8CD4-AB4E-AB5C-5D060E4F73A5}" name="PM" dataDxfId="728">
      <calculatedColumnFormula>SUM(SUMIF(Games_4[ATHLETE 1],Analysis_12[[#This Row],[Atheletes ]],Games_4[PM 12]),SUMIF(Games_4[ATHLETE 2],Analysis_12[[#This Row],[Atheletes ]],Games_4[PM 12]),SUMIF(Games_4[ATHLETE 3],Analysis_12[[#This Row],[Atheletes ]],Games_4[PM 34]),SUMIF(Games_4[ATHLETE 4],Analysis_12[[#This Row],[Atheletes ]],Games_4[PM 34]))</calculatedColumnFormula>
    </tableColumn>
    <tableColumn id="6" xr3:uid="{E3426162-5AC5-544A-87BE-0F669E042257}" name="Rank" dataDxfId="727">
      <calculatedColumnFormula>IF(COUNTBLANK(Games_4[[SCORE 1]:[SCORE 2]])=0,IF(RANK(H35,$H$35:$H$38)=1,RANK(H35,$H$35:$H$38)&amp;"st",IF(RANK(H35,$H$35:$H$38)=2,RANK(H35,$H$35:$H$38)&amp;"nd",IF(RANK(H35,$H$35:$H$38)=3,RANK(H35,$H$35:$H$38)&amp;"rd",RANK(H35,$H$35:$H$38)&amp;"th"))),"")</calculatedColumnFormula>
    </tableColumn>
    <tableColumn id="8" xr3:uid="{4373A418-706F-CD4D-9454-F96451EE42B6}" name="Rank support" dataDxfId="726">
      <calculatedColumnFormula>IF(COUNTBLANK(Games_4[[SCORE 1]:[SCORE 2]])=0,Analysis_12[[#This Row],[WIN]]*1000000+Analysis_12[[#This Row],[Saldo]]*1000+Analysis_12[[#This Row],[PM]],"")</calculatedColumnFormula>
    </tableColumn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57360276-78A9-7945-9F0A-CCE12E6481C8}" name="Games_3" displayName="Games_3" ref="B1:R13" totalsRowShown="0" headerRowDxfId="725" dataDxfId="724" headerRowBorderDxfId="722" tableBorderDxfId="723" totalsRowBorderDxfId="721">
  <autoFilter ref="B1:R13" xr:uid="{C79D687B-AEB2-42F8-B262-AEDE9265CB48}"/>
  <tableColumns count="17">
    <tableColumn id="3" xr3:uid="{6CB2DF03-69B4-A146-B188-8AF85453DA40}" name="GROUP" dataDxfId="720"/>
    <tableColumn id="4" xr3:uid="{A34748A2-457B-014A-B3E1-01B92F5F6038}" name="ATHLETE 1" dataDxfId="719"/>
    <tableColumn id="5" xr3:uid="{10FE274C-4504-C64D-806F-0DDB447A16C9}" name="ATHLETE 2" dataDxfId="718"/>
    <tableColumn id="8" xr3:uid="{9333EEDC-12AA-FA4F-BB2C-0FE4B387C93F}" name="SCORE 1" dataDxfId="717"/>
    <tableColumn id="9" xr3:uid="{25FF6760-5006-5242-A6F6-6E89B1E50A2B}" name="SCORE 2" dataDxfId="716"/>
    <tableColumn id="6" xr3:uid="{D1021069-6EB6-9244-8F80-58131164750C}" name="ATHLETE 3" dataDxfId="715"/>
    <tableColumn id="17" xr3:uid="{DA877087-CD23-7F4B-939A-DF7E0304A0DC}" name="X" dataDxfId="714"/>
    <tableColumn id="16" xr3:uid="{CB0BF5E7-F594-D34F-9F88-32E462B62FB2}" name="Y" dataDxfId="713"/>
    <tableColumn id="2" xr3:uid="{FAFEE3B1-587C-AE46-8432-B9B7D35AE03A}" name="Z" dataDxfId="712"/>
    <tableColumn id="1" xr3:uid="{1A472133-D0FE-1B4F-9FC9-8FA3EC3804E7}" name="A" dataDxfId="711"/>
    <tableColumn id="7" xr3:uid="{D7CB314F-6007-B349-BA91-9E44C77CED05}" name="ATHLETE 4" dataDxfId="710"/>
    <tableColumn id="10" xr3:uid="{A13E0A24-A146-7848-8768-B578DE48A19F}" name="SALDO 12" dataDxfId="709">
      <calculatedColumnFormula>IF(OR(Games_3[[#This Row],[SCORE 1]]="",Games_3[[#This Row],[SCORE 2]]=""),"",Games_3[[#This Row],[SCORE 1]]-Games_3[[#This Row],[SCORE 2]])</calculatedColumnFormula>
    </tableColumn>
    <tableColumn id="11" xr3:uid="{FED0F918-AD64-4A4C-91BD-7065211E793E}" name="SALDO 34" dataDxfId="708">
      <calculatedColumnFormula>IF(OR(Games_3[[#This Row],[SCORE 1]]="",Games_3[[#This Row],[SCORE 2]]=""),"",Games_3[[#This Row],[SCORE 2]]-Games_3[[#This Row],[SCORE 1]])</calculatedColumnFormula>
    </tableColumn>
    <tableColumn id="12" xr3:uid="{DA4BA37B-44CB-1940-85F4-3796FDD333DC}" name="PM 12" dataDxfId="707">
      <calculatedColumnFormula>IF(Games_3[[#This Row],[SCORE 1]]="","",Games_3[[#This Row],[SCORE 1]])</calculatedColumnFormula>
    </tableColumn>
    <tableColumn id="13" xr3:uid="{CB5E8E3C-1B8F-094B-960B-741397E4DD31}" name="PM 34" dataDxfId="706">
      <calculatedColumnFormula>IF(Games_3[[#This Row],[SCORE 2]]="","",Games_3[[#This Row],[SCORE 2]])</calculatedColumnFormula>
    </tableColumn>
    <tableColumn id="14" xr3:uid="{C6AE0B3C-D7C9-8647-B819-23F1E7CB747C}" name="RESULT 12" dataDxfId="705">
      <calculatedColumnFormula>IF(OR(Games_3[[#This Row],[SCORE 1]]="",Games_3[[#This Row],[SCORE 2]]=""),"",IF(Games_3[[#This Row],[SALDO 12]]&gt;0, "WIN","LOSE"))</calculatedColumnFormula>
    </tableColumn>
    <tableColumn id="15" xr3:uid="{9582C91A-C54B-4140-8AE4-4BCA6B834E47}" name="RESULT 34" dataDxfId="704">
      <calculatedColumnFormula>IF(OR(Games_3[[#This Row],[SCORE 1]]="",Games_3[[#This Row],[SCORE 2]]=""),"",IF(Games_3[[#This Row],[SALDO 34]]&gt;0, "WIN","LOSE"))</calculatedColumnFormula>
    </tableColumn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182F3C23-2D23-C648-9304-1075BEF6945B}" name="Analysis_5" displayName="Analysis_5" ref="A16:H20" totalsRowShown="0" headerRowDxfId="703" dataDxfId="702" headerRowBorderDxfId="700" tableBorderDxfId="701" totalsRowBorderDxfId="699">
  <autoFilter ref="A16:H20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A6530E5C-56C0-9A46-968C-6DB283BA2C11}" name="Group" dataDxfId="698"/>
    <tableColumn id="1" xr3:uid="{0760D44E-F134-424A-A955-9D2EED4D9B45}" name="Atheletes " dataDxfId="697"/>
    <tableColumn id="8" xr3:uid="{DFAA2552-FFAE-A34E-A54C-3461587CB210}" name="WIN" dataDxfId="696">
      <calculatedColumnFormula>SUM(COUNTIFS(Games_3[ATHLETE 1],Analysis_5[[#This Row],[Atheletes ]],Games_3[RESULT 12],Analysis_5[[#Headers],[WIN]]),COUNTIFS(Games_3[ATHLETE 2],Analysis_5[[#This Row],[Atheletes ]],Games_3[RESULT 12],Analysis_5[[#Headers],[WIN]]),COUNTIFS(Games_3[ATHLETE 3],Analysis_5[[#This Row],[Atheletes ]],Games_3[RESULT 34],Analysis_5[[#Headers],[WIN]]),COUNTIFS(Games_3[ATHLETE 4],Analysis_5[[#This Row],[Atheletes ]],Games_3[RESULT 34],Analysis_5[[#Headers],[WIN]]))</calculatedColumnFormula>
    </tableColumn>
    <tableColumn id="5" xr3:uid="{02161D56-4C87-0B43-B53D-5F966F3785F1}" name="LOSE" dataDxfId="695">
      <calculatedColumnFormula>SUM(COUNTIFS(Games_3[ATHLETE 1],Analysis_5[[#This Row],[Atheletes ]],Games_3[RESULT 12],Analysis_5[[#Headers],[LOSE]]),COUNTIFS(Games_3[ATHLETE 2],Analysis_5[[#This Row],[Atheletes ]],Games_3[RESULT 12],Analysis_5[[#Headers],[LOSE]]),COUNTIFS(Games_3[ATHLETE 3],Analysis_5[[#This Row],[Atheletes ]],Games_3[RESULT 34],Analysis_5[[#Headers],[LOSE]]),COUNTIFS(Games_3[ATHLETE 4],Analysis_5[[#This Row],[Atheletes ]],Games_3[RESULT 34],Analysis_5[[#Headers],[LOSE]]))</calculatedColumnFormula>
    </tableColumn>
    <tableColumn id="3" xr3:uid="{3DFDB038-7D20-AD42-81F3-B328B05953E6}" name="Saldo" dataDxfId="694">
      <calculatedColumnFormula>SUM(SUMIF(Games_3[ATHLETE 1],Analysis_5[[#This Row],[Atheletes ]],Games_3[SALDO 12]),SUMIF(Games_3[ATHLETE 2],Analysis_5[[#This Row],[Atheletes ]],Games_3[SALDO 12]),SUMIF(Games_3[ATHLETE 3],Analysis_5[[#This Row],[Atheletes ]],Games_3[SALDO 34]),SUMIF(Games_3[ATHLETE 4],Analysis_5[[#This Row],[Atheletes ]],Games_3[SALDO 34]))</calculatedColumnFormula>
    </tableColumn>
    <tableColumn id="4" xr3:uid="{DF69632A-34E4-F243-A47C-6FDA013FA234}" name="PM" dataDxfId="693">
      <calculatedColumnFormula>SUM(SUMIF(Games_3[ATHLETE 1],Analysis_5[[#This Row],[Atheletes ]],Games_3[PM 12]),SUMIF(Games_3[ATHLETE 2],Analysis_5[[#This Row],[Atheletes ]],Games_3[PM 12]),SUMIF(Games_3[ATHLETE 3],Analysis_5[[#This Row],[Atheletes ]],Games_3[PM 34]),SUMIF(Games_3[ATHLETE 4],Analysis_5[[#This Row],[Atheletes ]],Games_3[PM 34]))</calculatedColumnFormula>
    </tableColumn>
    <tableColumn id="6" xr3:uid="{97375EDE-2161-7C43-8E7F-5E76BA676E09}" name="Rank" dataDxfId="692">
      <calculatedColumnFormula>IF(COUNTBLANK(Games_3[[SCORE 1]:[SCORE 2]])=0,IF(RANK(H17,$H$17:$H$20)=1,RANK(H17,$H$17:$H$20)&amp;"st",IF(RANK(H17,$H$17:$H$20)=2,RANK(H17,$H$17:$H$20)&amp;"nd",IF(RANK(H17,$H$17:$H$20)=3,RANK(H17,$H$17:$H$20)&amp;"rd",RANK(H17,$H$17:$H$20)&amp;"th"))),"")</calculatedColumnFormula>
    </tableColumn>
    <tableColumn id="2" xr3:uid="{AF8800A1-70A2-F149-B1B2-AEBADD2E9545}" name="Rank support" dataDxfId="691">
      <calculatedColumnFormula>Analysis_5[[#This Row],[WIN]]*1000000+Analysis_5[[#This Row],[Saldo]]*1000+Analysis_5[[#This Row],[PM]]</calculatedColumnFormula>
    </tableColumn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36F1623E-9250-5943-9D10-221DFE5338A3}" name="Analysis_6" displayName="Analysis_6" ref="A22:H26" totalsRowShown="0" headerRowDxfId="690" dataDxfId="689" headerRowBorderDxfId="687" tableBorderDxfId="688" totalsRowBorderDxfId="686">
  <autoFilter ref="A22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3:G26">
    <sortCondition descending="1" ref="D23:D26"/>
    <sortCondition descending="1" ref="E23:E26"/>
    <sortCondition descending="1" ref="F23:F26"/>
  </sortState>
  <tableColumns count="8">
    <tableColumn id="1" xr3:uid="{F5BDC037-C71D-AC44-8152-225F0908CC0C}" name="Group" dataDxfId="685"/>
    <tableColumn id="2" xr3:uid="{C1F1D510-5D3C-8549-A62B-A46EC56AC6CB}" name="Atheletes " dataDxfId="684"/>
    <tableColumn id="7" xr3:uid="{37B438BC-D5CA-8A45-80E9-898C970692D8}" name="WIN" dataDxfId="683">
      <calculatedColumnFormula>SUM(COUNTIFS(Games_3[ATHLETE 1],Analysis_6[[#This Row],[Atheletes ]],Games_3[RESULT 12],Analysis_5[[#Headers],[WIN]]),COUNTIFS(Games_3[ATHLETE 2],Analysis_6[[#This Row],[Atheletes ]],Games_3[RESULT 12],Analysis_5[[#Headers],[WIN]]),COUNTIFS(Games_3[ATHLETE 3],Analysis_6[[#This Row],[Atheletes ]],Games_3[RESULT 34],Analysis_5[[#Headers],[WIN]]),COUNTIFS(Games_3[ATHLETE 4],Analysis_6[[#This Row],[Atheletes ]],Games_3[RESULT 34],Analysis_5[[#Headers],[WIN]]))</calculatedColumnFormula>
    </tableColumn>
    <tableColumn id="5" xr3:uid="{DA05AB39-57A3-EA42-9C9E-08BDBB4EDEE8}" name="LOSE" dataDxfId="682">
      <calculatedColumnFormula>SUM(COUNTIFS(Games_3[ATHLETE 1],Analysis_6[[#This Row],[Atheletes ]],Games_3[RESULT 12],Analysis_5[[#Headers],[LOSE]]),COUNTIFS(Games_3[ATHLETE 2],Analysis_6[[#This Row],[Atheletes ]],Games_3[RESULT 12],Analysis_5[[#Headers],[LOSE]]),COUNTIFS(Games_3[ATHLETE 3],Analysis_6[[#This Row],[Atheletes ]],Games_3[RESULT 34],Analysis_5[[#Headers],[LOSE]]),COUNTIFS(Games_3[ATHLETE 4],Analysis_6[[#This Row],[Atheletes ]],Games_3[RESULT 34],Analysis_5[[#Headers],[LOSE]]))</calculatedColumnFormula>
    </tableColumn>
    <tableColumn id="3" xr3:uid="{E0778DF0-786E-DA41-A7D9-B9F6A62DC341}" name="Saldo" dataDxfId="681">
      <calculatedColumnFormula>SUM(SUMIF(Games_3[ATHLETE 1],Analysis_6[[#This Row],[Atheletes ]],Games_3[SALDO 12]),SUMIF(Games_3[ATHLETE 2],Analysis_6[[#This Row],[Atheletes ]],Games_3[SALDO 12]),SUMIF(Games_3[ATHLETE 3],Analysis_6[[#This Row],[Atheletes ]],Games_3[SALDO 34]),SUMIF(Games_3[ATHLETE 4],Analysis_6[[#This Row],[Atheletes ]],Games_3[SALDO 34]))</calculatedColumnFormula>
    </tableColumn>
    <tableColumn id="4" xr3:uid="{AF8AA874-AB9A-9A43-9CA1-32DED80E5DB2}" name="PM" dataDxfId="680">
      <calculatedColumnFormula>SUM(SUMIF(Games_3[ATHLETE 1],Analysis_6[[#This Row],[Atheletes ]],Games_3[PM 12]),SUMIF(Games_3[ATHLETE 2],Analysis_6[[#This Row],[Atheletes ]],Games_3[PM 12]),SUMIF(Games_3[ATHLETE 3],Analysis_6[[#This Row],[Atheletes ]],Games_3[PM 34]),SUMIF(Games_3[ATHLETE 4],Analysis_6[[#This Row],[Atheletes ]],Games_3[PM 34]))</calculatedColumnFormula>
    </tableColumn>
    <tableColumn id="6" xr3:uid="{283434ED-1EBF-2941-B76B-967F2B61493D}" name="Rank" dataDxfId="679">
      <calculatedColumnFormula>IF(COUNTBLANK(Games_3[[SCORE 1]:[SCORE 2]])=0,IF(RANK(H23,$H$23:$H$26)=1,RANK(H23,$H$23:$H$26)&amp;"st",IF(RANK(H23,$H$23:$H$26)=2,RANK(H23,$H$23:$H$26)&amp;"nd",IF(RANK(H23,$H$23:$H$26)=3,RANK(H23,$H$23:$H$26)&amp;"rd",RANK(H23,$H$23:$H$26)&amp;"th"))),"")</calculatedColumnFormula>
    </tableColumn>
    <tableColumn id="8" xr3:uid="{8839AFF9-4FB0-E442-80AE-DD7F97DD48F0}" name="Rank support" dataDxfId="678">
      <calculatedColumnFormula>Analysis_6[[#This Row],[WIN]]*1000000+Analysis_6[[#This Row],[Saldo]]*1000+Analysis_6[[#This Row],[PM]]</calculatedColumnFormula>
    </tableColumn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E078CCC3-8C75-6945-A64F-91AF14C5499C}" name="Table1520283250607293" displayName="Table1520283250607293" ref="T2:U18" totalsRowShown="0" headerRowDxfId="677" dataDxfId="676" headerRowBorderDxfId="674" tableBorderDxfId="675">
  <autoFilter ref="T2:U18" xr:uid="{908C589F-0CD0-4EFE-993D-5B2ECC06D04A}">
    <filterColumn colId="0" hiddenButton="1"/>
    <filterColumn colId="1" hiddenButton="1"/>
  </autoFilter>
  <tableColumns count="2">
    <tableColumn id="1" xr3:uid="{9601A585-0779-4C4E-8C78-AE570638C9F5}" name="Athlete" dataDxfId="673"/>
    <tableColumn id="2" xr3:uid="{8D008412-5AF2-2547-8FD5-874F08433DCB}" name="Rank" dataDxfId="672"/>
  </tableColumns>
  <tableStyleInfo name="TableStyleMedium2" showFirstColumn="1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1E8BF00E-6392-5745-89D0-19410A2EE64E}" name="Analysis_7" displayName="Analysis_7" ref="A28:H32" totalsRowShown="0" headerRowDxfId="671" dataDxfId="670" headerRowBorderDxfId="668" tableBorderDxfId="669" totalsRowBorderDxfId="667">
  <autoFilter ref="A28:H32" xr:uid="{C1D8D95A-3D53-41E8-AABC-9D152E7B02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9:G32">
    <sortCondition descending="1" ref="D23:D26"/>
    <sortCondition descending="1" ref="E23:E26"/>
    <sortCondition descending="1" ref="F23:F26"/>
  </sortState>
  <tableColumns count="8">
    <tableColumn id="1" xr3:uid="{DDB2892E-30CF-934C-B7ED-5060ACFA6257}" name="Group" dataDxfId="666"/>
    <tableColumn id="2" xr3:uid="{72234A2D-5F41-8441-B9AC-56DB76C1E505}" name="Atheletes " dataDxfId="665"/>
    <tableColumn id="7" xr3:uid="{04621B4D-AC25-7846-92A2-E48856A3CDB0}" name="WIN" dataDxfId="664">
      <calculatedColumnFormula>SUM(COUNTIFS(Games_3[ATHLETE 1],Analysis_7[[#This Row],[Atheletes ]],Games_3[RESULT 12],Analysis_5[[#Headers],[WIN]]),COUNTIFS(Games_3[ATHLETE 2],Analysis_7[[#This Row],[Atheletes ]],Games_3[RESULT 12],Analysis_5[[#Headers],[WIN]]),COUNTIFS(Games_3[ATHLETE 3],Analysis_7[[#This Row],[Atheletes ]],Games_3[RESULT 34],Analysis_5[[#Headers],[WIN]]),COUNTIFS(Games_3[ATHLETE 4],Analysis_7[[#This Row],[Atheletes ]],Games_3[RESULT 34],Analysis_5[[#Headers],[WIN]]))</calculatedColumnFormula>
    </tableColumn>
    <tableColumn id="5" xr3:uid="{32889E04-BCC3-804B-833D-109172E8FCB7}" name="LOSE" dataDxfId="663">
      <calculatedColumnFormula>SUM(COUNTIFS(Games_3[ATHLETE 1],Analysis_7[[#This Row],[Atheletes ]],Games_3[RESULT 12],Analysis_5[[#Headers],[LOSE]]),COUNTIFS(Games_3[ATHLETE 2],Analysis_7[[#This Row],[Atheletes ]],Games_3[RESULT 12],Analysis_5[[#Headers],[LOSE]]),COUNTIFS(Games_3[ATHLETE 3],Analysis_7[[#This Row],[Atheletes ]],Games_3[RESULT 34],Analysis_5[[#Headers],[LOSE]]),COUNTIFS(Games_3[ATHLETE 4],Analysis_7[[#This Row],[Atheletes ]],Games_3[RESULT 34],Analysis_5[[#Headers],[LOSE]]))</calculatedColumnFormula>
    </tableColumn>
    <tableColumn id="3" xr3:uid="{90B88EEF-06BB-C34B-BA7C-8521399F542B}" name="Saldo" dataDxfId="662">
      <calculatedColumnFormula>SUM(SUMIF(Games_3[ATHLETE 1],Analysis_7[[#This Row],[Atheletes ]],Games_3[SALDO 12]),SUMIF(Games_3[ATHLETE 2],Analysis_7[[#This Row],[Atheletes ]],Games_3[SALDO 12]),SUMIF(Games_3[ATHLETE 3],Analysis_7[[#This Row],[Atheletes ]],Games_3[SALDO 34]),SUMIF(Games_3[ATHLETE 4],Analysis_7[[#This Row],[Atheletes ]],Games_3[SALDO 34]))</calculatedColumnFormula>
    </tableColumn>
    <tableColumn id="4" xr3:uid="{CC951323-E89D-0E41-8024-103958E60BFC}" name="PM" dataDxfId="661">
      <calculatedColumnFormula>SUM(SUMIF(Games_3[ATHLETE 1],Analysis_7[[#This Row],[Atheletes ]],Games_3[PM 12]),SUMIF(Games_3[ATHLETE 2],Analysis_7[[#This Row],[Atheletes ]],Games_3[PM 12]),SUMIF(Games_3[ATHLETE 3],Analysis_7[[#This Row],[Atheletes ]],Games_3[PM 34]),SUMIF(Games_3[ATHLETE 4],Analysis_7[[#This Row],[Atheletes ]],Games_3[PM 34]))</calculatedColumnFormula>
    </tableColumn>
    <tableColumn id="6" xr3:uid="{CAFFAF17-F8EE-B04F-8AB9-DDC8F3BB8193}" name="Rank" dataDxfId="660">
      <calculatedColumnFormula>IF(COUNTBLANK(Games_3[[SCORE 1]:[SCORE 2]])=0,IF(RANK(H29,$H$29:$H$32)=1,RANK(H29,$H$29:$H$32)&amp;"st",IF(RANK(H29,$H$29:$H$32)=2,RANK(H29,$H$29:$H$32)&amp;"nd",IF(RANK(H29,$H$29:$H$32)=3,RANK(H29,$H$29:$H$32)&amp;"rd",RANK(H29,$H$29:$H$32)&amp;"th"))),"")</calculatedColumnFormula>
    </tableColumn>
    <tableColumn id="8" xr3:uid="{CA26DBE2-91DB-4D4F-8918-FD9ACE38E623}" name="Rank support" dataDxfId="659">
      <calculatedColumnFormula>Analysis_7[[#This Row],[WIN]]*1000000+Analysis_7[[#This Row],[Saldo]]*1000+Analysis_7[[#This Row],[PM]]</calculatedColumnFormula>
    </tableColumn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F4F8760-BA71-124B-B0E6-15798FF188AA}" name="Analysis_8" displayName="Analysis_8" ref="A34:H38" totalsRowShown="0" headerRowDxfId="658" dataDxfId="657" headerRowBorderDxfId="655" tableBorderDxfId="656" totalsRowBorderDxfId="654">
  <autoFilter ref="A34:H38" xr:uid="{9F4F8760-BA71-124B-B0E6-15798FF188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35:G38">
    <sortCondition descending="1" ref="D23:D26"/>
    <sortCondition descending="1" ref="E23:E26"/>
    <sortCondition descending="1" ref="F23:F26"/>
  </sortState>
  <tableColumns count="8">
    <tableColumn id="1" xr3:uid="{F553914E-0015-AA42-B3D9-7D8D4A9EFEB4}" name="Group" dataDxfId="653"/>
    <tableColumn id="2" xr3:uid="{2B3C3BD6-A418-B54F-87C3-4032A787E3C1}" name="Atheletes " dataDxfId="652"/>
    <tableColumn id="7" xr3:uid="{152C15CE-DF15-B446-8A22-9824F566EFE1}" name="WIN" dataDxfId="651">
      <calculatedColumnFormula>SUM(COUNTIFS(Games_3[ATHLETE 1],Analysis_8[[#This Row],[Atheletes ]],Games_3[RESULT 12],Analysis_5[[#Headers],[WIN]]),COUNTIFS(Games_3[ATHLETE 2],Analysis_8[[#This Row],[Atheletes ]],Games_3[RESULT 12],Analysis_5[[#Headers],[WIN]]),COUNTIFS(Games_3[ATHLETE 3],Analysis_8[[#This Row],[Atheletes ]],Games_3[RESULT 34],Analysis_5[[#Headers],[WIN]]),COUNTIFS(Games_3[ATHLETE 4],Analysis_8[[#This Row],[Atheletes ]],Games_3[RESULT 34],Analysis_5[[#Headers],[WIN]]))</calculatedColumnFormula>
    </tableColumn>
    <tableColumn id="5" xr3:uid="{1729CA5C-6D63-044E-9320-7FA243CA1357}" name="LOSE" dataDxfId="650">
      <calculatedColumnFormula>SUM(COUNTIFS(Games_3[ATHLETE 1],Analysis_8[[#This Row],[Atheletes ]],Games_3[RESULT 12],Analysis_5[[#Headers],[LOSE]]),COUNTIFS(Games_3[ATHLETE 2],Analysis_8[[#This Row],[Atheletes ]],Games_3[RESULT 12],Analysis_5[[#Headers],[LOSE]]),COUNTIFS(Games_3[ATHLETE 3],Analysis_8[[#This Row],[Atheletes ]],Games_3[RESULT 34],Analysis_5[[#Headers],[LOSE]]),COUNTIFS(Games_3[ATHLETE 4],Analysis_8[[#This Row],[Atheletes ]],Games_3[RESULT 34],Analysis_5[[#Headers],[LOSE]]))</calculatedColumnFormula>
    </tableColumn>
    <tableColumn id="3" xr3:uid="{25552EE4-988B-B346-A44D-E1653BE47F1D}" name="Saldo" dataDxfId="649">
      <calculatedColumnFormula>SUM(SUMIF(Games_3[ATHLETE 1],Analysis_8[[#This Row],[Atheletes ]],Games_3[SALDO 12]),SUMIF(Games_3[ATHLETE 2],Analysis_8[[#This Row],[Atheletes ]],Games_3[SALDO 12]),SUMIF(Games_3[ATHLETE 3],Analysis_8[[#This Row],[Atheletes ]],Games_3[SALDO 34]),SUMIF(Games_3[ATHLETE 4],Analysis_8[[#This Row],[Atheletes ]],Games_3[SALDO 34]))</calculatedColumnFormula>
    </tableColumn>
    <tableColumn id="4" xr3:uid="{531B5446-6732-054E-AB86-0B70BE91349E}" name="PM" dataDxfId="648">
      <calculatedColumnFormula>SUM(SUMIF(Games_3[ATHLETE 1],Analysis_8[[#This Row],[Atheletes ]],Games_3[PM 12]),SUMIF(Games_3[ATHLETE 2],Analysis_8[[#This Row],[Atheletes ]],Games_3[PM 12]),SUMIF(Games_3[ATHLETE 3],Analysis_8[[#This Row],[Atheletes ]],Games_3[PM 34]),SUMIF(Games_3[ATHLETE 4],Analysis_8[[#This Row],[Atheletes ]],Games_3[PM 34]))</calculatedColumnFormula>
    </tableColumn>
    <tableColumn id="6" xr3:uid="{C1D50904-0157-4C4C-9D0F-7CCBA0BA8507}" name="Rank" dataDxfId="647">
      <calculatedColumnFormula>IF(COUNTBLANK(Games_3[[SCORE 1]:[SCORE 2]])=0,IF(RANK(H35,$H$35:$H$38)=1,RANK(H35,$H$35:$H$38)&amp;"st",IF(RANK(H35,$H$35:$H$38)=2,RANK(H35,$H$35:$H$38)&amp;"nd",IF(RANK(H35,$H$35:$H$38)=3,RANK(H35,$H$35:$H$38)&amp;"rd",RANK(H35,$H$35:$H$38)&amp;"th"))),"")</calculatedColumnFormula>
    </tableColumn>
    <tableColumn id="8" xr3:uid="{7883946C-154E-C748-9222-9B2FCC70870B}" name="Rank support" dataDxfId="646">
      <calculatedColumnFormula>Analysis_8[[#This Row],[WIN]]*1000000+Analysis_8[[#This Row],[Saldo]]*1000+Analysis_8[[#This Row],[PM]]</calculatedColumnFormula>
    </tableColumn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A1F406A-95B2-614D-9E71-CAB3B5043072}" name="Games_450" displayName="Games_450" ref="B1:R21" totalsRowShown="0" headerRowDxfId="645" dataDxfId="644" headerRowBorderDxfId="642" tableBorderDxfId="643" totalsRowBorderDxfId="641">
  <autoFilter ref="B1:R21" xr:uid="{C79D687B-AEB2-42F8-B262-AEDE9265CB48}"/>
  <tableColumns count="17">
    <tableColumn id="3" xr3:uid="{C1A6934E-1877-2F40-9B72-9AF74743011E}" name="GROUP" dataDxfId="640"/>
    <tableColumn id="4" xr3:uid="{0995BECF-6BCD-F141-B5A7-890047A68B15}" name="ATHLETE 1" dataDxfId="639"/>
    <tableColumn id="5" xr3:uid="{F65FDADD-8FF2-5842-A327-ACC63BC2F667}" name="ATHLETE 2" dataDxfId="638"/>
    <tableColumn id="8" xr3:uid="{FC0F6F07-8878-5B48-B583-F458CC9F948E}" name="SCORE 1" dataDxfId="637"/>
    <tableColumn id="9" xr3:uid="{B0833ACC-E45C-B243-A228-404091379324}" name="SCORE 2" dataDxfId="636"/>
    <tableColumn id="6" xr3:uid="{33A755D2-A404-5841-95CD-4D635744DF54}" name="ATHLETE 3" dataDxfId="635"/>
    <tableColumn id="17" xr3:uid="{5B04A5FB-C324-4B45-8F74-00DCC9847981}" name="X" dataDxfId="634"/>
    <tableColumn id="16" xr3:uid="{B6D1C8AD-FA60-B046-B5F8-F6C82FA27317}" name="Y" dataDxfId="633"/>
    <tableColumn id="2" xr3:uid="{8BA9F367-CE43-D94A-BF1E-4B433DD74728}" name="Z" dataDxfId="632"/>
    <tableColumn id="1" xr3:uid="{0A44BCD2-24C8-674A-A3A5-EBF844E34696}" name="A" dataDxfId="631"/>
    <tableColumn id="7" xr3:uid="{8B346808-DCE6-604E-A212-AAC2CF8E6A99}" name="ATHLETE 4" dataDxfId="630"/>
    <tableColumn id="10" xr3:uid="{FBB88330-C145-2145-BFF5-3977E4E25050}" name="SALDO 12" dataDxfId="629">
      <calculatedColumnFormula>IF(OR(Games_450[[#This Row],[SCORE 1]]="",Games_450[[#This Row],[SCORE 2]]=""),"",Games_450[[#This Row],[SCORE 1]]-Games_450[[#This Row],[SCORE 2]])</calculatedColumnFormula>
    </tableColumn>
    <tableColumn id="11" xr3:uid="{158D9E5A-16E9-B94B-9335-23D7BB2CEEF9}" name="SALDO 34" dataDxfId="628">
      <calculatedColumnFormula>IF(OR(Games_450[[#This Row],[SCORE 1]]="",Games_450[[#This Row],[SCORE 2]]=""),"",Games_450[[#This Row],[SCORE 2]]-Games_450[[#This Row],[SCORE 1]])</calculatedColumnFormula>
    </tableColumn>
    <tableColumn id="12" xr3:uid="{638F2259-11F8-2540-B17B-921CD628B9E7}" name="PM 12" dataDxfId="627">
      <calculatedColumnFormula>IF(Games_450[[#This Row],[SCORE 1]]="","",Games_450[[#This Row],[SCORE 1]])</calculatedColumnFormula>
    </tableColumn>
    <tableColumn id="13" xr3:uid="{CB722E29-EC30-8D42-97EE-09FAF8F776D5}" name="PM 34" dataDxfId="626">
      <calculatedColumnFormula>IF(Games_450[[#This Row],[SCORE 2]]="","",Games_450[[#This Row],[SCORE 2]])</calculatedColumnFormula>
    </tableColumn>
    <tableColumn id="14" xr3:uid="{5C451993-2F39-094B-94AA-8449A20F5997}" name="RESULT 12" dataDxfId="625">
      <calculatedColumnFormula>IF(OR(Games_450[[#This Row],[SCORE 1]]="",Games_450[[#This Row],[SCORE 2]]=""),"",IF(Games_450[[#This Row],[SALDO 12]]&gt;0, "WIN","LOSE"))</calculatedColumnFormula>
    </tableColumn>
    <tableColumn id="15" xr3:uid="{399F16E8-F879-6040-B8F3-BD5C840C8608}" name="RESULT 34" dataDxfId="624">
      <calculatedColumnFormula>IF(OR(Games_450[[#This Row],[SCORE 1]]="",Games_450[[#This Row],[SCORE 2]]=""),"",IF(Games_450[[#This Row],[SALDO 34]]&gt;0, "WIN","LOSE"))</calculatedColumnFormula>
    </tableColumn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5920C41-70D0-DE42-A0AA-E82E3E3D3CBB}" name="Analysis_951" displayName="Analysis_951" ref="A24:H29" totalsRowShown="0" headerRowDxfId="623" dataDxfId="622" headerRowBorderDxfId="620" tableBorderDxfId="621" totalsRowBorderDxfId="619">
  <autoFilter ref="A24:H2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5:G29">
    <sortCondition descending="1" ref="D25:D29"/>
    <sortCondition descending="1" ref="E25:E29"/>
    <sortCondition descending="1" ref="F25:F29"/>
  </sortState>
  <tableColumns count="8">
    <tableColumn id="7" xr3:uid="{AF8B7DD4-CD37-2B43-AEB1-F5110CDAABF4}" name="Group" dataDxfId="618"/>
    <tableColumn id="1" xr3:uid="{1DBAA4D9-9FD7-BF49-8928-7415589A0329}" name="Atheletes " dataDxfId="617"/>
    <tableColumn id="8" xr3:uid="{C155844A-262B-1240-9F5D-877D2305F4BB}" name="WIN" dataDxfId="616">
      <calculatedColumnFormula>SUM(COUNTIFS(Games_450[ATHLETE 1],Analysis_951[[#This Row],[Atheletes ]],Games_450[RESULT 12],Analysis_951[[#Headers],[WIN]]),COUNTIFS(Games_450[ATHLETE 2],Analysis_951[[#This Row],[Atheletes ]],Games_450[RESULT 12],Analysis_951[[#Headers],[WIN]]),COUNTIFS(Games_450[ATHLETE 3],Analysis_951[[#This Row],[Atheletes ]],Games_450[RESULT 34],Analysis_951[[#Headers],[WIN]]),COUNTIFS(Games_450[ATHLETE 4],Analysis_951[[#This Row],[Atheletes ]],Games_450[RESULT 34],Analysis_951[[#Headers],[WIN]]))</calculatedColumnFormula>
    </tableColumn>
    <tableColumn id="5" xr3:uid="{E3B230C2-1B21-FD43-B787-4794A4AADFD1}" name="LOSE" dataDxfId="615">
      <calculatedColumnFormula>SUM(COUNTIFS(Games_450[ATHLETE 1],Analysis_951[[#This Row],[Atheletes ]],Games_450[RESULT 12],Analysis_951[[#Headers],[LOSE]]),COUNTIFS(Games_450[ATHLETE 2],Analysis_951[[#This Row],[Atheletes ]],Games_450[RESULT 12],Analysis_951[[#Headers],[LOSE]]),COUNTIFS(Games_450[ATHLETE 3],Analysis_951[[#This Row],[Atheletes ]],Games_450[RESULT 34],Analysis_951[[#Headers],[LOSE]]),COUNTIFS(Games_450[ATHLETE 4],Analysis_951[[#This Row],[Atheletes ]],Games_450[RESULT 34],Analysis_951[[#Headers],[LOSE]]))</calculatedColumnFormula>
    </tableColumn>
    <tableColumn id="3" xr3:uid="{9385033C-EDD7-CF45-942A-9D90A2E68EFC}" name="Saldo" dataDxfId="614">
      <calculatedColumnFormula>SUM(SUMIF(Games_450[ATHLETE 1],Analysis_951[[#This Row],[Atheletes ]],Games_450[SALDO 12]),SUMIF(Games_450[ATHLETE 2],Analysis_951[[#This Row],[Atheletes ]],Games_450[SALDO 12]),SUMIF(Games_450[ATHLETE 3],Analysis_951[[#This Row],[Atheletes ]],Games_450[SALDO 34]),SUMIF(Games_450[ATHLETE 4],Analysis_951[[#This Row],[Atheletes ]],Games_450[SALDO 34]))</calculatedColumnFormula>
    </tableColumn>
    <tableColumn id="4" xr3:uid="{26B3D6E4-00B8-9341-9F1A-0FC0D0696386}" name="PM" dataDxfId="613">
      <calculatedColumnFormula>SUM(SUMIF(Games_450[ATHLETE 1],Analysis_951[[#This Row],[Atheletes ]],Games_450[PM 12]),SUMIF(Games_450[ATHLETE 2],Analysis_951[[#This Row],[Atheletes ]],Games_450[PM 12]),SUMIF(Games_450[ATHLETE 3],Analysis_951[[#This Row],[Atheletes ]],Games_450[PM 34]),SUMIF(Games_450[ATHLETE 4],Analysis_951[[#This Row],[Atheletes ]],Games_450[PM 34]))</calculatedColumnFormula>
    </tableColumn>
    <tableColumn id="6" xr3:uid="{CD535728-7A06-1D49-AEF1-D82204772893}" name="Rank" dataDxfId="612">
      <calculatedColumnFormula>IF(COUNTBLANK(Games_450[[SCORE 1]:[SCORE 2]])=0,IF(RANK(H25,$H$25:$H$29)=1,RANK(H25,$H$25:$H$29)&amp;"st",IF(RANK(H25,$H$25:$H$29)=2,RANK(H25,$H$25:$H$29)&amp;"nd",IF(RANK(H25,$H$25:$H$29)=3,RANK(H25,$H$25:$H$29)&amp;"rd",RANK(H25,$H$25:$H$29)&amp;"th"))),"")</calculatedColumnFormula>
    </tableColumn>
    <tableColumn id="2" xr3:uid="{4E968E36-075B-F840-8711-3C39B88B645D}" name="Rank support" dataDxfId="611">
      <calculatedColumnFormula>IF(COUNTBLANK(Games_450[[SCORE 1]:[SCORE 2]])=0,Analysis_951[[#This Row],[WIN]]*1000000+Analysis_951[[#This Row],[Saldo]]*1000+Analysis_951[[#This Row],[PM]],"")</calculatedColumnFormula>
    </tableColumn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1E91172-4467-EE4C-8EEA-D1566F2D8D69}" name="Analysis_1052" displayName="Analysis_1052" ref="A31:H36" totalsRowShown="0" headerRowDxfId="610" dataDxfId="609" headerRowBorderDxfId="607" tableBorderDxfId="608" totalsRowBorderDxfId="606">
  <autoFilter ref="A31:H3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32:G36">
    <sortCondition descending="1" ref="D32:D36"/>
    <sortCondition descending="1" ref="E32:E36"/>
    <sortCondition descending="1" ref="F32:F36"/>
  </sortState>
  <tableColumns count="8">
    <tableColumn id="1" xr3:uid="{AF6FCF2A-0C48-8B4F-A4EB-0A6CA081C4F2}" name="Group" dataDxfId="605"/>
    <tableColumn id="2" xr3:uid="{9D4D6992-02CF-8B4F-982E-A64D110F6ECD}" name="Atheletes " dataDxfId="604"/>
    <tableColumn id="7" xr3:uid="{7625B713-8024-B04B-95BB-42CF3470F560}" name="WIN" dataDxfId="603">
      <calculatedColumnFormula>SUM(COUNTIFS(Games_450[ATHLETE 1],Analysis_1052[[#This Row],[Atheletes ]],Games_450[RESULT 12],Analysis_951[[#Headers],[WIN]]),COUNTIFS(Games_450[ATHLETE 2],Analysis_1052[[#This Row],[Atheletes ]],Games_450[RESULT 12],Analysis_951[[#Headers],[WIN]]),COUNTIFS(Games_450[ATHLETE 3],Analysis_1052[[#This Row],[Atheletes ]],Games_450[RESULT 34],Analysis_951[[#Headers],[WIN]]),COUNTIFS(Games_450[ATHLETE 4],Analysis_1052[[#This Row],[Atheletes ]],Games_450[RESULT 34],Analysis_951[[#Headers],[WIN]]))</calculatedColumnFormula>
    </tableColumn>
    <tableColumn id="5" xr3:uid="{42A6AED5-1D78-244B-845C-03955AF3DA4A}" name="LOSE" dataDxfId="602">
      <calculatedColumnFormula>SUM(COUNTIFS(Games_450[ATHLETE 1],Analysis_1052[[#This Row],[Atheletes ]],Games_450[RESULT 12],Analysis_951[[#Headers],[LOSE]]),COUNTIFS(Games_450[ATHLETE 2],Analysis_1052[[#This Row],[Atheletes ]],Games_450[RESULT 12],Analysis_951[[#Headers],[LOSE]]),COUNTIFS(Games_450[ATHLETE 3],Analysis_1052[[#This Row],[Atheletes ]],Games_450[RESULT 34],Analysis_951[[#Headers],[LOSE]]),COUNTIFS(Games_450[ATHLETE 4],Analysis_1052[[#This Row],[Atheletes ]],Games_450[RESULT 34],Analysis_951[[#Headers],[LOSE]]))</calculatedColumnFormula>
    </tableColumn>
    <tableColumn id="3" xr3:uid="{03D15B64-D2A4-684D-8CE5-84197D1FB1CB}" name="Saldo" dataDxfId="601">
      <calculatedColumnFormula>SUM(SUMIF(Games_450[ATHLETE 1],Analysis_1052[[#This Row],[Atheletes ]],Games_450[SALDO 12]),SUMIF(Games_450[ATHLETE 2],Analysis_1052[[#This Row],[Atheletes ]],Games_450[SALDO 12]),SUMIF(Games_450[ATHLETE 3],Analysis_1052[[#This Row],[Atheletes ]],Games_450[SALDO 34]),SUMIF(Games_450[ATHLETE 4],Analysis_1052[[#This Row],[Atheletes ]],Games_450[SALDO 34]))</calculatedColumnFormula>
    </tableColumn>
    <tableColumn id="4" xr3:uid="{9A0BFEEF-C297-354E-95CC-BD04FEDCB1B4}" name="PM" dataDxfId="600">
      <calculatedColumnFormula>SUM(SUMIF(Games_450[ATHLETE 1],Analysis_1052[[#This Row],[Atheletes ]],Games_450[PM 12]),SUMIF(Games_450[ATHLETE 2],Analysis_1052[[#This Row],[Atheletes ]],Games_450[PM 12]),SUMIF(Games_450[ATHLETE 3],Analysis_1052[[#This Row],[Atheletes ]],Games_450[PM 34]),SUMIF(Games_450[ATHLETE 4],Analysis_1052[[#This Row],[Atheletes ]],Games_450[PM 34]))</calculatedColumnFormula>
    </tableColumn>
    <tableColumn id="6" xr3:uid="{BD7C5B52-8E6F-1D4E-92C1-60BA11EBCEDF}" name="Rank" dataDxfId="599">
      <calculatedColumnFormula>IF(COUNTBLANK(Games_450[[SCORE 1]:[SCORE 2]])=0,IF(RANK(H32,$H$32:$H$36)=1,RANK(H32,$H$32:$H$36)&amp;"st",IF(RANK(H32,$H$32:$H$36)=2,RANK(H32,$H$32:$H$36)&amp;"nd",IF(RANK(H32,$H$32:$H$36)=3,RANK(H32,$H$32:$H$36)&amp;"rd",RANK(H32,$H$32:$H$36)&amp;"th"))),"")</calculatedColumnFormula>
    </tableColumn>
    <tableColumn id="8" xr3:uid="{B4F1C923-261D-7D4D-A32F-93F7E22E2432}" name="Rank support" dataDxfId="598">
      <calculatedColumnFormula>IF(COUNTBLANK(Games_450[[SCORE 1]:[SCORE 2]])=0,Analysis_1052[[#This Row],[WIN]]*1000000+Analysis_1052[[#This Row],[Saldo]]*1000+Analysis_1052[[#This Row],[PM]],"")</calculatedColumnFormula>
    </tableColumn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099B044-CAAE-0A45-99B6-6A5E804FE337}" name="Table15202832506072932153" displayName="Table15202832506072932153" ref="T2:U22" totalsRowShown="0" headerRowDxfId="597" dataDxfId="596" headerRowBorderDxfId="594" tableBorderDxfId="595">
  <autoFilter ref="T2:U22" xr:uid="{908C589F-0CD0-4EFE-993D-5B2ECC06D04A}">
    <filterColumn colId="0" hiddenButton="1"/>
    <filterColumn colId="1" hiddenButton="1"/>
  </autoFilter>
  <tableColumns count="2">
    <tableColumn id="1" xr3:uid="{01672E06-BF74-9B44-BD47-81996B7B0CBF}" name="Athlete" dataDxfId="593"/>
    <tableColumn id="2" xr3:uid="{BFEDAEE5-7E49-774F-AFDE-C95601C08609}" name="Rank" dataDxfId="592"/>
  </tableColumns>
  <tableStyleInfo name="TableStyleMedium2" showFirstColumn="1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DC8EE8E-0B21-1044-964A-258B795F9EFF}" name="Analysis_1154" displayName="Analysis_1154" ref="A38:H43" totalsRowShown="0" headerRowDxfId="591" dataDxfId="590" headerRowBorderDxfId="588" tableBorderDxfId="589" totalsRowBorderDxfId="587">
  <autoFilter ref="A38:H43" xr:uid="{C1D8D95A-3D53-41E8-AABC-9D152E7B02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39:G43">
    <sortCondition descending="1" ref="D32:D36"/>
    <sortCondition descending="1" ref="E32:E36"/>
    <sortCondition descending="1" ref="F32:F36"/>
  </sortState>
  <tableColumns count="8">
    <tableColumn id="1" xr3:uid="{14F73C63-CC16-4B4E-A388-20C95BAE3AD8}" name="Group" dataDxfId="586"/>
    <tableColumn id="2" xr3:uid="{AE56BF43-AF4E-1F49-9193-BBE49A5F4F4B}" name="Atheletes " dataDxfId="585"/>
    <tableColumn id="7" xr3:uid="{C8F5E44B-94E3-5343-9BAB-F49488A5EDC2}" name="WIN" dataDxfId="584">
      <calculatedColumnFormula>SUM(COUNTIFS(Games_450[ATHLETE 1],Analysis_1154[[#This Row],[Atheletes ]],Games_450[RESULT 12],Analysis_951[[#Headers],[WIN]]),COUNTIFS(Games_450[ATHLETE 2],Analysis_1154[[#This Row],[Atheletes ]],Games_450[RESULT 12],Analysis_951[[#Headers],[WIN]]),COUNTIFS(Games_450[ATHLETE 3],Analysis_1154[[#This Row],[Atheletes ]],Games_450[RESULT 34],Analysis_951[[#Headers],[WIN]]),COUNTIFS(Games_450[ATHLETE 4],Analysis_1154[[#This Row],[Atheletes ]],Games_450[RESULT 34],Analysis_951[[#Headers],[WIN]]))</calculatedColumnFormula>
    </tableColumn>
    <tableColumn id="5" xr3:uid="{23672C7E-A663-4645-B33D-9411DFDEC8CB}" name="LOSE" dataDxfId="583">
      <calculatedColumnFormula>SUM(COUNTIFS(Games_450[ATHLETE 1],Analysis_1154[[#This Row],[Atheletes ]],Games_450[RESULT 12],Analysis_951[[#Headers],[LOSE]]),COUNTIFS(Games_450[ATHLETE 2],Analysis_1154[[#This Row],[Atheletes ]],Games_450[RESULT 12],Analysis_951[[#Headers],[LOSE]]),COUNTIFS(Games_450[ATHLETE 3],Analysis_1154[[#This Row],[Atheletes ]],Games_450[RESULT 34],Analysis_951[[#Headers],[LOSE]]),COUNTIFS(Games_450[ATHLETE 4],Analysis_1154[[#This Row],[Atheletes ]],Games_450[RESULT 34],Analysis_951[[#Headers],[LOSE]]))</calculatedColumnFormula>
    </tableColumn>
    <tableColumn id="3" xr3:uid="{32404C42-6DF3-244A-9B60-4E3C10F87E23}" name="Saldo" dataDxfId="582">
      <calculatedColumnFormula>SUM(SUMIF(Games_450[ATHLETE 1],Analysis_1154[[#This Row],[Atheletes ]],Games_450[SALDO 12]),SUMIF(Games_450[ATHLETE 2],Analysis_1154[[#This Row],[Atheletes ]],Games_450[SALDO 12]),SUMIF(Games_450[ATHLETE 3],Analysis_1154[[#This Row],[Atheletes ]],Games_450[SALDO 34]),SUMIF(Games_450[ATHLETE 4],Analysis_1154[[#This Row],[Atheletes ]],Games_450[SALDO 34]))</calculatedColumnFormula>
    </tableColumn>
    <tableColumn id="4" xr3:uid="{7EF9C21D-6127-1E40-B59E-119EB2B37A94}" name="PM" dataDxfId="581">
      <calculatedColumnFormula>SUM(SUMIF(Games_450[ATHLETE 1],Analysis_1154[[#This Row],[Atheletes ]],Games_450[PM 12]),SUMIF(Games_450[ATHLETE 2],Analysis_1154[[#This Row],[Atheletes ]],Games_450[PM 12]),SUMIF(Games_450[ATHLETE 3],Analysis_1154[[#This Row],[Atheletes ]],Games_450[PM 34]),SUMIF(Games_450[ATHLETE 4],Analysis_1154[[#This Row],[Atheletes ]],Games_450[PM 34]))</calculatedColumnFormula>
    </tableColumn>
    <tableColumn id="6" xr3:uid="{2407ACD8-D179-044A-A05A-C50ABB19F155}" name="Rank" dataDxfId="580">
      <calculatedColumnFormula>IF(COUNTBLANK(Games_450[[SCORE 1]:[SCORE 2]])=0,IF(RANK(H39,$H$39:$H$43)=1,RANK(H39,$H$39:$H$43)&amp;"st",IF(RANK(H39,$H$39:$H$43)=2,RANK(H39,$H$39:$H$43)&amp;"nd",IF(RANK(H39,$H$39:$H$43)=3,RANK(H39,$H$39:$H$43)&amp;"rd",RANK(H39,$H$39:$H$43)&amp;"th"))),"")</calculatedColumnFormula>
    </tableColumn>
    <tableColumn id="8" xr3:uid="{FD0E465E-1596-C44B-AEB2-0F1B7453DE01}" name="Rank support" dataDxfId="579">
      <calculatedColumnFormula>IF(COUNTBLANK(Games_450[[SCORE 1]:[SCORE 2]])=0,Analysis_1154[[#This Row],[WIN]]*1000000+Analysis_1154[[#This Row],[Saldo]]*1000+Analysis_1154[[#This Row],[PM]],"")</calculatedColumnFormula>
    </tableColumn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6211E8B-7B51-474E-B58A-631700F26A0D}" name="Analysis_1255" displayName="Analysis_1255" ref="A45:H50" totalsRowShown="0" headerRowDxfId="578" dataDxfId="577" headerRowBorderDxfId="575" tableBorderDxfId="576" totalsRowBorderDxfId="574">
  <autoFilter ref="A45:H50" xr:uid="{9F4F8760-BA71-124B-B0E6-15798FF188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46:G50">
    <sortCondition descending="1" ref="D32:D36"/>
    <sortCondition descending="1" ref="E32:E36"/>
    <sortCondition descending="1" ref="F32:F36"/>
  </sortState>
  <tableColumns count="8">
    <tableColumn id="1" xr3:uid="{DC650396-C120-5549-B6B0-0451A4DBA7BB}" name="Group" dataDxfId="573"/>
    <tableColumn id="2" xr3:uid="{7759AFA8-C8D7-A546-9D5B-AA1D7D17C1B1}" name="Atheletes " dataDxfId="572"/>
    <tableColumn id="7" xr3:uid="{886898C8-4BA3-5341-89A4-5590B0AF9948}" name="WIN" dataDxfId="571">
      <calculatedColumnFormula>SUM(COUNTIFS(Games_450[ATHLETE 1],Analysis_1255[[#This Row],[Atheletes ]],Games_450[RESULT 12],Analysis_951[[#Headers],[WIN]]),COUNTIFS(Games_450[ATHLETE 2],Analysis_1255[[#This Row],[Atheletes ]],Games_450[RESULT 12],Analysis_951[[#Headers],[WIN]]),COUNTIFS(Games_450[ATHLETE 3],Analysis_1255[[#This Row],[Atheletes ]],Games_450[RESULT 34],Analysis_951[[#Headers],[WIN]]),COUNTIFS(Games_450[ATHLETE 4],Analysis_1255[[#This Row],[Atheletes ]],Games_450[RESULT 34],Analysis_951[[#Headers],[WIN]]))</calculatedColumnFormula>
    </tableColumn>
    <tableColumn id="5" xr3:uid="{1B76E1F6-5B2A-614E-A6F0-30436917602F}" name="LOSE" dataDxfId="570">
      <calculatedColumnFormula>SUM(COUNTIFS(Games_450[ATHLETE 1],Analysis_1255[[#This Row],[Atheletes ]],Games_450[RESULT 12],Analysis_951[[#Headers],[LOSE]]),COUNTIFS(Games_450[ATHLETE 2],Analysis_1255[[#This Row],[Atheletes ]],Games_450[RESULT 12],Analysis_951[[#Headers],[LOSE]]),COUNTIFS(Games_450[ATHLETE 3],Analysis_1255[[#This Row],[Atheletes ]],Games_450[RESULT 34],Analysis_951[[#Headers],[LOSE]]),COUNTIFS(Games_450[ATHLETE 4],Analysis_1255[[#This Row],[Atheletes ]],Games_450[RESULT 34],Analysis_951[[#Headers],[LOSE]]))</calculatedColumnFormula>
    </tableColumn>
    <tableColumn id="3" xr3:uid="{910860AF-845F-B64F-BE53-90602ED88299}" name="Saldo" dataDxfId="569">
      <calculatedColumnFormula>SUM(SUMIF(Games_450[ATHLETE 1],Analysis_1255[[#This Row],[Atheletes ]],Games_450[SALDO 12]),SUMIF(Games_450[ATHLETE 2],Analysis_1255[[#This Row],[Atheletes ]],Games_450[SALDO 12]),SUMIF(Games_450[ATHLETE 3],Analysis_1255[[#This Row],[Atheletes ]],Games_450[SALDO 34]),SUMIF(Games_450[ATHLETE 4],Analysis_1255[[#This Row],[Atheletes ]],Games_450[SALDO 34]))</calculatedColumnFormula>
    </tableColumn>
    <tableColumn id="4" xr3:uid="{B46C9D11-3001-9D46-93F9-261D8101E016}" name="PM" dataDxfId="568">
      <calculatedColumnFormula>SUM(SUMIF(Games_450[ATHLETE 1],Analysis_1255[[#This Row],[Atheletes ]],Games_450[PM 12]),SUMIF(Games_450[ATHLETE 2],Analysis_1255[[#This Row],[Atheletes ]],Games_450[PM 12]),SUMIF(Games_450[ATHLETE 3],Analysis_1255[[#This Row],[Atheletes ]],Games_450[PM 34]),SUMIF(Games_450[ATHLETE 4],Analysis_1255[[#This Row],[Atheletes ]],Games_450[PM 34]))</calculatedColumnFormula>
    </tableColumn>
    <tableColumn id="6" xr3:uid="{324ED774-65A0-0149-938A-CA959CC06E7E}" name="Rank" dataDxfId="567">
      <calculatedColumnFormula>IF(COUNTBLANK(Games_450[[SCORE 1]:[SCORE 2]])=0,IF(RANK(H46,$H$46:$H$50)=1,RANK(H46,$H$46:$H$50)&amp;"st",IF(RANK(H46,$H$46:$H$50)=2,RANK(H46,$H$46:$H$50)&amp;"nd",IF(RANK(H46,$H$46:$H$50)=3,RANK(H46,$H$46:$H$50)&amp;"rd",RANK(H46,$H$46:$H$50)&amp;"th"))),"")</calculatedColumnFormula>
    </tableColumn>
    <tableColumn id="8" xr3:uid="{075CF32C-2D19-BB47-8475-65D2449FF33F}" name="Rank support" dataDxfId="566">
      <calculatedColumnFormula>IF(COUNTBLANK(Games_450[[SCORE 1]:[SCORE 2]])=0,Analysis_1255[[#This Row],[WIN]]*1000000+Analysis_1255[[#This Row],[Saldo]]*1000+Analysis_1255[[#This Row],[PM]],"")</calculatedColumnFormula>
    </tableColumn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217A96E2-B22C-C649-A382-268BCCC6D249}" name="Table4101317251247545298684173134143" displayName="Table4101317251247545298684173134143" ref="B1:R13" totalsRowShown="0" headerRowDxfId="565" dataDxfId="564" headerRowBorderDxfId="562" tableBorderDxfId="563" totalsRowBorderDxfId="561">
  <autoFilter ref="B1:R13" xr:uid="{A141227C-F003-854E-9899-A50CBF1EC571}"/>
  <tableColumns count="17">
    <tableColumn id="3" xr3:uid="{ADF61F91-D99C-F340-B477-D97F196BB4B2}" name="GROUP" dataDxfId="560"/>
    <tableColumn id="5" xr3:uid="{7D12085C-A490-9845-8E06-A3603AF917D5}" name="ATHLETE 2" dataDxfId="559"/>
    <tableColumn id="8" xr3:uid="{4F0E89EC-70B8-D943-A17B-2A61944CCDE8}" name="SCORE 1" dataDxfId="558"/>
    <tableColumn id="9" xr3:uid="{2FD00444-20AF-F343-A01F-A2B7642F9399}" name="SCORE 2" dataDxfId="557"/>
    <tableColumn id="17" xr3:uid="{E7766EC5-ACB9-3A43-9E9C-D4F7A6AE102B}" name="X" dataDxfId="556"/>
    <tableColumn id="16" xr3:uid="{F8DB279E-D766-D342-B39B-7378A99FA9C3}" name="Y" dataDxfId="555"/>
    <tableColumn id="2" xr3:uid="{0B2E5E6B-C5A4-964A-8B7E-92CF08EBE92C}" name="Z" dataDxfId="554"/>
    <tableColumn id="6" xr3:uid="{84C2CA63-829C-2840-BEB6-3DE92C6053F1}" name="Column2" dataDxfId="553"/>
    <tableColumn id="4" xr3:uid="{47DD3BF3-D522-1749-B11F-99D51EBAD10D}" name="Column1" dataDxfId="552"/>
    <tableColumn id="1" xr3:uid="{54AAD84E-A287-1146-960C-6AE5B9BE0B14}" name="A" dataDxfId="551"/>
    <tableColumn id="7" xr3:uid="{903A3B6A-9198-B64B-83CA-8EE00FFD24C3}" name="ATHLETE 4" dataDxfId="550"/>
    <tableColumn id="10" xr3:uid="{866E99EA-44CB-F94D-8DF7-47ACDF3C97C5}" name="SALDO 12" dataDxfId="549">
      <calculatedColumnFormula>IF(OR(Table4101317251247545298684173134143[[#This Row],[SCORE 1]]="",Table4101317251247545298684173134143[[#This Row],[SCORE 2]]=""),"",Table4101317251247545298684173134143[[#This Row],[SCORE 1]]-Table4101317251247545298684173134143[[#This Row],[SCORE 2]])</calculatedColumnFormula>
    </tableColumn>
    <tableColumn id="11" xr3:uid="{79265A87-BCBA-C44D-BAA3-A028C50B2CBE}" name="SALDO 34" dataDxfId="548">
      <calculatedColumnFormula>IF(OR(Table4101317251247545298684173134143[[#This Row],[SCORE 1]]="",Table4101317251247545298684173134143[[#This Row],[SCORE 2]]=""),"",Table4101317251247545298684173134143[[#This Row],[SCORE 2]]-Table4101317251247545298684173134143[[#This Row],[SCORE 1]])</calculatedColumnFormula>
    </tableColumn>
    <tableColumn id="12" xr3:uid="{CB219448-F35C-4F44-95BA-4FC2B8607DF6}" name="PM 12" dataDxfId="547">
      <calculatedColumnFormula>IF(Table4101317251247545298684173134143[[#This Row],[SCORE 1]]="","",Table4101317251247545298684173134143[[#This Row],[SCORE 1]])</calculatedColumnFormula>
    </tableColumn>
    <tableColumn id="13" xr3:uid="{F76CE2F4-96B1-9D46-A06B-19712F8538BB}" name="PM 34" dataDxfId="546">
      <calculatedColumnFormula>IF(Table4101317251247545298684173134143[[#This Row],[SCORE 2]]="","",Table4101317251247545298684173134143[[#This Row],[SCORE 2]])</calculatedColumnFormula>
    </tableColumn>
    <tableColumn id="14" xr3:uid="{EDA6210C-887E-1B41-860F-98A6ED9336FC}" name="RESULT 12" dataDxfId="545">
      <calculatedColumnFormula>IF(OR(Table4101317251247545298684173134143[[#This Row],[SCORE 1]]="",Table4101317251247545298684173134143[[#This Row],[SCORE 2]]=""),"",IF(Table4101317251247545298684173134143[[#This Row],[SALDO 12]]&gt;0, "WIN","LOSE"))</calculatedColumnFormula>
    </tableColumn>
    <tableColumn id="15" xr3:uid="{E5718F03-9920-4D41-A26E-C2160A6BBAF3}" name="RESULT 34" dataDxfId="544">
      <calculatedColumnFormula>IF(OR(Table4101317251247545298684173134143[[#This Row],[SCORE 1]]="",Table4101317251247545298684173134143[[#This Row],[SCORE 2]]=""),"",IF(Table4101317251247545298684173134143[[#This Row],[SALDO 34]]&gt;0, "WIN","LOSE"))</calculatedColumnFormula>
    </tableColumn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C81348AC-9B4F-744F-B47A-E2FD64B29ABD}" name="Table36111418263048555399694375135144" displayName="Table36111418263048555399694375135144" ref="A16:H20" totalsRowShown="0" headerRowDxfId="543" dataDxfId="542" headerRowBorderDxfId="540" tableBorderDxfId="541" totalsRowBorderDxfId="539">
  <autoFilter ref="A16:H20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FE69FC04-993F-6F4C-8FF6-8B6E97904B2B}" name="Group" dataDxfId="538"/>
    <tableColumn id="1" xr3:uid="{EB9D7836-21E4-6C4D-A587-860A602A71CC}" name="Team" dataDxfId="537"/>
    <tableColumn id="8" xr3:uid="{D0D9CB55-1A5B-C945-B938-D420F9528ED5}" name="WIN" dataDxfId="536">
      <calculatedColumnFormula>SUM(COUNTIFS(Table4101317251247545298684173134143[ATHLETE 2],Table36111418263048555399694375135144[[#This Row],[Team]],Table4101317251247545298684173134143[RESULT 12],Table36111418263048555399694375135144[[#Headers],[WIN]]),COUNTIFS(Table4101317251247545298684173134143[ATHLETE 4],Table36111418263048555399694375135144[[#This Row],[Team]],Table4101317251247545298684173134143[RESULT 34],Table36111418263048555399694375135144[[#Headers],[WIN]]))</calculatedColumnFormula>
    </tableColumn>
    <tableColumn id="5" xr3:uid="{1BA06F3A-1970-DE43-9D3D-06B3957FEED0}" name="LOSE" dataDxfId="535">
      <calculatedColumnFormula>SUM(COUNTIFS(Table4101317251247545298684173134143[ATHLETE 2],Table36111418263048555399694375135144[[#This Row],[Team]],Table4101317251247545298684173134143[RESULT 12],Table36111418263048555399694375135144[[#Headers],[LOSE]]),COUNTIFS(Table4101317251247545298684173134143[ATHLETE 4],Table36111418263048555399694375135144[[#This Row],[Team]],Table4101317251247545298684173134143[RESULT 34],Table36111418263048555399694375135144[[#Headers],[LOSE]]))</calculatedColumnFormula>
    </tableColumn>
    <tableColumn id="3" xr3:uid="{BB28E2C8-C5E9-7645-8A92-ABB89022F11A}" name="Saldo" dataDxfId="534">
      <calculatedColumnFormula>SUM(SUMIF(Table4101317251247545298684173134143[ATHLETE 2],Table36111418263048555399694375135144[[#This Row],[Team]],Table4101317251247545298684173134143[SALDO 12]),SUMIF(Table4101317251247545298684173134143[ATHLETE 4],Table36111418263048555399694375135144[[#This Row],[Team]],Table4101317251247545298684173134143[SALDO 34]))</calculatedColumnFormula>
    </tableColumn>
    <tableColumn id="4" xr3:uid="{6FCC64AA-D8CF-E44B-AA95-F85900B21541}" name="PM" dataDxfId="533">
      <calculatedColumnFormula>SUM(SUMIF(Table4101317251247545298684173134143[ATHLETE 2],Table36111418263048555399694375135144[[#This Row],[Team]],Table4101317251247545298684173134143[PM 12]),SUMIF(Table4101317251247545298684173134143[ATHLETE 4],Table36111418263048555399694375135144[[#This Row],[Team]],Table4101317251247545298684173134143[PM 34]))</calculatedColumnFormula>
    </tableColumn>
    <tableColumn id="6" xr3:uid="{4332EFDC-C467-2F46-BE6F-3045F62B2085}" name="Rank" dataDxfId="532">
      <calculatedColumnFormula>IF(COUNTBLANK(Table4101317251247545298684173134143[[SCORE 1]:[SCORE 2]])=0,IF(RANK(H17,$H$17:$H$20)=1,RANK(H17,$H$17:$H$20)&amp;"st",IF(RANK(H17,$H$17:$H$20)=2,RANK(H17,$H$17:$H$20)&amp;"nd",RANK(H17,$H$17:$H$20)&amp;"th")),"")</calculatedColumnFormula>
    </tableColumn>
    <tableColumn id="2" xr3:uid="{3E82E06B-EF6A-394D-BE8E-2CF9BDD444D4}" name="Rank support" dataDxfId="531">
      <calculatedColumnFormula>Table36111418263048555399694375135144[[#This Row],[WIN]]*1000000+Table36111418263048555399694375135144[[#This Row],[Saldo]]*1000+Table36111418263048555399694375135144[[#This Row],[PM]]</calculatedColumnFormula>
    </tableColumn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80677764-9322-8448-A759-57046022D55E}" name="Table61215192731495671100704476136145" displayName="Table61215192731495671100704476136145" ref="A22:H26" totalsRowShown="0" headerRowDxfId="530" dataDxfId="529" headerRowBorderDxfId="527" tableBorderDxfId="528" totalsRowBorderDxfId="526">
  <autoFilter ref="A22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3:G26">
    <sortCondition descending="1" ref="D23:D26"/>
    <sortCondition descending="1" ref="E23:E26"/>
    <sortCondition descending="1" ref="F23:F26"/>
  </sortState>
  <tableColumns count="8">
    <tableColumn id="1" xr3:uid="{E110598A-78E0-C841-ABEA-732F618FB475}" name="Group" dataDxfId="525"/>
    <tableColumn id="2" xr3:uid="{E2594906-764B-C74A-AB2E-11E7A693B616}" name="Team" dataDxfId="524"/>
    <tableColumn id="7" xr3:uid="{3199FC11-2631-6D4D-9196-8347F875EDF2}" name="WIN" dataDxfId="523">
      <calculatedColumnFormula>SUM(COUNTIFS(Table4101317251247545298684173134143[ATHLETE 2],Table61215192731495671100704476136145[[#This Row],[Team]],Table4101317251247545298684173134143[RESULT 12],Table36111418263048555399694375135144[[#Headers],[WIN]]),COUNTIFS(Table4101317251247545298684173134143[ATHLETE 4],Table61215192731495671100704476136145[[#This Row],[Team]],Table4101317251247545298684173134143[RESULT 34],Table36111418263048555399694375135144[[#Headers],[WIN]]))</calculatedColumnFormula>
    </tableColumn>
    <tableColumn id="5" xr3:uid="{8F354F6E-1A1E-3543-AA07-B629ED45C088}" name="LOSE" dataDxfId="522">
      <calculatedColumnFormula>SUM(COUNTIFS(Table4101317251247545298684173134143[ATHLETE 2],Table61215192731495671100704476136145[[#This Row],[Team]],Table4101317251247545298684173134143[RESULT 12],Table36111418263048555399694375135144[[#Headers],[LOSE]]),COUNTIFS(Table4101317251247545298684173134143[ATHLETE 4],Table61215192731495671100704476136145[[#This Row],[Team]],Table4101317251247545298684173134143[RESULT 34],Table36111418263048555399694375135144[[#Headers],[LOSE]]))</calculatedColumnFormula>
    </tableColumn>
    <tableColumn id="3" xr3:uid="{637BD96C-0174-C74F-8FE2-F05E1705F871}" name="Saldo" dataDxfId="521">
      <calculatedColumnFormula>SUM(SUMIF(Table4101317251247545298684173134143[ATHLETE 2],Table61215192731495671100704476136145[[#This Row],[Team]],Table4101317251247545298684173134143[SALDO 12]),SUMIF(Table4101317251247545298684173134143[ATHLETE 4],Table61215192731495671100704476136145[[#This Row],[Team]],Table4101317251247545298684173134143[SALDO 34]))</calculatedColumnFormula>
    </tableColumn>
    <tableColumn id="4" xr3:uid="{81D00A55-EB9B-564A-866D-80AE94E4B98B}" name="PM" dataDxfId="520">
      <calculatedColumnFormula>SUM(SUMIF(Table4101317251247545298684173134143[ATHLETE 2],Table61215192731495671100704476136145[[#This Row],[Team]],Table4101317251247545298684173134143[PM 12]),SUMIF(Table4101317251247545298684173134143[ATHLETE 4],Table61215192731495671100704476136145[[#This Row],[Team]],Table4101317251247545298684173134143[PM 34]))</calculatedColumnFormula>
    </tableColumn>
    <tableColumn id="6" xr3:uid="{ECC016F3-EF43-E44A-8214-D833029FE4D3}" name="Rank" dataDxfId="519">
      <calculatedColumnFormula>IF(COUNTBLANK(Table4101317251247545298684173134143[[SCORE 1]:[SCORE 2]])=0,IF(RANK(H23,$H$23:$H$26)=1,RANK(H23,$H$23:$H$26)&amp;"st",IF(RANK(H23,$H$23:$H$26)=2,RANK(H23,$H$23:$H$26)&amp;"nd",RANK(H23,$H$23:$H$26)&amp;"th")),"")</calculatedColumnFormula>
    </tableColumn>
    <tableColumn id="8" xr3:uid="{18F9C7EE-26C6-EC49-BE95-7B5D1D6EECBA}" name="Rank support" dataDxfId="518">
      <calculatedColumnFormula>Table61215192731495671100704476136145[[#This Row],[WIN]]*1000000+Table61215192731495671100704476136145[[#This Row],[Saldo]]*1000+Table61215192731495671100704476136145[[#This Row],[PM]]</calculatedColumnFormula>
    </tableColumn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A6D12EB6-6E88-0D4F-B224-BA82B1BC8113}" name="Table15202832506072101714577137146" displayName="Table15202832506072101714577137146" ref="T2:U10" totalsRowShown="0" headerRowDxfId="517" dataDxfId="516" headerRowBorderDxfId="514" tableBorderDxfId="515">
  <autoFilter ref="T2:U10" xr:uid="{908C589F-0CD0-4EFE-993D-5B2ECC06D04A}">
    <filterColumn colId="0" hiddenButton="1"/>
    <filterColumn colId="1" hiddenButton="1"/>
  </autoFilter>
  <tableColumns count="2">
    <tableColumn id="1" xr3:uid="{810D31BE-FC09-E14A-B116-1CC32F8642DA}" name="Athlete" dataDxfId="513"/>
    <tableColumn id="2" xr3:uid="{DEFB259C-B96F-F245-838E-9080F6B8385B}" name="Rank" dataDxfId="512"/>
  </tableColumns>
  <tableStyleInfo name="TableStyleMedium2" showFirstColumn="1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298662E0-6870-AB47-AB58-3688596BCF0A}" name="Games_2151178" displayName="Games_2151178" ref="B1:R19" totalsRowShown="0" headerRowDxfId="511" dataDxfId="510" headerRowBorderDxfId="508" tableBorderDxfId="509" totalsRowBorderDxfId="507">
  <autoFilter ref="B1:R19" xr:uid="{C79D687B-AEB2-42F8-B262-AEDE9265CB48}"/>
  <tableColumns count="17">
    <tableColumn id="3" xr3:uid="{3B534947-3CD1-D84A-82FB-587F3E1FDFB2}" name="GROUP" dataDxfId="506"/>
    <tableColumn id="4" xr3:uid="{66DC3730-CC93-CF49-948E-68161D135A78}" name="ATHLETE 1" dataDxfId="505"/>
    <tableColumn id="5" xr3:uid="{BEA45B46-3D9A-4E48-83FF-55932AF84B1A}" name="ATHLETE 2" dataDxfId="504"/>
    <tableColumn id="8" xr3:uid="{2ED51D57-A206-2A43-ABE5-FC5B7031E5D6}" name="SCORE 1" dataDxfId="503"/>
    <tableColumn id="9" xr3:uid="{17142205-BF2B-664B-A060-EBEDAAEC4D53}" name="SCORE 2" dataDxfId="502"/>
    <tableColumn id="6" xr3:uid="{0452C91E-9CAE-1E43-A35E-5EB97A7B078D}" name="ATHLETE 3" dataDxfId="501"/>
    <tableColumn id="1" xr3:uid="{49D17AF2-22D4-5549-818A-06ADC115D37A}" name="X" dataDxfId="500"/>
    <tableColumn id="2" xr3:uid="{A0F9A6F5-004E-2842-8E20-DC765AA892A3}" name="Y" dataDxfId="499"/>
    <tableColumn id="16" xr3:uid="{F86DC1FA-51FF-A848-A61F-E36F99A6A416}" name="Z" dataDxfId="498"/>
    <tableColumn id="17" xr3:uid="{6EEAF076-9903-FD45-AF46-2C712D9C3FEA}" name="A" dataDxfId="497"/>
    <tableColumn id="7" xr3:uid="{7A3AD010-C0BF-8248-BC2E-29D2C1ADC258}" name="ATHLETE 4" dataDxfId="496"/>
    <tableColumn id="10" xr3:uid="{7B09BAA1-AE8A-ED48-9D28-9F8F566DD340}" name="SALDO 12" dataDxfId="495">
      <calculatedColumnFormula>IF(OR(Games_2151178[[#This Row],[SCORE 1]]="",Games_2151178[[#This Row],[SCORE 2]]=""),"",Games_2151178[[#This Row],[SCORE 1]]-Games_2151178[[#This Row],[SCORE 2]])</calculatedColumnFormula>
    </tableColumn>
    <tableColumn id="11" xr3:uid="{C93848D9-E3CE-984D-ABFD-B146135FF7DA}" name="SALDO 34" dataDxfId="494">
      <calculatedColumnFormula>IF(OR(Games_2151178[[#This Row],[SCORE 1]]="",Games_2151178[[#This Row],[SCORE 2]]=""),"",Games_2151178[[#This Row],[SCORE 2]]-Games_2151178[[#This Row],[SCORE 1]])</calculatedColumnFormula>
    </tableColumn>
    <tableColumn id="12" xr3:uid="{206639CB-9118-1E41-A3A2-1D1BF9F68E90}" name="PM 12" dataDxfId="493">
      <calculatedColumnFormula>IF(Games_2151178[[#This Row],[SCORE 1]]="","",Games_2151178[[#This Row],[SCORE 1]])</calculatedColumnFormula>
    </tableColumn>
    <tableColumn id="13" xr3:uid="{B52FA725-E93C-7B4C-9574-03B2A180D669}" name="PM 34" dataDxfId="492">
      <calculatedColumnFormula>IF(Games_2151178[[#This Row],[SCORE 2]]="","",Games_2151178[[#This Row],[SCORE 2]])</calculatedColumnFormula>
    </tableColumn>
    <tableColumn id="14" xr3:uid="{80B3FD21-DA2B-334D-BDE0-28E5753A0334}" name="RESULT 12" dataDxfId="491">
      <calculatedColumnFormula>IF(OR(Games_2151178[[#This Row],[SCORE 1]]="",Games_2151178[[#This Row],[SCORE 2]]=""),"",IF(Games_2151178[[#This Row],[SALDO 12]]&gt;0, "WIN","LOSE"))</calculatedColumnFormula>
    </tableColumn>
    <tableColumn id="15" xr3:uid="{F7FAC148-A910-BB47-8079-A0E07E268D33}" name="RESULT 34" dataDxfId="490">
      <calculatedColumnFormula>IF(OR(Games_2151178[[#This Row],[SCORE 2]]="",Games_2151178[[#This Row],[SCORE 1]]=""),"",IF(Games_2151178[[#This Row],[SALDO 34]]&gt;0, "WIN","LOSE"))</calculatedColumnFormula>
    </tableColumn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E212EBC1-D1C2-A24C-AB72-010951B9B9CA}" name="Analysis_3152179" displayName="Analysis_3152179" ref="A22:H28" totalsRowShown="0" headerRowDxfId="489" dataDxfId="488" headerRowBorderDxfId="486" tableBorderDxfId="487" totalsRowBorderDxfId="485">
  <autoFilter ref="A22:H28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3:G26">
    <sortCondition descending="1" ref="D23:D26"/>
    <sortCondition descending="1" ref="E23:E26"/>
    <sortCondition descending="1" ref="F23:F26"/>
  </sortState>
  <tableColumns count="8">
    <tableColumn id="7" xr3:uid="{4229CD0F-9051-E948-8CA3-35226035414A}" name="Reference" dataDxfId="484"/>
    <tableColumn id="1" xr3:uid="{EF7CA2B6-1507-F742-AE5A-E995AB36AF7C}" name="Atheletes " dataDxfId="483"/>
    <tableColumn id="8" xr3:uid="{10946F77-D744-6349-A695-82B261349849}" name="WIN" dataDxfId="482"/>
    <tableColumn id="5" xr3:uid="{511833E5-C6FA-FD4E-B526-D63058D21297}" name="LOSE" dataDxfId="481"/>
    <tableColumn id="3" xr3:uid="{1183B71A-B1D0-9743-ACD1-6AECDF01CB85}" name="Saldo" dataDxfId="480"/>
    <tableColumn id="4" xr3:uid="{113356FA-4190-A848-8109-556439E2F5F7}" name="PM" dataDxfId="479"/>
    <tableColumn id="6" xr3:uid="{9B3687A5-8C9A-324D-8518-0F2904CD1B22}" name="Rank" dataDxfId="478">
      <calculatedColumnFormula>IF(COUNTBLANK(Games_2151178[[SCORE 1]:[SCORE 2]])=0,IF(RANK(H23,$H$23:$H$28)=1,RANK(H23,$H$23:$H$28)&amp;"st",IF(RANK(H23,$H$23:$H$28)=2,RANK(H23,$H$23:$H$28)&amp;"nd",IF(RANK(H23,$H$23:$H$28)=3,RANK(H23,$H$23:$H$28)&amp;"rd",RANK(H23,$H$23:$H$28)&amp;"th"))),"")</calculatedColumnFormula>
    </tableColumn>
    <tableColumn id="2" xr3:uid="{C393E712-42C4-6741-8156-4893D8388337}" name="Rank support" dataDxfId="477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75C3693D-5205-FA4D-B039-C0E3814BBCC9}" name="Table157223544789133510153180" displayName="Table157223544789133510153180" ref="T2:U14" totalsRowShown="0" headerRowDxfId="476" dataDxfId="475" headerRowBorderDxfId="473" tableBorderDxfId="474">
  <autoFilter ref="T2:U14" xr:uid="{908C589F-0CD0-4EFE-993D-5B2ECC06D04A}">
    <filterColumn colId="0" hiddenButton="1"/>
    <filterColumn colId="1" hiddenButton="1"/>
  </autoFilter>
  <tableColumns count="2">
    <tableColumn id="1" xr3:uid="{A3F4CAC1-6D75-5E46-A819-F31CE86A8586}" name="Athlete" dataDxfId="472"/>
    <tableColumn id="2" xr3:uid="{32E29E31-09B9-234B-B4DC-868B3263B3C3}" name="Rank" dataDxfId="471"/>
  </tableColumns>
  <tableStyleInfo name="TableStyleMedium2" showFirstColumn="1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55F9776D-E701-6E4A-AD9F-FC0B6B38BBB7}" name="Analysis_4168181" displayName="Analysis_4168181" ref="A30:H36" totalsRowShown="0" headerRowDxfId="470" headerRowBorderDxfId="468" tableBorderDxfId="469" totalsRowBorderDxfId="467">
  <autoFilter ref="A30:H36" xr:uid="{56A7DA99-B3FE-004D-BFF6-DA1337F7D6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8CB97B7-6DAC-4F4D-BBAD-788D290E81DC}" name="Reference" dataDxfId="466"/>
    <tableColumn id="2" xr3:uid="{F01B9CC4-197B-9D47-985C-7F949C64011E}" name="Atheletes " dataDxfId="465"/>
    <tableColumn id="3" xr3:uid="{68366DC3-5EBD-5343-8944-D6016270CDDA}" name="WIN"/>
    <tableColumn id="4" xr3:uid="{4D3731C0-1560-1B45-9B27-8451AD442C23}" name="LOSE"/>
    <tableColumn id="5" xr3:uid="{1604B359-7CBA-1346-ADC1-E9D43AC13D35}" name="Saldo"/>
    <tableColumn id="6" xr3:uid="{166B3C7E-71CB-124A-9A61-6F42F8CC5363}" name="PM"/>
    <tableColumn id="7" xr3:uid="{3BB09487-DDB8-944E-995A-27CD76127E49}" name="Rank"/>
    <tableColumn id="9" xr3:uid="{50AB7B8B-F502-9B40-B16E-2A2B9C925CC7}" name="Rank support" dataDxfId="464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843B692D-CD5F-B342-A54F-02B181C85943}" name="Analysis_4168177182" displayName="Analysis_4168177182" ref="A38:H44" totalsRowShown="0" headerRowDxfId="463" headerRowBorderDxfId="461" tableBorderDxfId="462" totalsRowBorderDxfId="460">
  <autoFilter ref="A38:H44" xr:uid="{D57E7D76-B323-8B4B-9F18-83E6F0C534D8}"/>
  <tableColumns count="8">
    <tableColumn id="1" xr3:uid="{E8F134A5-E9A0-D142-811B-EF84F7A6F1D1}" name="Reference" dataDxfId="459"/>
    <tableColumn id="2" xr3:uid="{90984654-3B08-2C4F-BBC6-E18A928B658E}" name="Atheletes " dataDxfId="458"/>
    <tableColumn id="3" xr3:uid="{C5B89661-7D60-6D49-B8F6-4F2FA0F685AD}" name="WIN"/>
    <tableColumn id="4" xr3:uid="{D1A87179-EBEF-3F4E-9987-6509322E10FD}" name="LOSE"/>
    <tableColumn id="5" xr3:uid="{C63C5378-0808-C64C-A42B-EEA9AA32D0EA}" name="Saldo"/>
    <tableColumn id="6" xr3:uid="{DFABBD92-E445-5C46-929C-4A90B556E9A0}" name="PM"/>
    <tableColumn id="7" xr3:uid="{7ECA2F59-6786-8E4A-B75B-28B49453BCBC}" name="Rank"/>
    <tableColumn id="9" xr3:uid="{721B597B-F71C-B945-AD23-E74FC31FD6BC}" name="Rank support" dataDxfId="457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E5095AD9-F845-4243-A94D-BE549F8ED722}" name="Game_52183" displayName="Game_52183" ref="B1:R11" totalsRowShown="0" headerRowDxfId="456" dataDxfId="455" headerRowBorderDxfId="453" tableBorderDxfId="454" totalsRowBorderDxfId="452">
  <autoFilter ref="B1:R11" xr:uid="{C79D687B-AEB2-42F8-B262-AEDE9265CB48}"/>
  <tableColumns count="17">
    <tableColumn id="3" xr3:uid="{21CCB875-2930-FF47-8006-DDB17A9F6F7A}" name="GROUP" dataDxfId="451"/>
    <tableColumn id="4" xr3:uid="{59753677-7235-CB4B-B96A-C933D9F82E46}" name="ATHLETE 1" dataDxfId="450"/>
    <tableColumn id="5" xr3:uid="{733011D5-A51C-D142-8BD2-07703CA6E07D}" name="ATHLETE 2" dataDxfId="449"/>
    <tableColumn id="8" xr3:uid="{E5FBB0A2-99EC-C342-9BC7-6F77E24D8CA6}" name="SCORE 1" dataDxfId="448"/>
    <tableColumn id="9" xr3:uid="{3DBAE636-45B3-2A4A-96E9-2C38C394D6D3}" name="SCORE 2" dataDxfId="447"/>
    <tableColumn id="6" xr3:uid="{A0866048-ABAE-3D49-A5CA-10EA5118E9C0}" name="ATHLETE 3" dataDxfId="446"/>
    <tableColumn id="16" xr3:uid="{27DA0CA2-14A7-294F-BEF2-B46FEC8D0EBE}" name="X" dataDxfId="445"/>
    <tableColumn id="1" xr3:uid="{E639EFE9-2B9B-8D4D-B15D-3A40D3808A81}" name="Y" dataDxfId="444"/>
    <tableColumn id="17" xr3:uid="{9D49F411-F27D-1240-997F-2BC1A8C11491}" name="Z" dataDxfId="443"/>
    <tableColumn id="18" xr3:uid="{0B6C1F79-548B-C34C-9771-FE81D3863334}" name="A" dataDxfId="442"/>
    <tableColumn id="7" xr3:uid="{456D2A18-8F93-9C41-A40B-538312728415}" name="ATHLETE 4" dataDxfId="441"/>
    <tableColumn id="10" xr3:uid="{F769CB23-88D4-4446-B058-D57420C83052}" name="SALDO 12" dataDxfId="440">
      <calculatedColumnFormula>IF(OR(Game_52183[[#This Row],[SCORE 1]]="",Game_52183[[#This Row],[SCORE 2]]=""),"",Game_52183[[#This Row],[SCORE 1]]-Game_52183[[#This Row],[SCORE 2]])</calculatedColumnFormula>
    </tableColumn>
    <tableColumn id="11" xr3:uid="{1A53A5D0-F993-4546-94FC-459090C5F0B9}" name="SALDO 34" dataDxfId="439">
      <calculatedColumnFormula>IF(OR(Game_52183[[#This Row],[SCORE 1]]="",Game_52183[[#This Row],[SCORE 2]]=""),"",Game_52183[[#This Row],[SCORE 2]]-Game_52183[[#This Row],[SCORE 1]])</calculatedColumnFormula>
    </tableColumn>
    <tableColumn id="12" xr3:uid="{D375ADEA-FE08-E446-BE74-DBA7F893CF87}" name="PM 12" dataDxfId="438">
      <calculatedColumnFormula>IF(Game_52183[[#This Row],[SCORE 1]]="","",Game_52183[[#This Row],[SCORE 1]])</calculatedColumnFormula>
    </tableColumn>
    <tableColumn id="13" xr3:uid="{0B9226CC-8946-DC4C-A39F-E05B6AE8C41C}" name="PM 34" dataDxfId="437">
      <calculatedColumnFormula>IF(Game_52183[[#This Row],[SCORE 2]]="","",Game_52183[[#This Row],[SCORE 2]])</calculatedColumnFormula>
    </tableColumn>
    <tableColumn id="14" xr3:uid="{8B08E273-7124-6C4C-BCD0-F5D9C25300E1}" name="RESULT 12" dataDxfId="436">
      <calculatedColumnFormula>IF(OR(Game_52183[[#This Row],[SCORE 1]]="",Game_52183[[#This Row],[SCORE 2]]=""),"",IF(Game_52183[[#This Row],[SALDO 12]]&gt;0, "WIN","LOSE"))</calculatedColumnFormula>
    </tableColumn>
    <tableColumn id="15" xr3:uid="{44998DE1-C508-3B42-A157-BAF6CC8CEE1B}" name="RESULT 34" dataDxfId="435">
      <calculatedColumnFormula>IF(OR(Game_52183[[#This Row],[SCORE 1]]="",Game_52183[[#This Row],[SCORE 2]]=""),"",IF(Game_52183[[#This Row],[SALDO 34]]&gt;0, "WIN","LOSE"))</calculatedColumnFormula>
    </tableColumn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2676FD7-C605-4144-8748-9E696AFE3BBF}" name="Analysis_156184" displayName="Analysis_156184" ref="A14:H19" totalsRowShown="0" headerRowDxfId="434" dataDxfId="433" headerRowBorderDxfId="431" tableBorderDxfId="432" totalsRowBorderDxfId="430">
  <autoFilter ref="A14:H1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5:G19">
    <sortCondition descending="1" ref="D15:D19"/>
    <sortCondition descending="1" ref="E15:E19"/>
    <sortCondition descending="1" ref="F15:F19"/>
  </sortState>
  <tableColumns count="8">
    <tableColumn id="7" xr3:uid="{C9294E0F-F7C8-6C4D-AC2F-3094E068E2F7}" name="Reference" dataDxfId="429"/>
    <tableColumn id="1" xr3:uid="{C98284B8-266C-7D4B-8A75-C403FA09C4D0}" name="Athletes " dataDxfId="428"/>
    <tableColumn id="8" xr3:uid="{13164729-D22F-8249-8FEE-4610D5ECCF04}" name="WIN" dataDxfId="427">
      <calculatedColumnFormula>SUM(COUNTIFS(Game_52183[ATHLETE 1],Analysis_156184[[#This Row],[Athletes ]],Game_52183[RESULT 12],"win"),COUNTIFS(Game_52183[ATHLETE 2],Analysis_156184[[#This Row],[Athletes ]],Game_52183[RESULT 12],"win"),COUNTIFS(Game_52183[ATHLETE 3],Analysis_156184[[#This Row],[Athletes ]],Game_52183[RESULT 34],"win"),COUNTIFS(Game_52183[ATHLETE 4],Analysis_156184[[#This Row],[Athletes ]],Game_52183[RESULT 34],"win"))</calculatedColumnFormula>
    </tableColumn>
    <tableColumn id="5" xr3:uid="{6E8AE926-3EF2-4A41-B6FE-B3D7F1536D04}" name="LOSE" dataDxfId="426">
      <calculatedColumnFormula>SUM(COUNTIFS(Game_52183[ATHLETE 1],Analysis_156184[[#This Row],[Athletes ]],Game_52183[RESULT 12],"lose"),COUNTIFS(Game_52183[ATHLETE 2],Analysis_156184[[#This Row],[Athletes ]],Game_52183[RESULT 12],"lose"),COUNTIFS(Game_52183[ATHLETE 3],Analysis_156184[[#This Row],[Athletes ]],Game_52183[RESULT 34],"lose"),COUNTIFS(Game_52183[ATHLETE 4],Analysis_156184[[#This Row],[Athletes ]],Game_52183[RESULT 34],"lose"))</calculatedColumnFormula>
    </tableColumn>
    <tableColumn id="3" xr3:uid="{96608F65-7D3C-5A4A-AA9F-D83F8D52B972}" name="Saldo" dataDxfId="425">
      <calculatedColumnFormula>SUM(SUMIF(Game_52183[ATHLETE 1],Analysis_156184[[#This Row],[Athletes ]],Game_52183[SALDO 12]),SUMIF(Game_52183[ATHLETE 2],Analysis_156184[[#This Row],[Athletes ]],Game_52183[SALDO 12]),SUMIF(Game_52183[ATHLETE 3],Analysis_156184[[#This Row],[Athletes ]],Game_52183[SALDO 34]),SUMIF(Game_52183[ATHLETE 4],Analysis_156184[[#This Row],[Athletes ]],Game_52183[SALDO 34]))</calculatedColumnFormula>
    </tableColumn>
    <tableColumn id="4" xr3:uid="{D8C680E4-71B8-B141-9F88-D9C0EDEBB0FE}" name="PM" dataDxfId="424">
      <calculatedColumnFormula>SUM(SUMIF(Game_52183[ATHLETE 1],Analysis_156184[[#This Row],[Athletes ]],Game_52183[PM 12]),SUMIF(Game_52183[ATHLETE 2],Analysis_156184[[#This Row],[Athletes ]],Game_52183[PM 12]),SUMIF(Game_52183[ATHLETE 3],Analysis_156184[[#This Row],[Athletes ]],Game_52183[PM 34]),SUMIF(Game_52183[ATHLETE 4],Analysis_156184[[#This Row],[Athletes ]],Game_52183[PM 34]))</calculatedColumnFormula>
    </tableColumn>
    <tableColumn id="6" xr3:uid="{9A7C7144-95A6-EF4D-8396-1F99150B5FD8}" name="Rank" dataDxfId="423">
      <calculatedColumnFormula>IF(COUNTBLANK(Game_52183[[SCORE 1]:[SCORE 2]])=0,IF(RANK(H15,$H$15:$H$19)=1,RANK(H15,$H$15:$H$19)&amp;"st",IF(RANK(H15,$H$15:$H$19)=2,RANK(H15,$H$15:$H$19)&amp;"nd",IF(RANK(H15,$H$15:$H$19)=3,RANK(H15,$H$15:$H$19)&amp;"rd",RANK(H15,$H$15:$H$19)&amp;"th"))),"")</calculatedColumnFormula>
    </tableColumn>
    <tableColumn id="2" xr3:uid="{D05721CB-F51F-554C-AACD-E76A64BE184C}" name="Rank Support" dataDxfId="422">
      <calculatedColumnFormula>Analysis_156184[[#This Row],[WIN]]*1000000+Analysis_156184[[#This Row],[Saldo]]*1000+Analysis_156184[[#This Row],[PM]]</calculatedColumnFormula>
    </tableColumn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595C4983-7E11-A645-96AF-8D113D3282FC}" name="Analysis_1664185" displayName="Analysis_1664185" ref="A21:H26" totalsRowShown="0" headerRowDxfId="421" dataDxfId="420" headerRowBorderDxfId="418" tableBorderDxfId="419" totalsRowBorderDxfId="417">
  <autoFilter ref="A21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2:G26">
    <sortCondition descending="1" ref="D22:D26"/>
    <sortCondition descending="1" ref="E22:E26"/>
    <sortCondition descending="1" ref="F22:F26"/>
  </sortState>
  <tableColumns count="8">
    <tableColumn id="1" xr3:uid="{E66BE4E5-A31C-F84A-B677-1017FE5D468F}" name="Reference" dataDxfId="416"/>
    <tableColumn id="2" xr3:uid="{F34913D2-66B2-8747-8CBB-6E51B7A97A8B}" name="Athletes " dataDxfId="415"/>
    <tableColumn id="7" xr3:uid="{3D589D46-8CD8-9B49-8E0A-E781112F513D}" name="WIN" dataDxfId="414">
      <calculatedColumnFormula>SUM(COUNTIFS(Game_52183[ATHLETE 1],Analysis_1664185[[#This Row],[Athletes ]],Game_52183[RESULT 12],"win"),COUNTIFS(Game_52183[ATHLETE 2],Analysis_1664185[[#This Row],[Athletes ]],Game_52183[RESULT 12],"win"),COUNTIFS(Game_52183[ATHLETE 3],Analysis_1664185[[#This Row],[Athletes ]],Game_52183[RESULT 34],"win"),COUNTIFS(Game_52183[ATHLETE 4],Analysis_1664185[[#This Row],[Athletes ]],Game_52183[RESULT 34],"win"))</calculatedColumnFormula>
    </tableColumn>
    <tableColumn id="5" xr3:uid="{4B8CFE70-B948-D845-8C97-51ED829F4B00}" name="LOSE" dataDxfId="413">
      <calculatedColumnFormula>SUM(COUNTIFS(Game_52183[ATHLETE 1],Analysis_1664185[[#This Row],[Athletes ]],Game_52183[RESULT 12],"lose"),COUNTIFS(Game_52183[ATHLETE 2],Analysis_1664185[[#This Row],[Athletes ]],Game_52183[RESULT 12],"lose"),COUNTIFS(Game_52183[ATHLETE 3],Analysis_1664185[[#This Row],[Athletes ]],Game_52183[RESULT 34],"lose"),COUNTIFS(Game_52183[ATHLETE 4],Analysis_1664185[[#This Row],[Athletes ]],Game_52183[RESULT 34],"lose"))</calculatedColumnFormula>
    </tableColumn>
    <tableColumn id="3" xr3:uid="{9113528B-6D8A-0E4C-A723-E8AE1D77A37B}" name="Saldo" dataDxfId="412">
      <calculatedColumnFormula>SUM(SUMIF(Game_52183[ATHLETE 1],Analysis_1664185[[#This Row],[Athletes ]],Game_52183[SALDO 12]),SUMIF(Game_52183[ATHLETE 2],Analysis_1664185[[#This Row],[Athletes ]],Game_52183[SALDO 12]),SUMIF(Game_52183[ATHLETE 3],Analysis_1664185[[#This Row],[Athletes ]],Game_52183[SALDO 34]),SUMIF(Game_52183[ATHLETE 4],Analysis_1664185[[#This Row],[Athletes ]],Game_52183[SALDO 34]))</calculatedColumnFormula>
    </tableColumn>
    <tableColumn id="4" xr3:uid="{C033F725-A206-CC40-8A01-76AEF7A98EB3}" name="PM" dataDxfId="411">
      <calculatedColumnFormula>SUM(SUMIF(Game_52183[ATHLETE 1],Analysis_1664185[[#This Row],[Athletes ]],Game_52183[PM 12]),SUMIF(Game_52183[ATHLETE 2],Analysis_1664185[[#This Row],[Athletes ]],Game_52183[PM 12]),SUMIF(Game_52183[ATHLETE 3],Analysis_1664185[[#This Row],[Athletes ]],Game_52183[PM 34]),SUMIF(Game_52183[ATHLETE 4],Analysis_1664185[[#This Row],[Athletes ]],Game_52183[PM 34]))</calculatedColumnFormula>
    </tableColumn>
    <tableColumn id="6" xr3:uid="{9166C4EF-646C-3546-BF9F-7CE512AFD90E}" name="Rank" dataDxfId="410">
      <calculatedColumnFormula>IF(COUNTBLANK(Game_52183[[SCORE 1]:[SCORE 2]])=0,IF(RANK(H22,$H$22:$H$26)=1,RANK(H22,$H$22:$H$26)&amp;"st",IF(RANK(H22,$H$22:$H$26)=2,RANK(H22,$H$22:$H$26)&amp;"nd",IF(RANK(H22,$H$22:$H$26)=3,RANK(H22,$H$22:$H$26)&amp;"rd",RANK(H22,$H$22:$H$26)&amp;"th"))),"")</calculatedColumnFormula>
    </tableColumn>
    <tableColumn id="8" xr3:uid="{25E5A504-83E7-9342-B989-3DBA9CC31EF1}" name="Rank Support" dataDxfId="409">
      <calculatedColumnFormula>Analysis_1664185[[#This Row],[WIN]]*1000000+Analysis_1664185[[#This Row],[Saldo]]*1000+Analysis_1664185[[#This Row],[PM]]</calculatedColumnFormula>
    </tableColumn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D5760150-66FB-6A42-AA4B-D5063132F01F}" name="Table1572235446678468165186" displayName="Table1572235446678468165186" ref="T2:U12" totalsRowShown="0" headerRowDxfId="408" headerRowBorderDxfId="406" tableBorderDxfId="407">
  <autoFilter ref="T2:U12" xr:uid="{908C589F-0CD0-4EFE-993D-5B2ECC06D04A}">
    <filterColumn colId="0" hiddenButton="1"/>
    <filterColumn colId="1" hiddenButton="1"/>
  </autoFilter>
  <tableColumns count="2">
    <tableColumn id="1" xr3:uid="{9A0C58BD-BF14-044A-9DFB-1BA67076F549}" name="Athlete"/>
    <tableColumn id="2" xr3:uid="{BA6C48DC-3AA5-874A-A939-D2D39D3AF136}" name="Rank" dataDxfId="405"/>
  </tableColumns>
  <tableStyleInfo name="TableStyleMedium2" showFirstColumn="1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EB4F28C-6AFC-8A4F-990B-7A6F6919C3F8}" name="Game_52203" displayName="Game_52203" ref="B1:R11" totalsRowShown="0" headerRowDxfId="404" dataDxfId="403" headerRowBorderDxfId="401" tableBorderDxfId="402" totalsRowBorderDxfId="400">
  <autoFilter ref="B1:R11" xr:uid="{C79D687B-AEB2-42F8-B262-AEDE9265CB48}"/>
  <tableColumns count="17">
    <tableColumn id="3" xr3:uid="{AD4AECB6-A61B-FE43-BEF1-956AD0B68DE1}" name="GROUP" dataDxfId="399"/>
    <tableColumn id="4" xr3:uid="{EC122E29-CE93-3B40-BFEF-62AE3140C408}" name="ATHLETE 1" dataDxfId="398"/>
    <tableColumn id="5" xr3:uid="{2F6D34A8-B6C9-B048-9F61-97269E450AF0}" name="ATHLETE 2" dataDxfId="397"/>
    <tableColumn id="8" xr3:uid="{1DB8FBB6-A97A-984C-9868-F87CDD3CCD72}" name="SCORE 1" dataDxfId="396"/>
    <tableColumn id="9" xr3:uid="{D92250C2-7811-7742-8219-4BF4FBBFB602}" name="SCORE 2" dataDxfId="395"/>
    <tableColumn id="6" xr3:uid="{A55E4C77-389F-C341-9C46-62523102FAE8}" name="ATHLETE 3" dataDxfId="394"/>
    <tableColumn id="16" xr3:uid="{CAD23FD9-C017-124C-BE0E-C02849287AEA}" name="X" dataDxfId="393"/>
    <tableColumn id="1" xr3:uid="{3301C209-6A3C-534A-A15E-D2B00916AB7D}" name="Y" dataDxfId="392"/>
    <tableColumn id="17" xr3:uid="{266D0C90-61DF-2845-85D0-2E7CF5654447}" name="Z" dataDxfId="391"/>
    <tableColumn id="18" xr3:uid="{C9EB78AB-8B5E-614A-8573-2E91CD736A8C}" name="A" dataDxfId="390"/>
    <tableColumn id="7" xr3:uid="{0B1E16D7-8F49-F349-B7AD-03B7349E9863}" name="ATHLETE 4" dataDxfId="389"/>
    <tableColumn id="10" xr3:uid="{4A487857-E302-5144-8111-721F1B767298}" name="SALDO 12" dataDxfId="388">
      <calculatedColumnFormula>IF(OR(Game_52203[[#This Row],[SCORE 1]]="",Game_52203[[#This Row],[SCORE 2]]=""),"",Game_52203[[#This Row],[SCORE 1]]-Game_52203[[#This Row],[SCORE 2]])</calculatedColumnFormula>
    </tableColumn>
    <tableColumn id="11" xr3:uid="{7D1CB48B-D6BE-AC48-A5C8-8A2DAB4B2104}" name="SALDO 34" dataDxfId="387">
      <calculatedColumnFormula>IF(OR(Game_52203[[#This Row],[SCORE 1]]="",Game_52203[[#This Row],[SCORE 2]]=""),"",Game_52203[[#This Row],[SCORE 2]]-Game_52203[[#This Row],[SCORE 1]])</calculatedColumnFormula>
    </tableColumn>
    <tableColumn id="12" xr3:uid="{849EC2A0-2DFE-5642-8FF7-05B7B1C58917}" name="PM 12" dataDxfId="386">
      <calculatedColumnFormula>IF(Game_52203[[#This Row],[SCORE 1]]="","",Game_52203[[#This Row],[SCORE 1]])</calculatedColumnFormula>
    </tableColumn>
    <tableColumn id="13" xr3:uid="{ADB814E7-604F-A942-A9B2-3E914B1E90E5}" name="PM 34" dataDxfId="385">
      <calculatedColumnFormula>IF(Game_52203[[#This Row],[SCORE 2]]="","",Game_52203[[#This Row],[SCORE 2]])</calculatedColumnFormula>
    </tableColumn>
    <tableColumn id="14" xr3:uid="{F958CBC9-D460-7B40-95D8-5BE837304D87}" name="RESULT 12" dataDxfId="384">
      <calculatedColumnFormula>IF(OR(Game_52203[[#This Row],[SCORE 1]]="",Game_52203[[#This Row],[SCORE 2]]=""),"",IF(Game_52203[[#This Row],[SALDO 12]]&gt;0, "WIN","LOSE"))</calculatedColumnFormula>
    </tableColumn>
    <tableColumn id="15" xr3:uid="{A04C1ADC-0A5A-5B4C-9A41-08F4EA8530D2}" name="RESULT 34" dataDxfId="383">
      <calculatedColumnFormula>IF(OR(Game_52203[[#This Row],[SCORE 1]]="",Game_52203[[#This Row],[SCORE 2]]=""),"",IF(Game_52203[[#This Row],[SALDO 34]]&gt;0, "WIN","LOSE"))</calculatedColumnFormula>
    </tableColumn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87C0DB68-E49A-D146-B81A-FD8DE2479635}" name="Analysis_156204" displayName="Analysis_156204" ref="A14:H19" totalsRowShown="0" headerRowDxfId="382" dataDxfId="381" headerRowBorderDxfId="379" tableBorderDxfId="380" totalsRowBorderDxfId="378">
  <autoFilter ref="A14:H1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5:G19">
    <sortCondition descending="1" ref="D15:D19"/>
    <sortCondition descending="1" ref="E15:E19"/>
    <sortCondition descending="1" ref="F15:F19"/>
  </sortState>
  <tableColumns count="8">
    <tableColumn id="7" xr3:uid="{00887F74-B698-674D-9748-944694EE10CA}" name="Reference" dataDxfId="377"/>
    <tableColumn id="1" xr3:uid="{50875286-94BB-2B49-A740-BD8B83F18D40}" name="Athletes " dataDxfId="376"/>
    <tableColumn id="8" xr3:uid="{5B2C54C0-3ACC-BB49-8C55-3781BABBD752}" name="WIN" dataDxfId="375">
      <calculatedColumnFormula>SUM(COUNTIFS(Game_52203[ATHLETE 1],Analysis_156204[[#This Row],[Athletes ]],Game_52203[RESULT 12],"win"),COUNTIFS(Game_52203[ATHLETE 2],Analysis_156204[[#This Row],[Athletes ]],Game_52203[RESULT 12],"win"),COUNTIFS(Game_52203[ATHLETE 3],Analysis_156204[[#This Row],[Athletes ]],Game_52203[RESULT 34],"win"),COUNTIFS(Game_52203[ATHLETE 4],Analysis_156204[[#This Row],[Athletes ]],Game_52203[RESULT 34],"win"))</calculatedColumnFormula>
    </tableColumn>
    <tableColumn id="5" xr3:uid="{184367D1-BB6B-2941-B895-5CF6B8F12B2E}" name="LOSE" dataDxfId="374">
      <calculatedColumnFormula>SUM(COUNTIFS(Game_52203[ATHLETE 1],Analysis_156204[[#This Row],[Athletes ]],Game_52203[RESULT 12],"lose"),COUNTIFS(Game_52203[ATHLETE 2],Analysis_156204[[#This Row],[Athletes ]],Game_52203[RESULT 12],"lose"),COUNTIFS(Game_52203[ATHLETE 3],Analysis_156204[[#This Row],[Athletes ]],Game_52203[RESULT 34],"lose"),COUNTIFS(Game_52203[ATHLETE 4],Analysis_156204[[#This Row],[Athletes ]],Game_52203[RESULT 34],"lose"))</calculatedColumnFormula>
    </tableColumn>
    <tableColumn id="3" xr3:uid="{CB521017-13AF-CB4F-B8E8-7D9CDA0C9B0F}" name="Saldo" dataDxfId="373">
      <calculatedColumnFormula>SUM(SUMIF(Game_52203[ATHLETE 1],Analysis_156204[[#This Row],[Athletes ]],Game_52203[SALDO 12]),SUMIF(Game_52203[ATHLETE 2],Analysis_156204[[#This Row],[Athletes ]],Game_52203[SALDO 12]),SUMIF(Game_52203[ATHLETE 3],Analysis_156204[[#This Row],[Athletes ]],Game_52203[SALDO 34]),SUMIF(Game_52203[ATHLETE 4],Analysis_156204[[#This Row],[Athletes ]],Game_52203[SALDO 34]))</calculatedColumnFormula>
    </tableColumn>
    <tableColumn id="4" xr3:uid="{AD719457-98E5-2F4A-A0A5-43A33D26F2B1}" name="PM" dataDxfId="372">
      <calculatedColumnFormula>SUM(SUMIF(Game_52203[ATHLETE 1],Analysis_156204[[#This Row],[Athletes ]],Game_52203[PM 12]),SUMIF(Game_52203[ATHLETE 2],Analysis_156204[[#This Row],[Athletes ]],Game_52203[PM 12]),SUMIF(Game_52203[ATHLETE 3],Analysis_156204[[#This Row],[Athletes ]],Game_52203[PM 34]),SUMIF(Game_52203[ATHLETE 4],Analysis_156204[[#This Row],[Athletes ]],Game_52203[PM 34]))</calculatedColumnFormula>
    </tableColumn>
    <tableColumn id="6" xr3:uid="{8C55C5F9-92DC-E945-A693-70AE46D9B8DB}" name="Rank" dataDxfId="371">
      <calculatedColumnFormula>IF(COUNTBLANK(Game_52203[[SCORE 1]:[SCORE 2]])=0,IF(RANK(H15,$H$15:$H$19)=1,RANK(H15,$H$15:$H$19)&amp;"st",IF(RANK(H15,$H$15:$H$19)=2,RANK(H15,$H$15:$H$19)&amp;"nd",IF(RANK(H15,$H$15:$H$19)=3,RANK(H15,$H$15:$H$19)&amp;"rd",RANK(H15,$H$15:$H$19)&amp;"th"))),"")</calculatedColumnFormula>
    </tableColumn>
    <tableColumn id="2" xr3:uid="{BCA36590-05AD-CD48-914A-6BCC8C34C1C4}" name="Rank Support" dataDxfId="370">
      <calculatedColumnFormula>Analysis_156204[[#This Row],[WIN]]*1000000+Analysis_156204[[#This Row],[Saldo]]*1000+Analysis_156204[[#This Row],[PM]]</calculatedColumnFormula>
    </tableColumn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D3482DA9-677E-0144-8637-72E42EDD8C91}" name="Analysis_1664205" displayName="Analysis_1664205" ref="A21:H26" totalsRowShown="0" headerRowDxfId="369" dataDxfId="368" headerRowBorderDxfId="366" tableBorderDxfId="367" totalsRowBorderDxfId="365">
  <autoFilter ref="A21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2:G26">
    <sortCondition descending="1" ref="D22:D26"/>
    <sortCondition descending="1" ref="E22:E26"/>
    <sortCondition descending="1" ref="F22:F26"/>
  </sortState>
  <tableColumns count="8">
    <tableColumn id="1" xr3:uid="{2CC7ADFD-7A69-D34F-8284-BE710822BC49}" name="Reference" dataDxfId="364"/>
    <tableColumn id="2" xr3:uid="{AC913DD2-8FA5-5143-AA90-2B3532113CF6}" name="Athletes " dataDxfId="363"/>
    <tableColumn id="7" xr3:uid="{540E2CCB-C9B5-F745-8D36-BA598B887B4A}" name="WIN" dataDxfId="362">
      <calculatedColumnFormula>SUM(COUNTIFS(Game_52203[ATHLETE 1],Analysis_1664205[[#This Row],[Athletes ]],Game_52203[RESULT 12],"win"),COUNTIFS(Game_52203[ATHLETE 2],Analysis_1664205[[#This Row],[Athletes ]],Game_52203[RESULT 12],"win"),COUNTIFS(Game_52203[ATHLETE 3],Analysis_1664205[[#This Row],[Athletes ]],Game_52203[RESULT 34],"win"),COUNTIFS(Game_52203[ATHLETE 4],Analysis_1664205[[#This Row],[Athletes ]],Game_52203[RESULT 34],"win"))</calculatedColumnFormula>
    </tableColumn>
    <tableColumn id="5" xr3:uid="{08562CD2-0363-824E-BFDA-33AFF35F5413}" name="LOSE" dataDxfId="361">
      <calculatedColumnFormula>SUM(COUNTIFS(Game_52203[ATHLETE 1],Analysis_1664205[[#This Row],[Athletes ]],Game_52203[RESULT 12],"lose"),COUNTIFS(Game_52203[ATHLETE 2],Analysis_1664205[[#This Row],[Athletes ]],Game_52203[RESULT 12],"lose"),COUNTIFS(Game_52203[ATHLETE 3],Analysis_1664205[[#This Row],[Athletes ]],Game_52203[RESULT 34],"lose"),COUNTIFS(Game_52203[ATHLETE 4],Analysis_1664205[[#This Row],[Athletes ]],Game_52203[RESULT 34],"lose"))</calculatedColumnFormula>
    </tableColumn>
    <tableColumn id="3" xr3:uid="{7C8BE23E-0364-0B48-9B35-C02762A113D1}" name="Saldo" dataDxfId="360">
      <calculatedColumnFormula>SUM(SUMIF(Game_52203[ATHLETE 1],Analysis_1664205[[#This Row],[Athletes ]],Game_52203[SALDO 12]),SUMIF(Game_52203[ATHLETE 2],Analysis_1664205[[#This Row],[Athletes ]],Game_52203[SALDO 12]),SUMIF(Game_52203[ATHLETE 3],Analysis_1664205[[#This Row],[Athletes ]],Game_52203[SALDO 34]),SUMIF(Game_52203[ATHLETE 4],Analysis_1664205[[#This Row],[Athletes ]],Game_52203[SALDO 34]))</calculatedColumnFormula>
    </tableColumn>
    <tableColumn id="4" xr3:uid="{898E6C57-F2DC-6648-B992-1601131DD8E2}" name="PM" dataDxfId="359">
      <calculatedColumnFormula>SUM(SUMIF(Game_52203[ATHLETE 1],Analysis_1664205[[#This Row],[Athletes ]],Game_52203[PM 12]),SUMIF(Game_52203[ATHLETE 2],Analysis_1664205[[#This Row],[Athletes ]],Game_52203[PM 12]),SUMIF(Game_52203[ATHLETE 3],Analysis_1664205[[#This Row],[Athletes ]],Game_52203[PM 34]),SUMIF(Game_52203[ATHLETE 4],Analysis_1664205[[#This Row],[Athletes ]],Game_52203[PM 34]))</calculatedColumnFormula>
    </tableColumn>
    <tableColumn id="6" xr3:uid="{E2749E79-F80B-A54E-AEEE-0677FC898BB7}" name="Rank" dataDxfId="358">
      <calculatedColumnFormula>IF(COUNTBLANK(Game_52203[[SCORE 1]:[SCORE 2]])=0,IF(RANK(H22,$H$22:$H$26)=1,RANK(H22,$H$22:$H$26)&amp;"st",IF(RANK(H22,$H$22:$H$26)=2,RANK(H22,$H$22:$H$26)&amp;"nd",IF(RANK(H22,$H$22:$H$26)=3,RANK(H22,$H$22:$H$26)&amp;"rd",RANK(H22,$H$22:$H$26)&amp;"th"))),"")</calculatedColumnFormula>
    </tableColumn>
    <tableColumn id="8" xr3:uid="{A938007A-0417-A64D-9806-C8B2B37A49C9}" name="Rank Support" dataDxfId="357">
      <calculatedColumnFormula>Analysis_1664205[[#This Row],[WIN]]*1000000+Analysis_1664205[[#This Row],[Saldo]]*1000+Analysis_1664205[[#This Row],[PM]]</calculatedColumnFormula>
    </tableColumn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DFE386B1-A982-B147-B05A-38C6567176B4}" name="Table1572235446678468165206" displayName="Table1572235446678468165206" ref="T2:U12" totalsRowShown="0" headerRowDxfId="356" headerRowBorderDxfId="354" tableBorderDxfId="355">
  <autoFilter ref="T2:U12" xr:uid="{908C589F-0CD0-4EFE-993D-5B2ECC06D04A}">
    <filterColumn colId="0" hiddenButton="1"/>
    <filterColumn colId="1" hiddenButton="1"/>
  </autoFilter>
  <tableColumns count="2">
    <tableColumn id="1" xr3:uid="{48FAA7B5-0EA9-F542-8D3E-05F10DC9CADA}" name="Athlete"/>
    <tableColumn id="2" xr3:uid="{36770D98-9ED5-B74E-A49A-B34ADC4C5F92}" name="Rank" dataDxfId="353"/>
  </tableColumns>
  <tableStyleInfo name="TableStyleMedium2" showFirstColumn="1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50616692-E3E8-6543-8B9D-9A3D87766ABB}" name="Games_4191" displayName="Games_4191" ref="B1:R13" totalsRowShown="0" headerRowDxfId="352" dataDxfId="351" headerRowBorderDxfId="349" tableBorderDxfId="350" totalsRowBorderDxfId="348">
  <autoFilter ref="B1:R13" xr:uid="{C79D687B-AEB2-42F8-B262-AEDE9265CB48}"/>
  <tableColumns count="17">
    <tableColumn id="3" xr3:uid="{9CA1F669-02AA-E740-851E-884787929BF0}" name="GROUP" dataDxfId="347"/>
    <tableColumn id="4" xr3:uid="{E5E303F3-EF64-DF45-BFE8-54CD5C291F96}" name="ATHLETE 1" dataDxfId="346"/>
    <tableColumn id="5" xr3:uid="{D43FA454-5FFF-5047-AD08-E713DDFB9B5A}" name="ATHLETE 2" dataDxfId="345"/>
    <tableColumn id="8" xr3:uid="{D3393B09-D87A-FA4C-AA8B-6794F22E890B}" name="SCORE 1" dataDxfId="344"/>
    <tableColumn id="9" xr3:uid="{21CDFBA9-3999-8845-A0AE-6E0356B9E9EF}" name="SCORE 2" dataDxfId="343"/>
    <tableColumn id="6" xr3:uid="{FC662717-26E6-3F46-A3FA-CE4A5E08A4DA}" name="ATHLETE 3" dataDxfId="342"/>
    <tableColumn id="17" xr3:uid="{C631B0A5-D5F8-6C45-8885-9B37E9DB8EAC}" name="X" dataDxfId="341"/>
    <tableColumn id="16" xr3:uid="{E3DD091E-9B79-5244-82D3-DF8C6742FCBF}" name="Y" dataDxfId="340"/>
    <tableColumn id="2" xr3:uid="{252A8183-E123-6640-BA2D-68DC77C60372}" name="Z" dataDxfId="339"/>
    <tableColumn id="1" xr3:uid="{901FB34E-C05C-8040-85C9-9290A9229383}" name="A" dataDxfId="338"/>
    <tableColumn id="7" xr3:uid="{4F2FB2D5-FCC8-8B45-89A9-9F6C40B3C150}" name="ATHLETE 4" dataDxfId="337"/>
    <tableColumn id="10" xr3:uid="{B6DF53A1-71A5-0943-BD78-D2E1A7F2A6FD}" name="SALDO 12" dataDxfId="336">
      <calculatedColumnFormula>IF(OR(Games_4191[[#This Row],[SCORE 1]]="",Games_4191[[#This Row],[SCORE 2]]=""),"",Games_4191[[#This Row],[SCORE 1]]-Games_4191[[#This Row],[SCORE 2]])</calculatedColumnFormula>
    </tableColumn>
    <tableColumn id="11" xr3:uid="{3F0C4C4B-9538-034C-A0BA-C02FEF7D696F}" name="SALDO 34" dataDxfId="335">
      <calculatedColumnFormula>IF(OR(Games_4191[[#This Row],[SCORE 1]]="",Games_4191[[#This Row],[SCORE 2]]=""),"",Games_4191[[#This Row],[SCORE 2]]-Games_4191[[#This Row],[SCORE 1]])</calculatedColumnFormula>
    </tableColumn>
    <tableColumn id="12" xr3:uid="{266D2284-0E03-7944-8B47-F5C7901A0736}" name="PM 12" dataDxfId="334">
      <calculatedColumnFormula>IF(Games_4191[[#This Row],[SCORE 1]]="","",Games_4191[[#This Row],[SCORE 1]])</calculatedColumnFormula>
    </tableColumn>
    <tableColumn id="13" xr3:uid="{017B4581-A3AB-7F45-A67F-8E6CE5DD8171}" name="PM 34" dataDxfId="333">
      <calculatedColumnFormula>IF(Games_4191[[#This Row],[SCORE 2]]="","",Games_4191[[#This Row],[SCORE 2]])</calculatedColumnFormula>
    </tableColumn>
    <tableColumn id="14" xr3:uid="{ADDD8FCD-CC9B-6D42-A41C-DA4E7EC71A3E}" name="RESULT 12" dataDxfId="332">
      <calculatedColumnFormula>IF(OR(Games_4191[[#This Row],[SCORE 1]]="",Games_4191[[#This Row],[SCORE 2]]=""),"",IF(Games_4191[[#This Row],[SALDO 12]]&gt;0, "WIN","LOSE"))</calculatedColumnFormula>
    </tableColumn>
    <tableColumn id="15" xr3:uid="{867ACA78-7315-7341-B03A-504F3A2765B7}" name="RESULT 34" dataDxfId="331">
      <calculatedColumnFormula>IF(OR(Games_4191[[#This Row],[SCORE 1]]="",Games_4191[[#This Row],[SCORE 2]]=""),"",IF(Games_4191[[#This Row],[SALDO 34]]&gt;0, "WIN","LOSE"))</calculatedColumnFormula>
    </tableColumn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C0CC15CA-165D-C742-89F3-DD951E67791A}" name="Analysis_9192" displayName="Analysis_9192" ref="A16:H20" totalsRowShown="0" headerRowDxfId="330" dataDxfId="329" headerRowBorderDxfId="327" tableBorderDxfId="328" totalsRowBorderDxfId="326">
  <autoFilter ref="A16:H20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E6EF6899-502F-0C40-8D53-D8CFE7318485}" name="Group" dataDxfId="325"/>
    <tableColumn id="1" xr3:uid="{EBC9ED66-6A44-9644-BDD7-5F17E19D2852}" name="Atheletes " dataDxfId="324"/>
    <tableColumn id="8" xr3:uid="{2618F852-DAD2-2D4C-A093-6CA401A789A3}" name="WIN" dataDxfId="323">
      <calculatedColumnFormula>SUM(COUNTIFS(Games_4191[ATHLETE 1],Analysis_9192[[#This Row],[Atheletes ]],Games_4191[RESULT 12],Analysis_9192[[#Headers],[WIN]]),COUNTIFS(Games_4191[ATHLETE 2],Analysis_9192[[#This Row],[Atheletes ]],Games_4191[RESULT 12],Analysis_9192[[#Headers],[WIN]]),COUNTIFS(Games_4191[ATHLETE 3],Analysis_9192[[#This Row],[Atheletes ]],Games_4191[RESULT 34],Analysis_9192[[#Headers],[WIN]]),COUNTIFS(Games_4191[ATHLETE 4],Analysis_9192[[#This Row],[Atheletes ]],Games_4191[RESULT 34],Analysis_9192[[#Headers],[WIN]]))</calculatedColumnFormula>
    </tableColumn>
    <tableColumn id="5" xr3:uid="{41D5DB81-E725-5242-8FC4-5BC19F180558}" name="LOSE" dataDxfId="322">
      <calculatedColumnFormula>SUM(COUNTIFS(Games_4191[ATHLETE 1],Analysis_9192[[#This Row],[Atheletes ]],Games_4191[RESULT 12],Analysis_9192[[#Headers],[LOSE]]),COUNTIFS(Games_4191[ATHLETE 2],Analysis_9192[[#This Row],[Atheletes ]],Games_4191[RESULT 12],Analysis_9192[[#Headers],[LOSE]]),COUNTIFS(Games_4191[ATHLETE 3],Analysis_9192[[#This Row],[Atheletes ]],Games_4191[RESULT 34],Analysis_9192[[#Headers],[LOSE]]),COUNTIFS(Games_4191[ATHLETE 4],Analysis_9192[[#This Row],[Atheletes ]],Games_4191[RESULT 34],Analysis_9192[[#Headers],[LOSE]]))</calculatedColumnFormula>
    </tableColumn>
    <tableColumn id="3" xr3:uid="{4ABE0AB1-9FCC-0D44-A745-D6664D8A5433}" name="Saldo" dataDxfId="321">
      <calculatedColumnFormula>SUM(SUMIF(Games_4191[ATHLETE 1],Analysis_9192[[#This Row],[Atheletes ]],Games_4191[SALDO 12]),SUMIF(Games_4191[ATHLETE 2],Analysis_9192[[#This Row],[Atheletes ]],Games_4191[SALDO 12]),SUMIF(Games_4191[ATHLETE 3],Analysis_9192[[#This Row],[Atheletes ]],Games_4191[SALDO 34]),SUMIF(Games_4191[ATHLETE 4],Analysis_9192[[#This Row],[Atheletes ]],Games_4191[SALDO 34]))</calculatedColumnFormula>
    </tableColumn>
    <tableColumn id="4" xr3:uid="{177FD514-45B1-B04D-AB6A-811C5D1AE5B2}" name="PM" dataDxfId="320">
      <calculatedColumnFormula>SUM(SUMIF(Games_4191[ATHLETE 1],Analysis_9192[[#This Row],[Atheletes ]],Games_4191[PM 12]),SUMIF(Games_4191[ATHLETE 2],Analysis_9192[[#This Row],[Atheletes ]],Games_4191[PM 12]),SUMIF(Games_4191[ATHLETE 3],Analysis_9192[[#This Row],[Atheletes ]],Games_4191[PM 34]),SUMIF(Games_4191[ATHLETE 4],Analysis_9192[[#This Row],[Atheletes ]],Games_4191[PM 34]))</calculatedColumnFormula>
    </tableColumn>
    <tableColumn id="6" xr3:uid="{81BEA4CD-7998-FC4D-ADD8-A5B9DFE8F0E9}" name="Rank" dataDxfId="319">
      <calculatedColumnFormula>IF(COUNTBLANK(Games_4191[[SCORE 1]:[SCORE 2]])=0,IF(RANK(H17,$H$17:$H$20)=1,RANK(H17,$H$17:$H$20)&amp;"st",IF(RANK(H17,$H$17:$H$20)=2,RANK(H17,$H$17:$H$20)&amp;"nd",IF(RANK(H17,$H$17:$H$20)=3,RANK(H17,$H$17:$H$20)&amp;"rd",RANK(H17,$H$17:$H$20)&amp;"th"))),"")</calculatedColumnFormula>
    </tableColumn>
    <tableColumn id="2" xr3:uid="{2A0725CF-4166-7E49-B23B-266176B503AE}" name="Rank support" dataDxfId="318">
      <calculatedColumnFormula>IF(COUNTBLANK(Games_4191[[SCORE 1]:[SCORE 2]])=0,Analysis_9192[[#This Row],[WIN]]*1000000+Analysis_9192[[#This Row],[Saldo]]*1000+Analysis_9192[[#This Row],[PM]],"")</calculatedColumnFormula>
    </tableColumn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12E55178-EFA6-F64B-B05E-C523A4B662AC}" name="Analysis_10193" displayName="Analysis_10193" ref="A22:H26" totalsRowShown="0" headerRowDxfId="317" dataDxfId="316" headerRowBorderDxfId="314" tableBorderDxfId="315" totalsRowBorderDxfId="313">
  <autoFilter ref="A22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3:G26">
    <sortCondition descending="1" ref="D23:D26"/>
    <sortCondition descending="1" ref="E23:E26"/>
    <sortCondition descending="1" ref="F23:F26"/>
  </sortState>
  <tableColumns count="8">
    <tableColumn id="1" xr3:uid="{BEB22F26-810F-2D41-B39A-7A48B668EA0E}" name="Group" dataDxfId="312"/>
    <tableColumn id="2" xr3:uid="{2C2E4BBE-45CD-394B-B10B-B940C432694B}" name="Atheletes " dataDxfId="311"/>
    <tableColumn id="7" xr3:uid="{48095E5B-2065-2B44-B10D-8CBE71ACE250}" name="WIN" dataDxfId="310">
      <calculatedColumnFormula>SUM(COUNTIFS(Games_4191[ATHLETE 1],Analysis_10193[[#This Row],[Atheletes ]],Games_4191[RESULT 12],Analysis_9192[[#Headers],[WIN]]),COUNTIFS(Games_4191[ATHLETE 2],Analysis_10193[[#This Row],[Atheletes ]],Games_4191[RESULT 12],Analysis_9192[[#Headers],[WIN]]),COUNTIFS(Games_4191[ATHLETE 3],Analysis_10193[[#This Row],[Atheletes ]],Games_4191[RESULT 34],Analysis_9192[[#Headers],[WIN]]),COUNTIFS(Games_4191[ATHLETE 4],Analysis_10193[[#This Row],[Atheletes ]],Games_4191[RESULT 34],Analysis_9192[[#Headers],[WIN]]))</calculatedColumnFormula>
    </tableColumn>
    <tableColumn id="5" xr3:uid="{46477245-3FB4-B24A-ACE5-7BB898A33585}" name="LOSE" dataDxfId="309">
      <calculatedColumnFormula>SUM(COUNTIFS(Games_4191[ATHLETE 1],Analysis_10193[[#This Row],[Atheletes ]],Games_4191[RESULT 12],Analysis_9192[[#Headers],[LOSE]]),COUNTIFS(Games_4191[ATHLETE 2],Analysis_10193[[#This Row],[Atheletes ]],Games_4191[RESULT 12],Analysis_9192[[#Headers],[LOSE]]),COUNTIFS(Games_4191[ATHLETE 3],Analysis_10193[[#This Row],[Atheletes ]],Games_4191[RESULT 34],Analysis_9192[[#Headers],[LOSE]]),COUNTIFS(Games_4191[ATHLETE 4],Analysis_10193[[#This Row],[Atheletes ]],Games_4191[RESULT 34],Analysis_9192[[#Headers],[LOSE]]))</calculatedColumnFormula>
    </tableColumn>
    <tableColumn id="3" xr3:uid="{1BD9974E-D3FF-3347-A569-0FE77B09063D}" name="Saldo" dataDxfId="308">
      <calculatedColumnFormula>SUM(SUMIF(Games_4191[ATHLETE 1],Analysis_10193[[#This Row],[Atheletes ]],Games_4191[SALDO 12]),SUMIF(Games_4191[ATHLETE 2],Analysis_10193[[#This Row],[Atheletes ]],Games_4191[SALDO 12]),SUMIF(Games_4191[ATHLETE 3],Analysis_10193[[#This Row],[Atheletes ]],Games_4191[SALDO 34]),SUMIF(Games_4191[ATHLETE 4],Analysis_10193[[#This Row],[Atheletes ]],Games_4191[SALDO 34]))</calculatedColumnFormula>
    </tableColumn>
    <tableColumn id="4" xr3:uid="{25486527-AB3C-4C42-9688-347540E5B80B}" name="PM" dataDxfId="307">
      <calculatedColumnFormula>SUM(SUMIF(Games_4191[ATHLETE 1],Analysis_10193[[#This Row],[Atheletes ]],Games_4191[PM 12]),SUMIF(Games_4191[ATHLETE 2],Analysis_10193[[#This Row],[Atheletes ]],Games_4191[PM 12]),SUMIF(Games_4191[ATHLETE 3],Analysis_10193[[#This Row],[Atheletes ]],Games_4191[PM 34]),SUMIF(Games_4191[ATHLETE 4],Analysis_10193[[#This Row],[Atheletes ]],Games_4191[PM 34]))</calculatedColumnFormula>
    </tableColumn>
    <tableColumn id="6" xr3:uid="{19E9DA30-A17B-D344-961F-C4D411E30183}" name="Rank" dataDxfId="306">
      <calculatedColumnFormula>IF(COUNTBLANK(Games_4191[[SCORE 1]:[SCORE 2]])=0,IF(RANK(H23,$H$23:$H$26)=1,RANK(H23,$H$23:$H$26)&amp;"st",IF(RANK(H23,$H$23:$H$26)=2,RANK(H23,$H$23:$H$26)&amp;"nd",IF(RANK(H23,$H$23:$H$26)=3,RANK(H23,$H$23:$H$26)&amp;"rd",RANK(H23,$H$23:$H$26)&amp;"th"))),"")</calculatedColumnFormula>
    </tableColumn>
    <tableColumn id="8" xr3:uid="{59BA9C93-752C-744A-B984-7333E3A6CD01}" name="Rank support" dataDxfId="305">
      <calculatedColumnFormula>IF(COUNTBLANK(Games_4191[[SCORE 1]:[SCORE 2]])=0,Analysis_10193[[#This Row],[WIN]]*1000000+Analysis_10193[[#This Row],[Saldo]]*1000+Analysis_10193[[#This Row],[PM]],"")</calculatedColumnFormula>
    </tableColumn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2A450B31-3626-9549-ADBA-9205EB19810A}" name="Table152028325060729321194" displayName="Table152028325060729321194" ref="T2:U18" totalsRowShown="0" headerRowDxfId="304" dataDxfId="303" headerRowBorderDxfId="301" tableBorderDxfId="302">
  <autoFilter ref="T2:U18" xr:uid="{908C589F-0CD0-4EFE-993D-5B2ECC06D04A}">
    <filterColumn colId="0" hiddenButton="1"/>
    <filterColumn colId="1" hiddenButton="1"/>
  </autoFilter>
  <tableColumns count="2">
    <tableColumn id="1" xr3:uid="{B92E192C-80FB-BD45-B6DF-1A773F53A875}" name="Athlete" dataDxfId="300"/>
    <tableColumn id="2" xr3:uid="{B0368B92-D89D-A94A-880B-5602BB2CE937}" name="Rank" dataDxfId="299"/>
  </tableColumns>
  <tableStyleInfo name="TableStyleMedium2" showFirstColumn="1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145C8962-76CD-3A46-8128-EBBE85314DDF}" name="Analysis_11195" displayName="Analysis_11195" ref="A28:H32" totalsRowShown="0" headerRowDxfId="298" dataDxfId="297" headerRowBorderDxfId="295" tableBorderDxfId="296" totalsRowBorderDxfId="294">
  <autoFilter ref="A28:H32" xr:uid="{C1D8D95A-3D53-41E8-AABC-9D152E7B02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9:G32">
    <sortCondition descending="1" ref="D23:D26"/>
    <sortCondition descending="1" ref="E23:E26"/>
    <sortCondition descending="1" ref="F23:F26"/>
  </sortState>
  <tableColumns count="8">
    <tableColumn id="1" xr3:uid="{5AC6C925-1423-9F44-AE17-310FD5A84DE3}" name="Group" dataDxfId="293"/>
    <tableColumn id="2" xr3:uid="{570869FF-827A-BB4D-AA19-525A61426B9B}" name="Atheletes " dataDxfId="292"/>
    <tableColumn id="7" xr3:uid="{0AB7DA36-3B33-E647-A513-53CC016B607E}" name="WIN" dataDxfId="291">
      <calculatedColumnFormula>SUM(COUNTIFS(Games_4191[ATHLETE 1],Analysis_11195[[#This Row],[Atheletes ]],Games_4191[RESULT 12],Analysis_9192[[#Headers],[WIN]]),COUNTIFS(Games_4191[ATHLETE 2],Analysis_11195[[#This Row],[Atheletes ]],Games_4191[RESULT 12],Analysis_9192[[#Headers],[WIN]]),COUNTIFS(Games_4191[ATHLETE 3],Analysis_11195[[#This Row],[Atheletes ]],Games_4191[RESULT 34],Analysis_9192[[#Headers],[WIN]]),COUNTIFS(Games_4191[ATHLETE 4],Analysis_11195[[#This Row],[Atheletes ]],Games_4191[RESULT 34],Analysis_9192[[#Headers],[WIN]]))</calculatedColumnFormula>
    </tableColumn>
    <tableColumn id="5" xr3:uid="{55277D14-BE4A-1C49-BA06-F26F4A19E81A}" name="LOSE" dataDxfId="290">
      <calculatedColumnFormula>SUM(COUNTIFS(Games_4191[ATHLETE 1],Analysis_11195[[#This Row],[Atheletes ]],Games_4191[RESULT 12],Analysis_9192[[#Headers],[LOSE]]),COUNTIFS(Games_4191[ATHLETE 2],Analysis_11195[[#This Row],[Atheletes ]],Games_4191[RESULT 12],Analysis_9192[[#Headers],[LOSE]]),COUNTIFS(Games_4191[ATHLETE 3],Analysis_11195[[#This Row],[Atheletes ]],Games_4191[RESULT 34],Analysis_9192[[#Headers],[LOSE]]),COUNTIFS(Games_4191[ATHLETE 4],Analysis_11195[[#This Row],[Atheletes ]],Games_4191[RESULT 34],Analysis_9192[[#Headers],[LOSE]]))</calculatedColumnFormula>
    </tableColumn>
    <tableColumn id="3" xr3:uid="{D001F2D4-17FA-6949-BFC3-81D28C005198}" name="Saldo" dataDxfId="289">
      <calculatedColumnFormula>SUM(SUMIF(Games_4191[ATHLETE 1],Analysis_11195[[#This Row],[Atheletes ]],Games_4191[SALDO 12]),SUMIF(Games_4191[ATHLETE 2],Analysis_11195[[#This Row],[Atheletes ]],Games_4191[SALDO 12]),SUMIF(Games_4191[ATHLETE 3],Analysis_11195[[#This Row],[Atheletes ]],Games_4191[SALDO 34]),SUMIF(Games_4191[ATHLETE 4],Analysis_11195[[#This Row],[Atheletes ]],Games_4191[SALDO 34]))</calculatedColumnFormula>
    </tableColumn>
    <tableColumn id="4" xr3:uid="{BAD06652-E291-3449-BBF9-A902A50611B7}" name="PM" dataDxfId="288">
      <calculatedColumnFormula>SUM(SUMIF(Games_4191[ATHLETE 1],Analysis_11195[[#This Row],[Atheletes ]],Games_4191[PM 12]),SUMIF(Games_4191[ATHLETE 2],Analysis_11195[[#This Row],[Atheletes ]],Games_4191[PM 12]),SUMIF(Games_4191[ATHLETE 3],Analysis_11195[[#This Row],[Atheletes ]],Games_4191[PM 34]),SUMIF(Games_4191[ATHLETE 4],Analysis_11195[[#This Row],[Atheletes ]],Games_4191[PM 34]))</calculatedColumnFormula>
    </tableColumn>
    <tableColumn id="6" xr3:uid="{A68FE8BD-D4E1-9843-A633-181609552A96}" name="Rank" dataDxfId="287">
      <calculatedColumnFormula>IF(COUNTBLANK(Games_4191[[SCORE 1]:[SCORE 2]])=0,IF(RANK(H29,$H$29:$H$32)=1,RANK(H29,$H$29:$H$32)&amp;"st",IF(RANK(H29,$H$29:$H$32)=2,RANK(H29,$H$29:$H$32)&amp;"nd",IF(RANK(H29,$H$29:$H$32)=3,RANK(H29,$H$29:$H$32)&amp;"rd",RANK(H29,$H$29:$H$32)&amp;"th"))),"")</calculatedColumnFormula>
    </tableColumn>
    <tableColumn id="8" xr3:uid="{BD9F68BB-E831-2841-A1E1-A44D3DA9FA5F}" name="Rank support" dataDxfId="286">
      <calculatedColumnFormula>IF(COUNTBLANK(Games_4191[[SCORE 1]:[SCORE 2]])=0,Analysis_11195[[#This Row],[WIN]]*1000000+Analysis_11195[[#This Row],[Saldo]]*1000+Analysis_11195[[#This Row],[PM]],"")</calculatedColumnFormula>
    </tableColumn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92D9B9FD-7F91-CD43-833F-F13045B2FC10}" name="Analysis_12196" displayName="Analysis_12196" ref="A34:H38" totalsRowShown="0" headerRowDxfId="285" dataDxfId="284" headerRowBorderDxfId="282" tableBorderDxfId="283" totalsRowBorderDxfId="281">
  <autoFilter ref="A34:H38" xr:uid="{9F4F8760-BA71-124B-B0E6-15798FF188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35:G38">
    <sortCondition descending="1" ref="D23:D26"/>
    <sortCondition descending="1" ref="E23:E26"/>
    <sortCondition descending="1" ref="F23:F26"/>
  </sortState>
  <tableColumns count="8">
    <tableColumn id="1" xr3:uid="{0EF5CA25-42F0-8341-932F-057460E025F5}" name="Group" dataDxfId="280"/>
    <tableColumn id="2" xr3:uid="{61E3934D-E775-F94B-94D1-1D905E1D6AA2}" name="Atheletes " dataDxfId="279"/>
    <tableColumn id="7" xr3:uid="{3147C22B-BCB8-A348-A7DC-C86EA24BD2E8}" name="WIN" dataDxfId="278">
      <calculatedColumnFormula>SUM(COUNTIFS(Games_4191[ATHLETE 1],Analysis_12196[[#This Row],[Atheletes ]],Games_4191[RESULT 12],Analysis_9192[[#Headers],[WIN]]),COUNTIFS(Games_4191[ATHLETE 2],Analysis_12196[[#This Row],[Atheletes ]],Games_4191[RESULT 12],Analysis_9192[[#Headers],[WIN]]),COUNTIFS(Games_4191[ATHLETE 3],Analysis_12196[[#This Row],[Atheletes ]],Games_4191[RESULT 34],Analysis_9192[[#Headers],[WIN]]),COUNTIFS(Games_4191[ATHLETE 4],Analysis_12196[[#This Row],[Atheletes ]],Games_4191[RESULT 34],Analysis_9192[[#Headers],[WIN]]))</calculatedColumnFormula>
    </tableColumn>
    <tableColumn id="5" xr3:uid="{339BC764-1CAC-0D4C-92D3-325DAAC90666}" name="LOSE" dataDxfId="277">
      <calculatedColumnFormula>SUM(COUNTIFS(Games_4191[ATHLETE 1],Analysis_12196[[#This Row],[Atheletes ]],Games_4191[RESULT 12],Analysis_9192[[#Headers],[LOSE]]),COUNTIFS(Games_4191[ATHLETE 2],Analysis_12196[[#This Row],[Atheletes ]],Games_4191[RESULT 12],Analysis_9192[[#Headers],[LOSE]]),COUNTIFS(Games_4191[ATHLETE 3],Analysis_12196[[#This Row],[Atheletes ]],Games_4191[RESULT 34],Analysis_9192[[#Headers],[LOSE]]),COUNTIFS(Games_4191[ATHLETE 4],Analysis_12196[[#This Row],[Atheletes ]],Games_4191[RESULT 34],Analysis_9192[[#Headers],[LOSE]]))</calculatedColumnFormula>
    </tableColumn>
    <tableColumn id="3" xr3:uid="{A39FC8F3-7E36-ED4D-8CC8-BF34003D4D44}" name="Saldo" dataDxfId="276">
      <calculatedColumnFormula>SUM(SUMIF(Games_4191[ATHLETE 1],Analysis_12196[[#This Row],[Atheletes ]],Games_4191[SALDO 12]),SUMIF(Games_4191[ATHLETE 2],Analysis_12196[[#This Row],[Atheletes ]],Games_4191[SALDO 12]),SUMIF(Games_4191[ATHLETE 3],Analysis_12196[[#This Row],[Atheletes ]],Games_4191[SALDO 34]),SUMIF(Games_4191[ATHLETE 4],Analysis_12196[[#This Row],[Atheletes ]],Games_4191[SALDO 34]))</calculatedColumnFormula>
    </tableColumn>
    <tableColumn id="4" xr3:uid="{4138496D-D2F0-7E45-8F87-B7A2D9E136F4}" name="PM" dataDxfId="275">
      <calculatedColumnFormula>SUM(SUMIF(Games_4191[ATHLETE 1],Analysis_12196[[#This Row],[Atheletes ]],Games_4191[PM 12]),SUMIF(Games_4191[ATHLETE 2],Analysis_12196[[#This Row],[Atheletes ]],Games_4191[PM 12]),SUMIF(Games_4191[ATHLETE 3],Analysis_12196[[#This Row],[Atheletes ]],Games_4191[PM 34]),SUMIF(Games_4191[ATHLETE 4],Analysis_12196[[#This Row],[Atheletes ]],Games_4191[PM 34]))</calculatedColumnFormula>
    </tableColumn>
    <tableColumn id="6" xr3:uid="{BF9355AE-B5BA-194A-9291-C1B2C360FFDD}" name="Rank" dataDxfId="274">
      <calculatedColumnFormula>IF(COUNTBLANK(Games_4191[[SCORE 1]:[SCORE 2]])=0,IF(RANK(H35,$H$35:$H$38)=1,RANK(H35,$H$35:$H$38)&amp;"st",IF(RANK(H35,$H$35:$H$38)=2,RANK(H35,$H$35:$H$38)&amp;"nd",IF(RANK(H35,$H$35:$H$38)=3,RANK(H35,$H$35:$H$38)&amp;"rd",RANK(H35,$H$35:$H$38)&amp;"th"))),"")</calculatedColumnFormula>
    </tableColumn>
    <tableColumn id="8" xr3:uid="{04AE31BD-DE1D-3C44-BCC1-F8F06AF3EFF5}" name="Rank support" dataDxfId="273">
      <calculatedColumnFormula>IF(COUNTBLANK(Games_4191[[SCORE 1]:[SCORE 2]])=0,Analysis_12196[[#This Row],[WIN]]*1000000+Analysis_12196[[#This Row],[Saldo]]*1000+Analysis_12196[[#This Row],[PM]],"")</calculatedColumnFormula>
    </tableColumn>
  </tableColumns>
  <tableStyleInfo name="TableStyleMedium2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8F0938BA-8E2A-4C44-B9F3-93D940BB0FFD}" name="Table41013422336386130197200" displayName="Table41013422336386130197200" ref="B1:R10" totalsRowShown="0" headerRowDxfId="272" dataDxfId="271" headerRowBorderDxfId="269" tableBorderDxfId="270" totalsRowBorderDxfId="268">
  <autoFilter ref="B1:R10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3" xr3:uid="{30F83399-1C1D-E642-B1D0-56A3A9877F42}" name="GROUP" dataDxfId="267"/>
    <tableColumn id="4" xr3:uid="{AF3EC335-44DC-724C-A23A-9AB9B54E701A}" name="ATHLETE 1" dataDxfId="266">
      <calculatedColumnFormula>$B$20</calculatedColumnFormula>
    </tableColumn>
    <tableColumn id="5" xr3:uid="{19B38C13-2EF2-2F41-8C2A-F22222520F7A}" name="ATHLETE 2" dataDxfId="265"/>
    <tableColumn id="8" xr3:uid="{7D4920D4-16E3-D347-BE20-463D4B4A0C59}" name="SCORE 1" dataDxfId="264"/>
    <tableColumn id="9" xr3:uid="{CE48F349-2BB1-7C43-8B3B-8952F746C518}" name="SCORE 2" dataDxfId="263"/>
    <tableColumn id="6" xr3:uid="{2A58C0E3-E190-0645-B4B4-7B4B8426981C}" name="ATHLETE 3" dataDxfId="262"/>
    <tableColumn id="1" xr3:uid="{0330DFB8-BEB9-2241-9CCB-16774CB6AC8E}" name="X" dataDxfId="261"/>
    <tableColumn id="2" xr3:uid="{CC17951F-0188-7942-9EFA-8CCD9E87C5DE}" name="Y" dataDxfId="260"/>
    <tableColumn id="16" xr3:uid="{1061D93A-9B5A-C94A-9280-44D02F670A9A}" name="Z" dataDxfId="259"/>
    <tableColumn id="17" xr3:uid="{F40A6BF3-331D-B44B-9181-48D923841376}" name="A" dataDxfId="258"/>
    <tableColumn id="7" xr3:uid="{0B03F807-5DF1-724B-84C4-A4A382104FDE}" name="ATHLETE 4" dataDxfId="257"/>
    <tableColumn id="10" xr3:uid="{D6812B9E-797F-5646-9D5E-2EE3168CC0CE}" name="SALDO 12" dataDxfId="256">
      <calculatedColumnFormula>IF(OR(Table41013422336386130197200[[#This Row],[SCORE 1]]="",Table41013422336386130197200[[#This Row],[SCORE 2]]=""),"",Table41013422336386130197200[[#This Row],[SCORE 1]]-Table41013422336386130197200[[#This Row],[SCORE 2]])</calculatedColumnFormula>
    </tableColumn>
    <tableColumn id="11" xr3:uid="{48C9B8B1-0B8A-124C-8A9A-B8B766A5230A}" name="SALDO 34" dataDxfId="255">
      <calculatedColumnFormula>IF(OR(Table41013422336386130197200[[#This Row],[SCORE 1]]="",Table41013422336386130197200[[#This Row],[SCORE 2]]=""),"",Table41013422336386130197200[[#This Row],[SCORE 2]]-Table41013422336386130197200[[#This Row],[SCORE 1]])</calculatedColumnFormula>
    </tableColumn>
    <tableColumn id="12" xr3:uid="{53A038D2-BB87-5041-BEDB-9CD1D303DEAF}" name="PM 12" dataDxfId="254">
      <calculatedColumnFormula>IF(Table41013422336386130197200[[#This Row],[SCORE 1]]="","",Table41013422336386130197200[[#This Row],[SCORE 1]])</calculatedColumnFormula>
    </tableColumn>
    <tableColumn id="13" xr3:uid="{0751AD62-AF31-014F-9329-5F201BC9C939}" name="PM 34" dataDxfId="253">
      <calculatedColumnFormula>IF(Table41013422336386130197200[[#This Row],[SCORE 2]]="","",Table41013422336386130197200[[#This Row],[SCORE 2]])</calculatedColumnFormula>
    </tableColumn>
    <tableColumn id="14" xr3:uid="{2A08B60D-4E89-934B-AA45-EBA978567A0A}" name="RESULT 12" dataDxfId="252">
      <calculatedColumnFormula>IF(OR(Table41013422336386130197200[[#This Row],[SCORE 1]]="",Table41013422336386130197200[[#This Row],[SCORE 2]]=""),"",IF(Table41013422336386130197200[[#This Row],[SALDO 12]]&gt;0, "WIN","LOSE"))</calculatedColumnFormula>
    </tableColumn>
    <tableColumn id="15" xr3:uid="{2B3D07A3-112F-974F-9E6B-241A8E523A2E}" name="RESULT 34" dataDxfId="251">
      <calculatedColumnFormula>IF(OR(Table41013422336386130197200[[#This Row],[SCORE 2]]="",Table41013422336386130197200[[#This Row],[SCORE 1]]=""),"",IF(Table41013422336386130197200[[#This Row],[SALDO 34]]&gt;0, "WIN","LOSE"))</calculatedColumnFormula>
    </tableColumn>
  </tableColumns>
  <tableStyleInfo name="TableStyleMedium2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A30FC9EF-5AD7-8F46-A277-FA00F05E9C5D}" name="Table361114532437487131198201" displayName="Table361114532437487131198201" ref="A13:K19" totalsRowShown="0" headerRowDxfId="250" dataDxfId="249" headerRowBorderDxfId="247" tableBorderDxfId="248" totalsRowBorderDxfId="246">
  <autoFilter ref="A13:K19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sortState xmlns:xlrd2="http://schemas.microsoft.com/office/spreadsheetml/2017/richdata2" ref="A14:G17">
    <sortCondition descending="1" ref="D14:D17"/>
    <sortCondition descending="1" ref="E14:E17"/>
    <sortCondition descending="1" ref="F14:F17"/>
  </sortState>
  <tableColumns count="11">
    <tableColumn id="7" xr3:uid="{6EABBFFD-0FD3-6E47-85E3-187E79CBF89D}" name="Group" dataDxfId="245"/>
    <tableColumn id="1" xr3:uid="{AB9A6BA2-D810-6F44-B44F-AD5342C16DFC}" name="Atheletes " dataDxfId="244"/>
    <tableColumn id="8" xr3:uid="{C05F0E63-C48D-204E-96AC-3A4E81A8A946}" name="WIN" dataDxfId="243"/>
    <tableColumn id="5" xr3:uid="{EF673C1C-5CA6-0B4A-950B-BAF92E8B095E}" name="LOSE" dataDxfId="242"/>
    <tableColumn id="3" xr3:uid="{238542D4-B8F8-E446-BA20-E8CD3F450095}" name="Saldo" dataDxfId="241"/>
    <tableColumn id="4" xr3:uid="{0E9DC755-6D49-E04B-9EEF-E1C73E32BC27}" name="PM" dataDxfId="240"/>
    <tableColumn id="6" xr3:uid="{31D70B6C-C1F0-E44A-9AEC-99E27D8F98A7}" name="Rank" dataDxfId="239">
      <calculatedColumnFormula>IF(COUNTBLANK(Table41013422336386130197200[[SCORE 1]:[SCORE 2]])=0,IF(RANK(H14,$H$14:$H$19)=1,RANK(H14,$H$14:$H$19)&amp;"st",IF(RANK(H14,$H$14:$H$19)=2,RANK(H14,$H$14:$H$19)&amp;"nd",IF(RANK(H14,$H$14:$H$19)=3,RANK(H14,$H$14:$H$19)&amp;"rd",RANK(H14,$H$14:$H$19)&amp;"th"))),"")</calculatedColumnFormula>
    </tableColumn>
    <tableColumn id="2" xr3:uid="{872B6FEA-8485-D440-9B0A-4D9496CEBAA7}" name="Rank support" dataDxfId="238">
      <calculatedColumnFormula>Table361114532437487131198201[[#This Row],[WIN]]*1000000+Table361114532437487131198201[[#This Row],[Saldo]]*1000+Table361114532437487131198201[[#This Row],[PM]]</calculatedColumnFormula>
    </tableColumn>
    <tableColumn id="9" xr3:uid="{565C2C85-AAC6-2B46-BDF8-B29962A0C96C}" name="Joint rank sys." dataDxfId="237">
      <calculatedColumnFormula>H14</calculatedColumnFormula>
    </tableColumn>
    <tableColumn id="10" xr3:uid="{7B3AE6FC-430B-1D49-A284-84D123CFA80E}" name="Overall Rank" dataDxfId="236">
      <calculatedColumnFormula>IF(COUNTBLANK(Table41013422336386130197200[[SCORE 1]:[SCORE 2]])=0,IF(RANK(I14,$I$14:$I$19)=1,RANK(I14,$I$14:$I$19)&amp;"st",IF(RANK(I14,$I$14:$I$19)=2,RANK(I14,$I$14:$I$19)&amp;"nd",IF(RANK(I14,$I$14:$I$19)=3,RANK(I14,$I$14:$I$19)&amp;"rd",RANK(I14,$I$14:$I$19)&amp;"th"))),"")</calculatedColumnFormula>
    </tableColumn>
    <tableColumn id="11" xr3:uid="{CC01A6FE-BF3A-3A42-A9EE-61811CC64AB4}" name="Athelete" dataDxfId="235">
      <calculatedColumnFormula>Table361114532437487131198201[[#This Row],[Atheletes ]]</calculatedColumnFormula>
    </tableColumn>
  </tableColumns>
  <tableStyleInfo name="TableStyleMedium2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30F3AC4D-039A-7A4C-839A-911DA25766D4}" name="Table157223544789133199202" displayName="Table157223544789133199202" ref="T2:U8" totalsRowShown="0" headerRowDxfId="234" dataDxfId="233" headerRowBorderDxfId="231" tableBorderDxfId="232">
  <autoFilter ref="T2:U8" xr:uid="{908C589F-0CD0-4EFE-993D-5B2ECC06D04A}">
    <filterColumn colId="0" hiddenButton="1"/>
    <filterColumn colId="1" hiddenButton="1"/>
  </autoFilter>
  <tableColumns count="2">
    <tableColumn id="1" xr3:uid="{F518BBC2-1928-894A-8CCF-303099690524}" name="Athlete" dataDxfId="230"/>
    <tableColumn id="2" xr3:uid="{53389DBB-7E49-3D46-9B4C-797FB68B71F8}" name="Rank" dataDxfId="229"/>
  </tableColumns>
  <tableStyleInfo name="TableStyleMedium2" showFirstColumn="1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3C88A085-8890-314C-907F-242E10022B13}" name="Table4101317251247545298684173134187" displayName="Table4101317251247545298684173134187" ref="B1:R13" totalsRowShown="0" headerRowDxfId="228" dataDxfId="227" headerRowBorderDxfId="225" tableBorderDxfId="226" totalsRowBorderDxfId="224">
  <autoFilter ref="B1:R13" xr:uid="{A141227C-F003-854E-9899-A50CBF1EC571}"/>
  <tableColumns count="17">
    <tableColumn id="3" xr3:uid="{6B6F4B7F-A5A8-0C43-9862-F140A42A6144}" name="GROUP" dataDxfId="223"/>
    <tableColumn id="5" xr3:uid="{EA55722B-0501-B548-9B91-23A9A52485A0}" name="ATHLETE 2" dataDxfId="222"/>
    <tableColumn id="8" xr3:uid="{AFD415C5-6151-AA4D-8F9D-D3A15745E35E}" name="SCORE 1" dataDxfId="221"/>
    <tableColumn id="9" xr3:uid="{ABD90E12-585B-3149-A762-B12AB229191E}" name="SCORE 2" dataDxfId="220"/>
    <tableColumn id="17" xr3:uid="{DC54A08B-E466-D749-A30B-2FB74DECB0CA}" name="X" dataDxfId="219"/>
    <tableColumn id="16" xr3:uid="{7A103BAF-1EE9-0B48-B0C0-6863C445B498}" name="Y" dataDxfId="218"/>
    <tableColumn id="2" xr3:uid="{9EA0D842-5904-F748-870F-7C2068CD3933}" name="Z" dataDxfId="217"/>
    <tableColumn id="6" xr3:uid="{9677F312-FB23-A542-9594-A9FEAC579C34}" name="Column2" dataDxfId="216"/>
    <tableColumn id="4" xr3:uid="{FC5F7F0D-846D-0C48-9764-8024BEC08873}" name="Column1" dataDxfId="215"/>
    <tableColumn id="1" xr3:uid="{B93E243C-F3AB-1C4B-AC53-5C0A8CAEFB48}" name="A" dataDxfId="214"/>
    <tableColumn id="7" xr3:uid="{8F84C4F5-6F45-7843-BA43-23F3D2B6BC15}" name="ATHLETE 4" dataDxfId="213"/>
    <tableColumn id="10" xr3:uid="{98144D67-2392-C54C-9A1C-D473FCD2E66E}" name="SALDO 12" dataDxfId="212">
      <calculatedColumnFormula>IF(OR(Table4101317251247545298684173134187[[#This Row],[SCORE 1]]="",Table4101317251247545298684173134187[[#This Row],[SCORE 2]]=""),"",Table4101317251247545298684173134187[[#This Row],[SCORE 1]]-Table4101317251247545298684173134187[[#This Row],[SCORE 2]])</calculatedColumnFormula>
    </tableColumn>
    <tableColumn id="11" xr3:uid="{347F86AA-5737-564D-BC02-3F6F1C9D6778}" name="SALDO 34" dataDxfId="211">
      <calculatedColumnFormula>IF(OR(Table4101317251247545298684173134187[[#This Row],[SCORE 1]]="",Table4101317251247545298684173134187[[#This Row],[SCORE 2]]=""),"",Table4101317251247545298684173134187[[#This Row],[SCORE 2]]-Table4101317251247545298684173134187[[#This Row],[SCORE 1]])</calculatedColumnFormula>
    </tableColumn>
    <tableColumn id="12" xr3:uid="{9DC6CEB6-C8F1-5040-A3C1-D78F0DEA58F6}" name="PM 12" dataDxfId="210">
      <calculatedColumnFormula>IF(Table4101317251247545298684173134187[[#This Row],[SCORE 1]]="","",Table4101317251247545298684173134187[[#This Row],[SCORE 1]])</calculatedColumnFormula>
    </tableColumn>
    <tableColumn id="13" xr3:uid="{6BC24387-449A-C745-A4ED-7D8A7F3995D1}" name="PM 34" dataDxfId="209">
      <calculatedColumnFormula>IF(Table4101317251247545298684173134187[[#This Row],[SCORE 2]]="","",Table4101317251247545298684173134187[[#This Row],[SCORE 2]])</calculatedColumnFormula>
    </tableColumn>
    <tableColumn id="14" xr3:uid="{817773D6-FA86-8547-971A-9FADF7977536}" name="RESULT 12" dataDxfId="208">
      <calculatedColumnFormula>IF(OR(Table4101317251247545298684173134187[[#This Row],[SCORE 1]]="",Table4101317251247545298684173134187[[#This Row],[SCORE 2]]=""),"",IF(Table4101317251247545298684173134187[[#This Row],[SALDO 12]]&gt;0, "WIN","LOSE"))</calculatedColumnFormula>
    </tableColumn>
    <tableColumn id="15" xr3:uid="{D9762365-5BC4-414B-A136-4959338EB0EA}" name="RESULT 34" dataDxfId="207">
      <calculatedColumnFormula>IF(OR(Table4101317251247545298684173134187[[#This Row],[SCORE 1]]="",Table4101317251247545298684173134187[[#This Row],[SCORE 2]]=""),"",IF(Table4101317251247545298684173134187[[#This Row],[SALDO 34]]&gt;0, "WIN","LOSE"))</calculatedColumnFormula>
    </tableColumn>
  </tableColumns>
  <tableStyleInfo name="TableStyleMedium2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7B63B87E-2AC0-9F44-A129-9C607CEA7D67}" name="Table36111418263048555399694375135188" displayName="Table36111418263048555399694375135188" ref="A16:H20" totalsRowShown="0" headerRowDxfId="206" dataDxfId="205" headerRowBorderDxfId="203" tableBorderDxfId="204" totalsRowBorderDxfId="202">
  <autoFilter ref="A16:H20" xr:uid="{0101E73B-282A-4EC5-BF0D-40649D40E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17:G20">
    <sortCondition descending="1" ref="D17:D20"/>
    <sortCondition descending="1" ref="E17:E20"/>
    <sortCondition descending="1" ref="F17:F20"/>
  </sortState>
  <tableColumns count="8">
    <tableColumn id="7" xr3:uid="{FC77E97B-44D1-EE40-B8AE-E7358865DEFA}" name="Group" dataDxfId="201"/>
    <tableColumn id="1" xr3:uid="{229E49C5-4599-B148-AD12-D8A0902E42C1}" name="Team" dataDxfId="200"/>
    <tableColumn id="8" xr3:uid="{BB870338-0E5E-624F-9033-7A7F8B9B9531}" name="WIN" dataDxfId="199">
      <calculatedColumnFormula>SUM(COUNTIFS(Table4101317251247545298684173134187[ATHLETE 2],Table36111418263048555399694375135188[[#This Row],[Team]],Table4101317251247545298684173134187[RESULT 12],Table36111418263048555399694375135188[[#Headers],[WIN]]),COUNTIFS(Table4101317251247545298684173134187[ATHLETE 4],Table36111418263048555399694375135188[[#This Row],[Team]],Table4101317251247545298684173134187[RESULT 34],Table36111418263048555399694375135188[[#Headers],[WIN]]))</calculatedColumnFormula>
    </tableColumn>
    <tableColumn id="5" xr3:uid="{DA0788C9-E25B-1C4C-8390-0A9C38CB7887}" name="LOSE" dataDxfId="198">
      <calculatedColumnFormula>SUM(COUNTIFS(Table4101317251247545298684173134187[ATHLETE 2],Table36111418263048555399694375135188[[#This Row],[Team]],Table4101317251247545298684173134187[RESULT 12],Table36111418263048555399694375135188[[#Headers],[LOSE]]),COUNTIFS(Table4101317251247545298684173134187[ATHLETE 4],Table36111418263048555399694375135188[[#This Row],[Team]],Table4101317251247545298684173134187[RESULT 34],Table36111418263048555399694375135188[[#Headers],[LOSE]]))</calculatedColumnFormula>
    </tableColumn>
    <tableColumn id="3" xr3:uid="{F8118C7C-7B73-4E45-B153-66248269FFED}" name="Saldo" dataDxfId="197">
      <calculatedColumnFormula>SUM(SUMIF(Table4101317251247545298684173134187[ATHLETE 2],Table36111418263048555399694375135188[[#This Row],[Team]],Table4101317251247545298684173134187[SALDO 12]),SUMIF(Table4101317251247545298684173134187[ATHLETE 4],Table36111418263048555399694375135188[[#This Row],[Team]],Table4101317251247545298684173134187[SALDO 34]))</calculatedColumnFormula>
    </tableColumn>
    <tableColumn id="4" xr3:uid="{4D7780AC-47F8-DC48-9FCA-F338E92F7B62}" name="PM" dataDxfId="196">
      <calculatedColumnFormula>SUM(SUMIF(Table4101317251247545298684173134187[ATHLETE 2],Table36111418263048555399694375135188[[#This Row],[Team]],Table4101317251247545298684173134187[PM 12]),SUMIF(Table4101317251247545298684173134187[ATHLETE 4],Table36111418263048555399694375135188[[#This Row],[Team]],Table4101317251247545298684173134187[PM 34]))</calculatedColumnFormula>
    </tableColumn>
    <tableColumn id="6" xr3:uid="{64701A65-0BFE-994D-8AB9-54AAE7547B06}" name="Rank" dataDxfId="195">
      <calculatedColumnFormula>IF(COUNTBLANK(Table4101317251247545298684173134187[[SCORE 1]:[SCORE 2]])=0,IF(RANK(H17,$H$17:$H$20)=1,RANK(H17,$H$17:$H$20)&amp;"st",IF(RANK(H17,$H$17:$H$20)=2,RANK(H17,$H$17:$H$20)&amp;"nd",RANK(H17,$H$17:$H$20)&amp;"th")),"")</calculatedColumnFormula>
    </tableColumn>
    <tableColumn id="2" xr3:uid="{41D1302D-325D-CE4B-B964-5DFDA0B4F639}" name="Rank support" dataDxfId="194">
      <calculatedColumnFormula>Table36111418263048555399694375135188[[#This Row],[WIN]]*1000000+Table36111418263048555399694375135188[[#This Row],[Saldo]]*1000+Table36111418263048555399694375135188[[#This Row],[PM]]</calculatedColumnFormula>
    </tableColumn>
  </tableColumns>
  <tableStyleInfo name="TableStyleMedium2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E9E79491-F9FB-634A-B6E9-B64A666371A8}" name="Table61215192731495671100704476136189" displayName="Table61215192731495671100704476136189" ref="A22:H26" totalsRowShown="0" headerRowDxfId="193" dataDxfId="192" headerRowBorderDxfId="190" tableBorderDxfId="191" totalsRowBorderDxfId="189">
  <autoFilter ref="A22:H26" xr:uid="{ACB854BC-C71A-471E-BAB4-A5EABFCB4D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3:G26">
    <sortCondition descending="1" ref="D23:D26"/>
    <sortCondition descending="1" ref="E23:E26"/>
    <sortCondition descending="1" ref="F23:F26"/>
  </sortState>
  <tableColumns count="8">
    <tableColumn id="1" xr3:uid="{F932D024-5CF0-3241-BB9B-6E5B53C03786}" name="Group" dataDxfId="188"/>
    <tableColumn id="2" xr3:uid="{EF461512-F334-0C41-8857-D16681530EF0}" name="Team" dataDxfId="187"/>
    <tableColumn id="7" xr3:uid="{CCA6720A-577D-9241-A9F5-34719149E300}" name="WIN" dataDxfId="186">
      <calculatedColumnFormula>SUM(COUNTIFS(Table4101317251247545298684173134187[ATHLETE 2],Table61215192731495671100704476136189[[#This Row],[Team]],Table4101317251247545298684173134187[RESULT 12],Table36111418263048555399694375135188[[#Headers],[WIN]]),COUNTIFS(Table4101317251247545298684173134187[ATHLETE 4],Table61215192731495671100704476136189[[#This Row],[Team]],Table4101317251247545298684173134187[RESULT 34],Table36111418263048555399694375135188[[#Headers],[WIN]]))</calculatedColumnFormula>
    </tableColumn>
    <tableColumn id="5" xr3:uid="{254BCDF9-4348-4A41-9C1A-800BF1E9F54E}" name="LOSE" dataDxfId="185">
      <calculatedColumnFormula>SUM(COUNTIFS(Table4101317251247545298684173134187[ATHLETE 2],Table61215192731495671100704476136189[[#This Row],[Team]],Table4101317251247545298684173134187[RESULT 12],Table36111418263048555399694375135188[[#Headers],[LOSE]]),COUNTIFS(Table4101317251247545298684173134187[ATHLETE 4],Table61215192731495671100704476136189[[#This Row],[Team]],Table4101317251247545298684173134187[RESULT 34],Table36111418263048555399694375135188[[#Headers],[LOSE]]))</calculatedColumnFormula>
    </tableColumn>
    <tableColumn id="3" xr3:uid="{CB967CEA-A2D9-FC41-A85F-00B5BA909A05}" name="Saldo" dataDxfId="184">
      <calculatedColumnFormula>SUM(SUMIF(Table4101317251247545298684173134187[ATHLETE 2],Table61215192731495671100704476136189[[#This Row],[Team]],Table4101317251247545298684173134187[SALDO 12]),SUMIF(Table4101317251247545298684173134187[ATHLETE 4],Table61215192731495671100704476136189[[#This Row],[Team]],Table4101317251247545298684173134187[SALDO 34]))</calculatedColumnFormula>
    </tableColumn>
    <tableColumn id="4" xr3:uid="{7ECB6414-8BBA-794D-8312-B821A910714D}" name="PM" dataDxfId="183">
      <calculatedColumnFormula>SUM(SUMIF(Table4101317251247545298684173134187[ATHLETE 2],Table61215192731495671100704476136189[[#This Row],[Team]],Table4101317251247545298684173134187[PM 12]),SUMIF(Table4101317251247545298684173134187[ATHLETE 4],Table61215192731495671100704476136189[[#This Row],[Team]],Table4101317251247545298684173134187[PM 34]))</calculatedColumnFormula>
    </tableColumn>
    <tableColumn id="6" xr3:uid="{71667F49-1146-A744-BF41-202016BF5409}" name="Rank" dataDxfId="182">
      <calculatedColumnFormula>IF(COUNTBLANK(Table4101317251247545298684173134187[[SCORE 1]:[SCORE 2]])=0,IF(RANK(H23,$H$23:$H$26)=1,RANK(H23,$H$23:$H$26)&amp;"st",IF(RANK(H23,$H$23:$H$26)=2,RANK(H23,$H$23:$H$26)&amp;"nd",RANK(H23,$H$23:$H$26)&amp;"th")),"")</calculatedColumnFormula>
    </tableColumn>
    <tableColumn id="8" xr3:uid="{A9ACD69F-FAE1-D947-9176-0D32611AFB4E}" name="Rank support" dataDxfId="181">
      <calculatedColumnFormula>Table61215192731495671100704476136189[[#This Row],[WIN]]*1000000+Table61215192731495671100704476136189[[#This Row],[Saldo]]*1000+Table61215192731495671100704476136189[[#This Row],[PM]]</calculatedColumnFormula>
    </tableColumn>
  </tableColumns>
  <tableStyleInfo name="TableStyleMedium2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BAE1337B-2094-8147-A851-AB5DC73BB8E4}" name="Table15202832506072101714577137190" displayName="Table15202832506072101714577137190" ref="T2:U10" totalsRowShown="0" headerRowDxfId="180" dataDxfId="179" headerRowBorderDxfId="177" tableBorderDxfId="178">
  <autoFilter ref="T2:U10" xr:uid="{908C589F-0CD0-4EFE-993D-5B2ECC06D04A}">
    <filterColumn colId="0" hiddenButton="1"/>
    <filterColumn colId="1" hiddenButton="1"/>
  </autoFilter>
  <tableColumns count="2">
    <tableColumn id="1" xr3:uid="{D3FFABF1-831C-7741-9D91-6EE950ACA34E}" name="Athlete" dataDxfId="176"/>
    <tableColumn id="2" xr3:uid="{32113610-C1B3-6149-A4BD-8EB7FD914377}" name="Rank" dataDxfId="175"/>
  </tableColumns>
  <tableStyleInfo name="TableStyleMedium2" showFirstColumn="1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A7312369-19A8-824F-8222-99FE8D091912}" name="Court_1" displayName="Court_1" ref="A2:I24" totalsRowShown="0" headerRowDxfId="174" dataDxfId="173" tableBorderDxfId="172" totalsRowBorderDxfId="171">
  <autoFilter ref="A2:I24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E0EB16B2-19B2-3948-8BD0-B90FCE913F47}" name="REFERENCE" dataDxfId="170"/>
    <tableColumn id="2" xr3:uid="{326F24F3-C48F-4548-991B-3EEF9F45BDE0}" name="GAME #" dataDxfId="169"/>
    <tableColumn id="1" xr3:uid="{25565526-FA76-EA49-9CAF-FC27BE8E42FB}" name="TIME" dataDxfId="168"/>
    <tableColumn id="7" xr3:uid="{DD7020B2-73F1-7144-B868-672183077F96}" name="STATUS" dataDxfId="167"/>
    <tableColumn id="3" xr3:uid="{4BD31272-6121-3445-9996-9964DCFFA2C7}" name="GROUP" dataDxfId="166"/>
    <tableColumn id="4" xr3:uid="{63061CAF-3A95-1F40-9D59-6661D702256A}" name="TEAM 1" dataDxfId="165"/>
    <tableColumn id="9" xr3:uid="{022A4F2E-EB39-8C45-AD61-C484B00788EE}" name="SCORE" dataDxfId="164"/>
    <tableColumn id="6" xr3:uid="{22427091-D313-0044-9807-A302B1C4C381}" name="TEAM 2" dataDxfId="163"/>
    <tableColumn id="10" xr3:uid="{16611A64-F457-5149-9A52-4560F790330B}" name="SERVE SEQUENCE" dataDxfId="162"/>
  </tableColumns>
  <tableStyleInfo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D5A9D1D-8916-034E-AA7B-69258C3783AA}" name="Court_147" displayName="Court_147" ref="A2:I24" totalsRowShown="0" headerRowDxfId="161" dataDxfId="160" tableBorderDxfId="159" totalsRowBorderDxfId="158">
  <autoFilter ref="A2:I24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5407B491-57B6-7345-A603-9412D8FE09B2}" name="REFERENCE" dataDxfId="157"/>
    <tableColumn id="2" xr3:uid="{0FE757A2-D4BA-F048-B248-3938AAEAE496}" name="GAME #" dataDxfId="156"/>
    <tableColumn id="1" xr3:uid="{DEE7C036-4C97-5945-B73A-3147AA3D19AD}" name="TIME" dataDxfId="155"/>
    <tableColumn id="7" xr3:uid="{3A41FE07-1E02-6046-AD39-5835DA81FC83}" name="STATUS" dataDxfId="154"/>
    <tableColumn id="3" xr3:uid="{37D23F61-13D2-D343-815B-7CB8C243D7A4}" name="GROUP" dataDxfId="153"/>
    <tableColumn id="4" xr3:uid="{8220960F-43EA-FB4A-9951-E980C8471AFF}" name="TEAM 1" dataDxfId="152"/>
    <tableColumn id="9" xr3:uid="{CE367A97-FCCF-144A-882E-587974D2E810}" name="SCORE" dataDxfId="151"/>
    <tableColumn id="6" xr3:uid="{6A2992F2-48C7-C844-AD97-996E4E640E7F}" name="TEAM 2" dataDxfId="150"/>
    <tableColumn id="10" xr3:uid="{B6B61236-9FBF-B349-9E3A-89498C297D62}" name="SERVE SEQUENCE" dataDxfId="149"/>
  </tableColumns>
  <tableStyleInfo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B1D3743D-C336-D64A-AA67-5BA831B38AD7}" name="Court_14763" displayName="Court_14763" ref="A2:I24" totalsRowShown="0" headerRowDxfId="148" dataDxfId="147" tableBorderDxfId="146" totalsRowBorderDxfId="145">
  <autoFilter ref="A2:I24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BF6BACBC-C8D3-BF49-A060-9AECCCF3C647}" name="REFERENCE" dataDxfId="144"/>
    <tableColumn id="2" xr3:uid="{973EC67A-6C35-3844-B58F-6B0BABE06A20}" name="GAME #" dataDxfId="143"/>
    <tableColumn id="1" xr3:uid="{F9289A79-C339-6048-9E13-7F2DD0085885}" name="TIME" dataDxfId="142"/>
    <tableColumn id="7" xr3:uid="{307373CA-6C04-0D43-8FB9-F0450FC5DADB}" name="STATUS" dataDxfId="141"/>
    <tableColumn id="3" xr3:uid="{D0EFA45F-20E4-7443-924F-5D2F6773CDD7}" name="GROUP" dataDxfId="140"/>
    <tableColumn id="4" xr3:uid="{A61FCFBA-6994-8945-8CB4-31B8CCD99C3E}" name="TEAM 1" dataDxfId="139"/>
    <tableColumn id="9" xr3:uid="{6D6855DC-F1FB-C548-89AC-56D770891BCB}" name="SCORE" dataDxfId="138"/>
    <tableColumn id="6" xr3:uid="{81A5107D-0D89-2D46-9E19-1599E3B39AD4}" name="TEAM 2" dataDxfId="137"/>
    <tableColumn id="10" xr3:uid="{5D230EF9-E389-464A-A567-9353C7D48714}" name="SERVE SEQUENCE" dataDxfId="136"/>
  </tableColumns>
  <tableStyleInfo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BB987350-19D4-7949-94E0-FEE3F668D9F4}" name="Court_14763120" displayName="Court_14763120" ref="A2:I24" totalsRowShown="0" headerRowDxfId="135" dataDxfId="134" tableBorderDxfId="133" totalsRowBorderDxfId="132">
  <autoFilter ref="A2:I24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EF4022D4-F476-474E-BBBB-D1A223C4B2A5}" name="REFERENCE" dataDxfId="131"/>
    <tableColumn id="2" xr3:uid="{DD9A7769-2C18-5B45-B98A-5C297423E6E4}" name="GAME #" dataDxfId="130"/>
    <tableColumn id="1" xr3:uid="{FF17545E-413F-5D4A-8C39-7BE18E825DE9}" name="TIME" dataDxfId="129"/>
    <tableColumn id="7" xr3:uid="{FD2183CE-70A5-4B4F-A6E2-0DB859897941}" name="STATUS" dataDxfId="128"/>
    <tableColumn id="3" xr3:uid="{97CF670D-58BD-4D46-ADFD-BE9267A45779}" name="GROUP" dataDxfId="127"/>
    <tableColumn id="4" xr3:uid="{553959EA-6008-1F44-84D7-F977874BBDA1}" name="TEAM 1" dataDxfId="126"/>
    <tableColumn id="9" xr3:uid="{257D3590-8C55-DC43-9CFE-51147C033984}" name="SCORE" dataDxfId="125"/>
    <tableColumn id="6" xr3:uid="{B8887E66-679B-5E4D-BB64-F3E389C61A2A}" name="TEAM 2" dataDxfId="124"/>
    <tableColumn id="10" xr3:uid="{1ECD2B8D-DF4F-DC45-990D-3D0A23D58277}" name="SERVE SEQUENCE" dataDxfId="123"/>
  </tableColumns>
  <tableStyleInfo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650AE08A-D56A-DC4A-B0B1-4B7E500D1D38}" name="Court_14763120207" displayName="Court_14763120207" ref="A2:I24" totalsRowShown="0" headerRowDxfId="122" dataDxfId="121" tableBorderDxfId="120" totalsRowBorderDxfId="119">
  <autoFilter ref="A2:I24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524B1963-F723-0D4A-8214-4FBA030887B1}" name="REFERENCE" dataDxfId="118"/>
    <tableColumn id="2" xr3:uid="{797A7396-9ABE-6049-B526-D3E0D3D6EA6F}" name="GAME #" dataDxfId="117"/>
    <tableColumn id="1" xr3:uid="{8810AFAA-FCA1-334C-A4FF-A42011B1B9CD}" name="TIME" dataDxfId="116"/>
    <tableColumn id="7" xr3:uid="{59E07FA6-89FD-1C4F-B44C-7B1442C55E45}" name="STATUS" dataDxfId="115"/>
    <tableColumn id="3" xr3:uid="{C13FFB00-30EE-AD4F-A2E8-1BF0AB6D1A80}" name="GROUP" dataDxfId="114"/>
    <tableColumn id="4" xr3:uid="{40C051CF-9983-D64F-AFF3-5D467A958E6E}" name="TEAM 1" dataDxfId="113"/>
    <tableColumn id="9" xr3:uid="{7A1616F4-BAA9-AF43-BF6C-781868743982}" name="SCORE" dataDxfId="112"/>
    <tableColumn id="6" xr3:uid="{E34BF60A-914C-7F49-80B1-A286A0579763}" name="TEAM 2" dataDxfId="111"/>
    <tableColumn id="10" xr3:uid="{2DE57C1E-5058-EF42-A036-48E62FECD78A}" name="SERVE SEQUENCE" dataDxfId="110"/>
  </tableColumns>
  <tableStyleInfo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49F2BDD2-65EE-2148-9903-D5AE85C3F9C1}" name="Court_1208" displayName="Court_1208" ref="A2:I27" totalsRowShown="0" headerRowDxfId="109" dataDxfId="108" tableBorderDxfId="107" totalsRowBorderDxfId="106">
  <autoFilter ref="A2:I27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C1E2CB77-0421-D74D-9358-68BD2B6C3D07}" name="REFERENCE" dataDxfId="105"/>
    <tableColumn id="2" xr3:uid="{1638D4A7-5B00-DC48-A6C7-F491A6D5B960}" name="GAME #" dataDxfId="104"/>
    <tableColumn id="1" xr3:uid="{69B9544E-7CEA-6E48-AEE1-E5D005DE3BED}" name="TIME" dataDxfId="103"/>
    <tableColumn id="7" xr3:uid="{107C4643-06D4-0847-A137-0FCD6DF93CE0}" name="STATUS" dataDxfId="102"/>
    <tableColumn id="3" xr3:uid="{3271C298-B9F1-AE41-83DF-18903627276D}" name="GROUP" dataDxfId="101"/>
    <tableColumn id="4" xr3:uid="{8DCDFB30-A6EB-F347-B990-3C799F3C3AC7}" name="TEAM 1" dataDxfId="100"/>
    <tableColumn id="9" xr3:uid="{6FCF7441-9A18-9B44-8743-FFBA6CF23751}" name="SCORE" dataDxfId="99"/>
    <tableColumn id="6" xr3:uid="{AE106F3B-521C-BF4E-9867-39FCF468F9D7}" name="TEAM 2" dataDxfId="98"/>
    <tableColumn id="10" xr3:uid="{A9020DCE-C840-124B-BA40-CC715F573D44}" name="SERVE SEQUENCE" dataDxfId="97"/>
  </tableColumns>
  <tableStyleInfo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A47345EE-DD6E-AC47-985D-256302D97931}" name="Court_147209" displayName="Court_147209" ref="A2:I27" totalsRowShown="0" headerRowDxfId="96" dataDxfId="95" tableBorderDxfId="94" totalsRowBorderDxfId="93">
  <autoFilter ref="A2:I27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179F4EB2-8CBD-614B-B8FC-E824E91F142F}" name="REFERENCE" dataDxfId="92"/>
    <tableColumn id="2" xr3:uid="{E2CAA1D7-6D14-414B-9B6C-9CA9EE4924BF}" name="GAME #" dataDxfId="91"/>
    <tableColumn id="1" xr3:uid="{9B364A4E-B8D6-0E41-9667-21BF98F816C6}" name="TIME" dataDxfId="90"/>
    <tableColumn id="7" xr3:uid="{8ADD4AFA-D31D-164C-9036-5573C49EBFFC}" name="STATUS" dataDxfId="89"/>
    <tableColumn id="3" xr3:uid="{ED46540E-F0AA-5E47-B2CA-8A2F2948973C}" name="GROUP" dataDxfId="88"/>
    <tableColumn id="4" xr3:uid="{C947A296-4608-8B4D-8227-9B899A8728DD}" name="TEAM 1" dataDxfId="87"/>
    <tableColumn id="9" xr3:uid="{4CA4F443-07BD-494D-9731-B4661B01F792}" name="SCORE" dataDxfId="86"/>
    <tableColumn id="6" xr3:uid="{D4118CB6-4DC8-884B-95D2-8B43A0B84E16}" name="TEAM 2" dataDxfId="85"/>
    <tableColumn id="10" xr3:uid="{C111C944-C92A-7048-A0FB-19936AEA4E69}" name="SERVE SEQUENCE" dataDxfId="84"/>
  </tableColumns>
  <tableStyleInfo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B5E35CEB-07FA-9E40-A0B8-1CB13AB45874}" name="Court_14763210" displayName="Court_14763210" ref="A2:I27" totalsRowShown="0" headerRowDxfId="83" dataDxfId="82" tableBorderDxfId="81" totalsRowBorderDxfId="80">
  <autoFilter ref="A2:I27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B6DC16B1-B2E9-3C47-94DA-7C31010EB4F4}" name="REFERENCE" dataDxfId="79"/>
    <tableColumn id="2" xr3:uid="{0E8E93A2-0C70-0C49-A5C1-3094A8183DC5}" name="GAME #" dataDxfId="78"/>
    <tableColumn id="1" xr3:uid="{C30F1292-D8C3-CC40-AEE8-D242CBA3D4CA}" name="TIME" dataDxfId="77"/>
    <tableColumn id="7" xr3:uid="{7D12C61E-692B-414C-AF4B-E34D82711E5A}" name="STATUS" dataDxfId="76"/>
    <tableColumn id="3" xr3:uid="{1A9BCBA4-03DD-2C4D-9744-5FFF8C0FB48A}" name="GROUP" dataDxfId="75"/>
    <tableColumn id="4" xr3:uid="{3377FFC0-EED6-5B45-A497-004527D50B49}" name="TEAM 1" dataDxfId="74"/>
    <tableColumn id="9" xr3:uid="{879BA9B5-5429-BA41-9D03-4398468AD523}" name="SCORE" dataDxfId="73"/>
    <tableColumn id="6" xr3:uid="{10B00DE6-8BE4-BF4C-B320-57124D8CCEAD}" name="TEAM 2" dataDxfId="72"/>
    <tableColumn id="10" xr3:uid="{23FF0CB0-E070-494B-AC3A-7D1C67A540D5}" name="SERVE SEQUENCE" dataDxfId="71"/>
  </tableColumns>
  <tableStyleInfo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DB835FEF-3C88-4A48-B381-F460B29A12C4}" name="Court_14763120211" displayName="Court_14763120211" ref="A2:I27" totalsRowShown="0" headerRowDxfId="70" dataDxfId="69" tableBorderDxfId="68" totalsRowBorderDxfId="67">
  <autoFilter ref="A2:I27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1BAF7B91-3129-2141-9E16-7C0019E3876C}" name="REFERENCE" dataDxfId="66"/>
    <tableColumn id="2" xr3:uid="{C344EB9B-433F-5A4F-8349-4C516F20F618}" name="GAME #" dataDxfId="65"/>
    <tableColumn id="1" xr3:uid="{B79E05F7-0C3C-9C4F-8770-BF6908381397}" name="TIME" dataDxfId="64"/>
    <tableColumn id="7" xr3:uid="{4931F800-A6A8-D84B-8B12-2589E978E218}" name="STATUS" dataDxfId="63"/>
    <tableColumn id="3" xr3:uid="{B396EC03-11D3-3343-BD00-445E31A9722E}" name="GROUP" dataDxfId="62"/>
    <tableColumn id="4" xr3:uid="{177E8A96-9772-F749-B444-D41BFDC0F582}" name="TEAM 1" dataDxfId="61"/>
    <tableColumn id="9" xr3:uid="{1C8F51EA-F78E-8941-8027-3010501B10D3}" name="SCORE" dataDxfId="60"/>
    <tableColumn id="6" xr3:uid="{BE7BEBBA-D280-0B47-B366-F84210751B67}" name="TEAM 2" dataDxfId="59"/>
    <tableColumn id="10" xr3:uid="{86940B61-752B-2C42-AFDB-D20C0BCD8C3D}" name="SERVE SEQUENCE" dataDxfId="58"/>
  </tableColumns>
  <tableStyleInfo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C496833-D73A-B244-A896-C50F1E99AD7B}" name="Table141" displayName="Table141" ref="A2:D88" totalsRowShown="0" headerRowDxfId="57" dataDxfId="56">
  <autoFilter ref="A2:D88" xr:uid="{0C496833-D73A-B244-A896-C50F1E99AD7B}"/>
  <tableColumns count="4">
    <tableColumn id="1" xr3:uid="{919293F0-BD58-A441-8F50-0AF273DDB0FF}" name="." dataDxfId="55"/>
    <tableColumn id="2" xr3:uid="{58E30414-26CC-FE45-9BB3-CE56C0BDBDCA}" name="TEAM" dataDxfId="54"/>
    <tableColumn id="3" xr3:uid="{1934CF5A-3CF5-A447-9864-4AA30CFB448B}" name="," dataDxfId="53"/>
    <tableColumn id="4" xr3:uid="{1F40D74D-609B-F840-AE81-98AEFB623BB8}" name="TEAM " dataDxfId="52"/>
  </tableColumns>
  <tableStyleInfo name="TableStyleLight13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4250888-3072-F24C-BEE1-D04BBE661A84}" name="Court_138" displayName="Court_138" ref="A2:I27" totalsRowShown="0" headerRowDxfId="51" dataDxfId="50" tableBorderDxfId="49" totalsRowBorderDxfId="48">
  <autoFilter ref="A2:I27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89D67CF9-6B2C-1545-856C-96F8D544100A}" name="REFERENCE" dataDxfId="47"/>
    <tableColumn id="2" xr3:uid="{19582ECB-5170-354B-BC0B-25862D9C0779}" name="GAME #" dataDxfId="46"/>
    <tableColumn id="1" xr3:uid="{338E8696-BDCF-814A-8161-2B7C8E22AE62}" name="HORÁRIO_x000a_(estimated)" dataDxfId="45"/>
    <tableColumn id="7" xr3:uid="{ECF3424A-34D5-A641-ACD9-A473BE8C917A}" name="REF #" dataDxfId="44"/>
    <tableColumn id="3" xr3:uid="{378A3DBA-37CD-EA47-8A35-6E1566C7C2F8}" name="STATUS" dataDxfId="43"/>
    <tableColumn id="4" xr3:uid="{D42D15A3-84FB-0441-A945-CE75556D2E5C}" name="TEAM 1" dataDxfId="42"/>
    <tableColumn id="9" xr3:uid="{4FF8F78B-B3D3-A747-9BEF-BDC1330F2561}" name="SCORE" dataDxfId="41"/>
    <tableColumn id="6" xr3:uid="{0B6F7A92-AA33-384F-8886-8C18B7D1C69B}" name="TEAM 2" dataDxfId="40"/>
    <tableColumn id="10" xr3:uid="{67EF746B-C7AC-864C-88D5-98AC5A7F3307}" name="COMMENTS" dataDxfId="39"/>
  </tableColumns>
  <tableStyleInfo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AEDE7BD-B4ED-D341-A6EC-0C9292534997}" name="Court_14739" displayName="Court_14739" ref="A2:I27" totalsRowShown="0" headerRowDxfId="38" dataDxfId="37" tableBorderDxfId="36" totalsRowBorderDxfId="35">
  <autoFilter ref="A2:I27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887C7040-7CAD-AC4F-9F21-8EA7291A69CC}" name="REFERENCE" dataDxfId="34"/>
    <tableColumn id="2" xr3:uid="{FCC766C8-5492-304F-806A-86FC35593641}" name="GAME #" dataDxfId="33"/>
    <tableColumn id="1" xr3:uid="{C51B2D95-5E53-E746-8BC5-C5629F8D3387}" name="HORÁRIO_x000a_(estimated)" dataDxfId="32"/>
    <tableColumn id="7" xr3:uid="{DFAC83E7-B941-C84E-B798-E6CF606A3BC2}" name="REF #" dataDxfId="31"/>
    <tableColumn id="3" xr3:uid="{AED65D94-BED8-4C44-AFFC-3DFD75E94608}" name="STATUS" dataDxfId="30"/>
    <tableColumn id="4" xr3:uid="{FB1D6E7E-4D8A-9846-8725-6879AD809386}" name="TEAM 1" dataDxfId="29"/>
    <tableColumn id="9" xr3:uid="{04C368F9-E66F-C749-892E-661CDDF569E9}" name="SCORE" dataDxfId="28"/>
    <tableColumn id="6" xr3:uid="{08EC5584-CCA6-5E47-8A78-CCF8B03024B1}" name="TEAM 2" dataDxfId="27"/>
    <tableColumn id="10" xr3:uid="{DAF71F53-32F3-AC40-9442-6D7D1A093360}" name="COMMENTS" dataDxfId="26"/>
  </tableColumns>
  <tableStyleInfo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7FEB9CF-A2AA-F04E-AE32-B4A17C74683E}" name="Court_1476346" displayName="Court_1476346" ref="A2:I27" totalsRowShown="0" headerRowDxfId="25" dataDxfId="24" tableBorderDxfId="23" totalsRowBorderDxfId="22">
  <autoFilter ref="A2:I27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362EFE41-176B-584A-929C-A9375B2E8172}" name="REFERENCE" dataDxfId="21"/>
    <tableColumn id="2" xr3:uid="{08EA4C0D-0260-DF45-86A9-BB4819D6477F}" name="GAME #" dataDxfId="20"/>
    <tableColumn id="1" xr3:uid="{A966B306-D9AF-AC45-B3C2-A12DCECF24FF}" name="HORÁRIO_x000a_(estimated)" dataDxfId="19"/>
    <tableColumn id="7" xr3:uid="{9BE86D58-8F35-FB4E-BF85-DE691DF1DF96}" name="REF #" dataDxfId="18"/>
    <tableColumn id="3" xr3:uid="{8243EAAC-3F69-7141-BE85-628A25593BB3}" name="STATUS" dataDxfId="17"/>
    <tableColumn id="4" xr3:uid="{E30B5C9E-2AA2-A24D-96CD-E732DAB4F203}" name="TEAM 1" dataDxfId="16"/>
    <tableColumn id="9" xr3:uid="{9F520F38-333A-1442-8EFC-72B3159F1924}" name="SCORE" dataDxfId="15"/>
    <tableColumn id="6" xr3:uid="{67BD15EC-29F5-BF4B-88CB-CA7201B6271E}" name="TEAM 2" dataDxfId="14"/>
    <tableColumn id="10" xr3:uid="{2E43EDE8-9D23-6E42-8308-83C03307720F}" name="COMMENTS" dataDxfId="13"/>
  </tableColumns>
  <tableStyleInfo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439BE0AB-3108-FE41-9000-ABA713D16F9C}" name="Court_1476312067" displayName="Court_1476312067" ref="A2:I27" totalsRowShown="0" headerRowDxfId="12" dataDxfId="11" tableBorderDxfId="10" totalsRowBorderDxfId="9">
  <autoFilter ref="A2:I27" xr:uid="{C79D687B-AEB2-42F8-B262-AEDE9265CB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5" xr3:uid="{A91870A2-8B66-4D42-88B6-F792A5EA4C87}" name="REFERENCE" dataDxfId="8"/>
    <tableColumn id="2" xr3:uid="{1AEF0EBD-4B50-0745-A4A6-83CFDB719B38}" name="GAME #" dataDxfId="7"/>
    <tableColumn id="1" xr3:uid="{47C47160-CB1B-8D45-8EAD-82B444A1A7E5}" name="HORÁRIO_x000a_(estimated)" dataDxfId="6"/>
    <tableColumn id="7" xr3:uid="{236B4833-F6F9-474F-BCF0-AB6F6FA93906}" name="REF #" dataDxfId="5"/>
    <tableColumn id="3" xr3:uid="{AE238659-7826-F143-AC8E-4FEDEAC23061}" name="STATUS" dataDxfId="4"/>
    <tableColumn id="4" xr3:uid="{17204323-C1F3-2D46-9E38-1A0FCBE5FD02}" name="TEAM 1" dataDxfId="3"/>
    <tableColumn id="9" xr3:uid="{CE3489DF-D105-C44D-BE41-2F8DB2985858}" name="SCORE" dataDxfId="2"/>
    <tableColumn id="6" xr3:uid="{B0B15568-DAD6-5B4B-BE08-D89B5D527F0D}" name="TEAM 2" dataDxfId="1"/>
    <tableColumn id="10" xr3:uid="{5B20D790-E5D8-B946-91A5-46317CBA3A03}" name="COM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2" dT="2025-07-27T16:05:08.21" personId="{4820C499-C0CA-154D-BBC2-96BF20CF1EE8}" id="{C18C4621-E1C5-4A49-B8B7-6A1B85ED6331}">
    <text>Desempate por confronto direto.</text>
  </threadedComment>
  <threadedComment ref="I15" dT="2025-07-27T16:06:06.45" personId="{4820C499-C0CA-154D-BBC2-96BF20CF1EE8}" id="{3193D5F0-DE91-2B41-9F05-33FDA94B01EE}">
    <text>desempate por maior numero de atletas no stage.</text>
  </threadedComment>
  <threadedComment ref="I18" dT="2025-07-27T16:06:30.81" personId="{4820C499-C0CA-154D-BBC2-96BF20CF1EE8}" id="{A5994F22-25F0-5F49-ABC6-DF2AE95A30F2}">
    <text>Desempate por maiores numeros de stages jogados.</text>
  </threadedComment>
  <threadedComment ref="I25" dT="2025-07-27T15:41:37.61" personId="{4820C499-C0CA-154D-BBC2-96BF20CF1EE8}" id="{C82F048A-A63A-DC40-9529-97BCF3526136}">
    <text>desempate por melhor colocação conquistada</text>
  </threadedComment>
  <threadedComment ref="B43" dT="2025-07-27T15:45:12.66" personId="{4820C499-C0CA-154D-BBC2-96BF20CF1EE8}" id="{5A545768-D36F-2041-9A00-BAA90AE8EAE8}">
    <text>É o mesmo Rafael que jogou os dois stages?</text>
  </threadedComment>
  <threadedComment ref="I49" dT="2025-07-27T15:47:59.57" personId="{4820C499-C0CA-154D-BBC2-96BF20CF1EE8}" id="{32A6EEF8-D53B-994D-ACD8-234330208C51}">
    <text>Desempate por mais stages jogados.</text>
  </threadedComment>
  <threadedComment ref="I53" dT="2025-07-27T15:47:59.57" personId="{4820C499-C0CA-154D-BBC2-96BF20CF1EE8}" id="{38477CF4-16A2-C44D-930A-9821CE56FC5F}">
    <text>Desempate por mais stages jogados.</text>
  </threadedComment>
  <threadedComment ref="I65" dT="2025-09-23T18:40:58.06" personId="{4820C499-C0CA-154D-BBC2-96BF20CF1EE8}" id="{20E3301F-8192-9648-A623-C0E13E23B934}">
    <text>Critério de desempate: Melhor colocação em stages.</text>
  </threadedComment>
  <threadedComment ref="I69" dT="2025-09-23T18:42:25.74" personId="{4820C499-C0CA-154D-BBC2-96BF20CF1EE8}" id="{BAE191AD-1041-C647-8034-7F1E49D790F2}">
    <text>Critério de desempate: Maior numero de stage jogados e maior # de atletas em stage jogado.</text>
  </threadedComment>
  <threadedComment ref="I70" dT="2025-09-23T18:42:29.86" personId="{4820C499-C0CA-154D-BBC2-96BF20CF1EE8}" id="{538CB0F2-F27F-9E43-BC66-3481EF59D51E}">
    <text>Critério de desempate: Maior numero de stage jogados e maior # de atletas em stage jogado.</text>
  </threadedComment>
  <threadedComment ref="I74" dT="2025-09-23T18:43:07.27" personId="{4820C499-C0CA-154D-BBC2-96BF20CF1EE8}" id="{572FB397-2165-8E4B-8516-0C68418B4A83}">
    <text>critério de desempate: maior # de atletas em stage jogado.</text>
  </threadedComment>
  <threadedComment ref="I76" dT="2025-09-23T18:43:32.40" personId="{4820C499-C0CA-154D-BBC2-96BF20CF1EE8}" id="{67679AA6-D6B7-4544-93D4-5A2B1FEF45B8}">
    <text>critério de desempate: stage jogado sem assistencia de cavalo.</text>
  </threadedComment>
  <threadedComment ref="I81" dT="2025-09-23T18:28:46.18" personId="{4820C499-C0CA-154D-BBC2-96BF20CF1EE8}" id="{7BDD7CD6-0965-A841-8F87-FC7E696A21D4}">
    <text>Critério de desempate: melhor colocação dentre os stages jogados.</text>
  </threadedComment>
  <threadedComment ref="I89" dT="2025-09-23T18:36:12.56" personId="{4820C499-C0CA-154D-BBC2-96BF20CF1EE8}" id="{1B9BF0B7-A20D-7A4C-95D7-246EA72EAC9E}">
    <text>Critério de desempate: maior # de stages jogados e maior # de atletas em stage jogado.</text>
  </threadedComment>
  <threadedComment ref="I90" dT="2025-09-23T18:36:21.08" personId="{4820C499-C0CA-154D-BBC2-96BF20CF1EE8}" id="{A7304CB9-31D3-224C-A6F8-08C57D37B6E2}">
    <text>Critério de desempate: maior # de stages jogados e maior # de atletas em stage jogado.</text>
  </threadedComment>
  <threadedComment ref="I92" dT="2025-09-23T18:40:13.56" personId="{4820C499-C0CA-154D-BBC2-96BF20CF1EE8}" id="{2906B927-EED6-C64E-AEC3-3C8600AD01EF}">
    <text>Critério de desempate: maior # de atletas por stage jogado e melhor colocação dos atletas na fase de grupo.</text>
  </threadedComment>
  <threadedComment ref="I93" dT="2025-09-23T18:40:18.27" personId="{4820C499-C0CA-154D-BBC2-96BF20CF1EE8}" id="{E59B66D2-A07B-EA40-A480-5909981DEB7E}">
    <text>Critério de desempate: maior # de atletas por stage jogado e melhor colocação dos atletas na fase de grupo.</text>
  </threadedComment>
  <threadedComment ref="I99" dT="2025-07-27T15:57:32.02" personId="{4820C499-C0CA-154D-BBC2-96BF20CF1EE8}" id="{290CB633-387F-1640-AC19-BD8179933A07}">
    <text>Desempate por melhor colocação.</text>
  </threadedComment>
  <threadedComment ref="I101" dT="2025-07-27T15:59:25.50" personId="{4820C499-C0CA-154D-BBC2-96BF20CF1EE8}" id="{2086C05B-A9D6-D24A-AA07-A6752A1868FC}">
    <text>Desempate por maior numero de atletas por stage.</text>
  </threadedComment>
  <threadedComment ref="I112" dT="2025-09-23T18:24:39.73" personId="{4820C499-C0CA-154D-BBC2-96BF20CF1EE8}" id="{46CFDC3E-6C09-E24B-AF72-79FA16BBBD1F}">
    <text>Criterio de desempate: Mais stages jogados.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5" dT="2025-05-11T21:07:05.11" personId="{4820C499-C0CA-154D-BBC2-96BF20CF1EE8}" id="{BE3D20ED-FCBF-2241-AE1A-A5573C0E82CF}">
    <text>Hard input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9" dT="2025-04-13T23:11:41.81" personId="{4820C499-C0CA-154D-BBC2-96BF20CF1EE8}" id="{AE607173-6884-444B-A6EA-24E62A9710C8}">
    <text>3rd place ranking geral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8" dT="2025-04-13T21:00:08.66" personId="{4820C499-C0CA-154D-BBC2-96BF20CF1EE8}" id="{DEB70B13-8CD7-B94A-89FD-0713F3A57E76}">
    <text>Foi embora… e adicionamos Pablo no lugar.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T10" dT="2025-09-23T18:20:17.49" personId="{4820C499-C0CA-154D-BBC2-96BF20CF1EE8}" id="{EDD90C32-F9B9-484D-B511-289FDEA8E0D4}">
    <text>Criterio de desempate: o segundo colocado estava no grupo do Walter.</text>
  </threadedComment>
  <threadedComment ref="T11" dT="2025-09-23T18:20:27.23" personId="{4820C499-C0CA-154D-BBC2-96BF20CF1EE8}" id="{16B86EB8-8D15-DB47-B900-5E622150020B}">
    <text>Criterio de desempate: o segundo colocado estava no grupo do Walter.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microsoft.com/office/2017/10/relationships/threadedComment" Target="../threadedComments/threadedComment1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5.xml"/><Relationship Id="rId3" Type="http://schemas.openxmlformats.org/officeDocument/2006/relationships/table" Target="../tables/table30.xml"/><Relationship Id="rId7" Type="http://schemas.openxmlformats.org/officeDocument/2006/relationships/table" Target="../tables/table3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3.xml"/><Relationship Id="rId5" Type="http://schemas.openxmlformats.org/officeDocument/2006/relationships/table" Target="../tables/table32.xml"/><Relationship Id="rId10" Type="http://schemas.microsoft.com/office/2017/10/relationships/threadedComment" Target="../threadedComments/threadedComment2.xml"/><Relationship Id="rId4" Type="http://schemas.openxmlformats.org/officeDocument/2006/relationships/table" Target="../tables/table31.xml"/><Relationship Id="rId9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8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3.xml"/><Relationship Id="rId3" Type="http://schemas.openxmlformats.org/officeDocument/2006/relationships/table" Target="../tables/table41.xml"/><Relationship Id="rId7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4.xml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48.xml"/><Relationship Id="rId4" Type="http://schemas.openxmlformats.org/officeDocument/2006/relationships/table" Target="../tables/table4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4.xml"/><Relationship Id="rId3" Type="http://schemas.openxmlformats.org/officeDocument/2006/relationships/table" Target="../tables/table53.xml"/><Relationship Id="rId7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mments" Target="../comments5.xml"/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7.xml"/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13.bin"/><Relationship Id="rId5" Type="http://schemas.openxmlformats.org/officeDocument/2006/relationships/table" Target="../tables/table69.xml"/><Relationship Id="rId4" Type="http://schemas.openxmlformats.org/officeDocument/2006/relationships/table" Target="../tables/table6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14.bin"/><Relationship Id="rId5" Type="http://schemas.openxmlformats.org/officeDocument/2006/relationships/table" Target="../tables/table73.xml"/><Relationship Id="rId4" Type="http://schemas.openxmlformats.org/officeDocument/2006/relationships/table" Target="../tables/table7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5.bin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9.xml"/><Relationship Id="rId2" Type="http://schemas.openxmlformats.org/officeDocument/2006/relationships/table" Target="../tables/table78.xml"/><Relationship Id="rId1" Type="http://schemas.openxmlformats.org/officeDocument/2006/relationships/printerSettings" Target="../printerSettings/printerSettings16.bin"/><Relationship Id="rId5" Type="http://schemas.openxmlformats.org/officeDocument/2006/relationships/table" Target="../tables/table81.xml"/><Relationship Id="rId4" Type="http://schemas.openxmlformats.org/officeDocument/2006/relationships/table" Target="../tables/table80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table" Target="../tables/table82.xml"/><Relationship Id="rId7" Type="http://schemas.openxmlformats.org/officeDocument/2006/relationships/table" Target="../tables/table8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85.xml"/><Relationship Id="rId5" Type="http://schemas.openxmlformats.org/officeDocument/2006/relationships/table" Target="../tables/table84.xml"/><Relationship Id="rId4" Type="http://schemas.openxmlformats.org/officeDocument/2006/relationships/table" Target="../tables/table83.xml"/><Relationship Id="rId9" Type="http://schemas.microsoft.com/office/2017/10/relationships/threadedComment" Target="../threadedComments/threadedComment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8.xml"/><Relationship Id="rId2" Type="http://schemas.openxmlformats.org/officeDocument/2006/relationships/table" Target="../tables/table87.xml"/><Relationship Id="rId1" Type="http://schemas.openxmlformats.org/officeDocument/2006/relationships/printerSettings" Target="../printerSettings/printerSettings18.bin"/><Relationship Id="rId5" Type="http://schemas.openxmlformats.org/officeDocument/2006/relationships/table" Target="../tables/table90.xml"/><Relationship Id="rId4" Type="http://schemas.openxmlformats.org/officeDocument/2006/relationships/table" Target="../tables/table8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9.bin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6.xml"/><Relationship Id="rId2" Type="http://schemas.openxmlformats.org/officeDocument/2006/relationships/table" Target="../tables/table95.xml"/><Relationship Id="rId1" Type="http://schemas.openxmlformats.org/officeDocument/2006/relationships/printerSettings" Target="../printerSettings/printerSettings20.bin"/><Relationship Id="rId5" Type="http://schemas.openxmlformats.org/officeDocument/2006/relationships/table" Target="../tables/table98.xml"/><Relationship Id="rId4" Type="http://schemas.openxmlformats.org/officeDocument/2006/relationships/table" Target="../tables/table9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0.xml"/><Relationship Id="rId2" Type="http://schemas.openxmlformats.org/officeDocument/2006/relationships/table" Target="../tables/table99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10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3.xml"/><Relationship Id="rId2" Type="http://schemas.openxmlformats.org/officeDocument/2006/relationships/table" Target="../tables/table10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104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6.xml"/><Relationship Id="rId2" Type="http://schemas.openxmlformats.org/officeDocument/2006/relationships/table" Target="../tables/table105.xml"/><Relationship Id="rId1" Type="http://schemas.openxmlformats.org/officeDocument/2006/relationships/printerSettings" Target="../printerSettings/printerSettings23.bin"/><Relationship Id="rId5" Type="http://schemas.openxmlformats.org/officeDocument/2006/relationships/table" Target="../tables/table108.xml"/><Relationship Id="rId4" Type="http://schemas.openxmlformats.org/officeDocument/2006/relationships/table" Target="../tables/table10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24.bin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4.xml"/><Relationship Id="rId2" Type="http://schemas.openxmlformats.org/officeDocument/2006/relationships/table" Target="../tables/table113.xml"/><Relationship Id="rId1" Type="http://schemas.openxmlformats.org/officeDocument/2006/relationships/printerSettings" Target="../printerSettings/printerSettings25.bin"/><Relationship Id="rId5" Type="http://schemas.openxmlformats.org/officeDocument/2006/relationships/table" Target="../tables/table116.xml"/><Relationship Id="rId4" Type="http://schemas.openxmlformats.org/officeDocument/2006/relationships/table" Target="../tables/table11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8.xml"/><Relationship Id="rId2" Type="http://schemas.openxmlformats.org/officeDocument/2006/relationships/table" Target="../tables/table117.xml"/><Relationship Id="rId1" Type="http://schemas.openxmlformats.org/officeDocument/2006/relationships/printerSettings" Target="../printerSettings/printerSettings26.bin"/><Relationship Id="rId5" Type="http://schemas.openxmlformats.org/officeDocument/2006/relationships/table" Target="../tables/table120.xml"/><Relationship Id="rId4" Type="http://schemas.openxmlformats.org/officeDocument/2006/relationships/table" Target="../tables/table119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7.bin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6.xml"/><Relationship Id="rId2" Type="http://schemas.openxmlformats.org/officeDocument/2006/relationships/table" Target="../tables/table125.xml"/><Relationship Id="rId1" Type="http://schemas.openxmlformats.org/officeDocument/2006/relationships/printerSettings" Target="../printerSettings/printerSettings28.bin"/><Relationship Id="rId5" Type="http://schemas.openxmlformats.org/officeDocument/2006/relationships/table" Target="../tables/table128.xml"/><Relationship Id="rId4" Type="http://schemas.openxmlformats.org/officeDocument/2006/relationships/table" Target="../tables/table12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0.xml"/><Relationship Id="rId2" Type="http://schemas.openxmlformats.org/officeDocument/2006/relationships/table" Target="../tables/table12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33.xml"/><Relationship Id="rId5" Type="http://schemas.openxmlformats.org/officeDocument/2006/relationships/table" Target="../tables/table132.xml"/><Relationship Id="rId4" Type="http://schemas.openxmlformats.org/officeDocument/2006/relationships/table" Target="../tables/table13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5.xml"/><Relationship Id="rId2" Type="http://schemas.openxmlformats.org/officeDocument/2006/relationships/table" Target="../tables/table144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48.xml"/><Relationship Id="rId5" Type="http://schemas.openxmlformats.org/officeDocument/2006/relationships/table" Target="../tables/table147.xml"/><Relationship Id="rId4" Type="http://schemas.openxmlformats.org/officeDocument/2006/relationships/table" Target="../tables/table14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0.xml"/><Relationship Id="rId7" Type="http://schemas.openxmlformats.org/officeDocument/2006/relationships/table" Target="../tables/table154.xml"/><Relationship Id="rId2" Type="http://schemas.openxmlformats.org/officeDocument/2006/relationships/table" Target="../tables/table149.xml"/><Relationship Id="rId1" Type="http://schemas.openxmlformats.org/officeDocument/2006/relationships/printerSettings" Target="../printerSettings/printerSettings33.bin"/><Relationship Id="rId6" Type="http://schemas.openxmlformats.org/officeDocument/2006/relationships/table" Target="../tables/table153.xml"/><Relationship Id="rId5" Type="http://schemas.openxmlformats.org/officeDocument/2006/relationships/table" Target="../tables/table152.xml"/><Relationship Id="rId4" Type="http://schemas.openxmlformats.org/officeDocument/2006/relationships/table" Target="../tables/table15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6.xml"/><Relationship Id="rId7" Type="http://schemas.openxmlformats.org/officeDocument/2006/relationships/table" Target="../tables/table160.xml"/><Relationship Id="rId2" Type="http://schemas.openxmlformats.org/officeDocument/2006/relationships/table" Target="../tables/table155.xml"/><Relationship Id="rId1" Type="http://schemas.openxmlformats.org/officeDocument/2006/relationships/printerSettings" Target="../printerSettings/printerSettings34.bin"/><Relationship Id="rId6" Type="http://schemas.openxmlformats.org/officeDocument/2006/relationships/table" Target="../tables/table159.xml"/><Relationship Id="rId5" Type="http://schemas.openxmlformats.org/officeDocument/2006/relationships/table" Target="../tables/table158.xml"/><Relationship Id="rId4" Type="http://schemas.openxmlformats.org/officeDocument/2006/relationships/table" Target="../tables/table157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2.xml"/><Relationship Id="rId7" Type="http://schemas.openxmlformats.org/officeDocument/2006/relationships/table" Target="../tables/table166.xml"/><Relationship Id="rId2" Type="http://schemas.openxmlformats.org/officeDocument/2006/relationships/table" Target="../tables/table161.xml"/><Relationship Id="rId1" Type="http://schemas.openxmlformats.org/officeDocument/2006/relationships/printerSettings" Target="../printerSettings/printerSettings35.bin"/><Relationship Id="rId6" Type="http://schemas.openxmlformats.org/officeDocument/2006/relationships/table" Target="../tables/table165.xml"/><Relationship Id="rId5" Type="http://schemas.openxmlformats.org/officeDocument/2006/relationships/table" Target="../tables/table164.xml"/><Relationship Id="rId4" Type="http://schemas.openxmlformats.org/officeDocument/2006/relationships/table" Target="../tables/table163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8.xml"/><Relationship Id="rId2" Type="http://schemas.openxmlformats.org/officeDocument/2006/relationships/table" Target="../tables/table167.xml"/><Relationship Id="rId1" Type="http://schemas.openxmlformats.org/officeDocument/2006/relationships/printerSettings" Target="../printerSettings/printerSettings36.bin"/><Relationship Id="rId5" Type="http://schemas.openxmlformats.org/officeDocument/2006/relationships/table" Target="../tables/table170.xml"/><Relationship Id="rId4" Type="http://schemas.openxmlformats.org/officeDocument/2006/relationships/table" Target="../tables/table169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2.xml"/><Relationship Id="rId2" Type="http://schemas.openxmlformats.org/officeDocument/2006/relationships/table" Target="../tables/table171.xml"/><Relationship Id="rId1" Type="http://schemas.openxmlformats.org/officeDocument/2006/relationships/printerSettings" Target="../printerSettings/printerSettings37.bin"/><Relationship Id="rId6" Type="http://schemas.openxmlformats.org/officeDocument/2006/relationships/table" Target="../tables/table175.xml"/><Relationship Id="rId5" Type="http://schemas.openxmlformats.org/officeDocument/2006/relationships/table" Target="../tables/table174.xml"/><Relationship Id="rId4" Type="http://schemas.openxmlformats.org/officeDocument/2006/relationships/table" Target="../tables/table173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8.bin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1.xml"/><Relationship Id="rId2" Type="http://schemas.openxmlformats.org/officeDocument/2006/relationships/table" Target="../tables/table180.xml"/><Relationship Id="rId1" Type="http://schemas.openxmlformats.org/officeDocument/2006/relationships/printerSettings" Target="../printerSettings/printerSettings39.bin"/><Relationship Id="rId5" Type="http://schemas.openxmlformats.org/officeDocument/2006/relationships/table" Target="../tables/table183.xml"/><Relationship Id="rId4" Type="http://schemas.openxmlformats.org/officeDocument/2006/relationships/table" Target="../tables/table182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5.xml"/><Relationship Id="rId7" Type="http://schemas.openxmlformats.org/officeDocument/2006/relationships/table" Target="../tables/table189.xml"/><Relationship Id="rId2" Type="http://schemas.openxmlformats.org/officeDocument/2006/relationships/table" Target="../tables/table184.xml"/><Relationship Id="rId1" Type="http://schemas.openxmlformats.org/officeDocument/2006/relationships/printerSettings" Target="../printerSettings/printerSettings40.bin"/><Relationship Id="rId6" Type="http://schemas.openxmlformats.org/officeDocument/2006/relationships/table" Target="../tables/table188.xml"/><Relationship Id="rId5" Type="http://schemas.openxmlformats.org/officeDocument/2006/relationships/table" Target="../tables/table187.xml"/><Relationship Id="rId4" Type="http://schemas.openxmlformats.org/officeDocument/2006/relationships/table" Target="../tables/table186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1.xml"/><Relationship Id="rId2" Type="http://schemas.openxmlformats.org/officeDocument/2006/relationships/table" Target="../tables/table190.xml"/><Relationship Id="rId1" Type="http://schemas.openxmlformats.org/officeDocument/2006/relationships/printerSettings" Target="../printerSettings/printerSettings41.bin"/><Relationship Id="rId4" Type="http://schemas.openxmlformats.org/officeDocument/2006/relationships/table" Target="../tables/table19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4.xml"/><Relationship Id="rId2" Type="http://schemas.openxmlformats.org/officeDocument/2006/relationships/table" Target="../tables/table193.xml"/><Relationship Id="rId1" Type="http://schemas.openxmlformats.org/officeDocument/2006/relationships/printerSettings" Target="../printerSettings/printerSettings42.bin"/><Relationship Id="rId5" Type="http://schemas.openxmlformats.org/officeDocument/2006/relationships/table" Target="../tables/table196.xml"/><Relationship Id="rId4" Type="http://schemas.openxmlformats.org/officeDocument/2006/relationships/table" Target="../tables/table195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7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8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9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0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1.xml"/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2.xml"/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3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4.xml"/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5.xml"/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6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7.xml"/><Relationship Id="rId1" Type="http://schemas.openxmlformats.org/officeDocument/2006/relationships/printerSettings" Target="../printerSettings/printerSettings52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8.xml"/><Relationship Id="rId1" Type="http://schemas.openxmlformats.org/officeDocument/2006/relationships/printerSettings" Target="../printerSettings/printerSettings53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9.xml"/><Relationship Id="rId1" Type="http://schemas.openxmlformats.org/officeDocument/2006/relationships/printerSettings" Target="../printerSettings/printerSettings54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0.xml"/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722C-CF6B-0C40-80AC-159354A27EB2}">
  <sheetPr codeName="Sheet1"/>
  <dimension ref="A2:N125"/>
  <sheetViews>
    <sheetView workbookViewId="0">
      <selection activeCell="M30" sqref="M30"/>
    </sheetView>
    <sheetView workbookViewId="1"/>
  </sheetViews>
  <sheetFormatPr defaultColWidth="11.42578125" defaultRowHeight="15"/>
  <cols>
    <col min="2" max="2" width="15.140625" style="44" bestFit="1" customWidth="1"/>
    <col min="3" max="3" width="6.85546875" style="2" bestFit="1" customWidth="1"/>
    <col min="4" max="4" width="6.140625" style="74" hidden="1" customWidth="1"/>
    <col min="5" max="5" width="6.85546875" style="2" bestFit="1" customWidth="1"/>
    <col min="6" max="6" width="7.140625" style="74" hidden="1" customWidth="1"/>
    <col min="7" max="7" width="6.85546875" style="2" bestFit="1" customWidth="1"/>
    <col min="8" max="8" width="7.140625" style="74" hidden="1" customWidth="1"/>
    <col min="9" max="9" width="4.85546875" style="2" bestFit="1" customWidth="1"/>
    <col min="10" max="10" width="12.85546875" style="74" customWidth="1"/>
    <col min="11" max="11" width="12.85546875" customWidth="1"/>
    <col min="12" max="12" width="42.7109375" bestFit="1" customWidth="1"/>
    <col min="13" max="13" width="22.7109375" customWidth="1"/>
    <col min="14" max="14" width="13" bestFit="1" customWidth="1"/>
    <col min="15" max="15" width="15.140625" bestFit="1" customWidth="1"/>
    <col min="16" max="16" width="12.42578125" bestFit="1" customWidth="1"/>
  </cols>
  <sheetData>
    <row r="2" spans="1:14">
      <c r="A2" s="71" t="s">
        <v>0</v>
      </c>
      <c r="B2" s="2" t="s">
        <v>1</v>
      </c>
      <c r="C2" s="2" t="s">
        <v>2</v>
      </c>
      <c r="D2" s="74" t="s">
        <v>3</v>
      </c>
      <c r="E2" s="2" t="s">
        <v>4</v>
      </c>
      <c r="F2" s="74" t="s">
        <v>5</v>
      </c>
      <c r="G2" s="2" t="s">
        <v>6</v>
      </c>
      <c r="H2" s="74" t="s">
        <v>7</v>
      </c>
      <c r="I2" s="2" t="s">
        <v>8</v>
      </c>
      <c r="J2" s="74" t="s">
        <v>9</v>
      </c>
      <c r="L2" t="s">
        <v>10</v>
      </c>
    </row>
    <row r="3" spans="1:14" ht="15" customHeight="1">
      <c r="A3" s="539" t="s">
        <v>11</v>
      </c>
      <c r="B3" s="44" t="s">
        <v>12</v>
      </c>
      <c r="C3" s="2" t="str">
        <f>_xlfn.XLOOKUP(Table65[[#This Row],[Athelete]],Table15722354466784681112[Athlete],Table15722354466784681112[Rank],"-")</f>
        <v>4th</v>
      </c>
      <c r="D3" s="74">
        <f>_xlfn.XLOOKUP(C3,Table39[Rank],Table39[Points],0)</f>
        <v>1100</v>
      </c>
      <c r="E3" s="2" t="str">
        <f>_xlfn.XLOOKUP(Table65[[#This Row],[Athelete]],Table152028325060721017145161[Athlete],Table152028325060721017145161[Rank],"-")</f>
        <v>1st</v>
      </c>
      <c r="F3" s="74">
        <f>_xlfn.XLOOKUP(E3,Table39[Rank],Table39[Points],0)</f>
        <v>1500</v>
      </c>
      <c r="H3" s="74">
        <f>_xlfn.XLOOKUP(G3,Table39[Rank],Table39[Points],0)</f>
        <v>0</v>
      </c>
      <c r="I3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1st</v>
      </c>
      <c r="J3" s="74">
        <f t="shared" ref="J3:J20" si="0">SUM(D3,F3,H3)</f>
        <v>2600</v>
      </c>
      <c r="L3" s="433" t="s">
        <v>13</v>
      </c>
      <c r="M3" s="73" t="s">
        <v>14</v>
      </c>
      <c r="N3" s="73"/>
    </row>
    <row r="4" spans="1:14" ht="15" customHeight="1">
      <c r="A4" s="539"/>
      <c r="B4" s="44" t="s">
        <v>15</v>
      </c>
      <c r="C4" s="2" t="str">
        <f>_xlfn.XLOOKUP(Table65[[#This Row],[Athelete]],Table15722354466784681112[Athlete],Table15722354466784681112[Rank],"-")</f>
        <v>1st</v>
      </c>
      <c r="D4" s="74">
        <f>_xlfn.XLOOKUP(C4,Table39[Rank],Table39[Points],0)</f>
        <v>1500</v>
      </c>
      <c r="E4" s="2" t="str">
        <f>_xlfn.XLOOKUP(Table65[[#This Row],[Athelete]],Table152028325060721017145161[Athlete],Table152028325060721017145161[Rank],"-")</f>
        <v>6th</v>
      </c>
      <c r="F4" s="74">
        <f>_xlfn.XLOOKUP(E4,Table39[Rank],Table39[Points],0)</f>
        <v>900</v>
      </c>
      <c r="H4" s="74">
        <f>_xlfn.XLOOKUP(G4,Table39[Rank],Table39[Points],0)</f>
        <v>0</v>
      </c>
      <c r="I4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2nd</v>
      </c>
      <c r="J4" s="74">
        <f t="shared" si="0"/>
        <v>2400</v>
      </c>
      <c r="L4" t="s">
        <v>16</v>
      </c>
      <c r="M4" s="72" t="s">
        <v>8</v>
      </c>
      <c r="N4" s="72" t="s">
        <v>3</v>
      </c>
    </row>
    <row r="5" spans="1:14" ht="15" customHeight="1">
      <c r="A5" s="539"/>
      <c r="B5" s="44" t="s">
        <v>17</v>
      </c>
      <c r="C5" s="2" t="str">
        <f>_xlfn.XLOOKUP(Table65[[#This Row],[Athelete]],Table15722354466784681112[Athlete],Table15722354466784681112[Rank],"-")</f>
        <v>5th</v>
      </c>
      <c r="D5" s="74">
        <f>_xlfn.XLOOKUP(C5,Table39[Rank],Table39[Points],0)</f>
        <v>1000</v>
      </c>
      <c r="E5" s="2" t="str">
        <f>_xlfn.XLOOKUP(Table65[[#This Row],[Athelete]],Table152028325060721017145161[Athlete],Table152028325060721017145161[Rank],"-")</f>
        <v>5th</v>
      </c>
      <c r="F5" s="74">
        <f>_xlfn.XLOOKUP(E5,Table39[Rank],Table39[Points],0)</f>
        <v>1000</v>
      </c>
      <c r="H5" s="74">
        <f>_xlfn.XLOOKUP(G5,Table39[Rank],Table39[Points],0)</f>
        <v>0</v>
      </c>
      <c r="I5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3rd</v>
      </c>
      <c r="J5" s="74">
        <f t="shared" si="0"/>
        <v>2000</v>
      </c>
      <c r="L5" t="s">
        <v>18</v>
      </c>
      <c r="M5" s="2" t="s">
        <v>19</v>
      </c>
      <c r="N5" s="433">
        <v>1500</v>
      </c>
    </row>
    <row r="6" spans="1:14" ht="15" customHeight="1">
      <c r="A6" s="539"/>
      <c r="B6" s="44" t="s">
        <v>20</v>
      </c>
      <c r="C6" s="2" t="str">
        <f>_xlfn.XLOOKUP(Table65[[#This Row],[Athelete]],Table15722354466784681112[Athlete],Table15722354466784681112[Rank],"-")</f>
        <v>9th</v>
      </c>
      <c r="D6" s="74">
        <f>_xlfn.XLOOKUP(C6,Table39[Rank],Table39[Points],0)</f>
        <v>350</v>
      </c>
      <c r="E6" s="2" t="str">
        <f>_xlfn.XLOOKUP(Table65[[#This Row],[Athelete]],Table152028325060721017145161[Athlete],Table152028325060721017145161[Rank],"-")</f>
        <v>2nd</v>
      </c>
      <c r="F6" s="74">
        <f>_xlfn.XLOOKUP(E6,Table39[Rank],Table39[Points],0)</f>
        <v>1300</v>
      </c>
      <c r="H6" s="74">
        <f>_xlfn.XLOOKUP(G6,Table39[Rank],Table39[Points],0)</f>
        <v>0</v>
      </c>
      <c r="I6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4th</v>
      </c>
      <c r="J6" s="74">
        <f t="shared" si="0"/>
        <v>1650</v>
      </c>
      <c r="L6" t="s">
        <v>21</v>
      </c>
      <c r="M6" s="2" t="s">
        <v>22</v>
      </c>
      <c r="N6" s="433">
        <v>1300</v>
      </c>
    </row>
    <row r="7" spans="1:14" ht="15" customHeight="1">
      <c r="A7" s="539"/>
      <c r="B7" s="44" t="s">
        <v>23</v>
      </c>
      <c r="C7" s="2" t="str">
        <f>_xlfn.XLOOKUP(Table65[[#This Row],[Athelete]],Table15722354466784681112[Athlete],Table15722354466784681112[Rank],"-")</f>
        <v>2nd</v>
      </c>
      <c r="D7" s="74">
        <f>_xlfn.XLOOKUP(C7,Table39[Rank],Table39[Points],0)</f>
        <v>1300</v>
      </c>
      <c r="E7" s="2" t="str">
        <f>_xlfn.XLOOKUP(Table65[[#This Row],[Athelete]],Table152028325060721017145161[Athlete],Table152028325060721017145161[Rank],"-")</f>
        <v>-</v>
      </c>
      <c r="F7" s="74">
        <f>_xlfn.XLOOKUP(E7,Table39[Rank],Table39[Points],0)</f>
        <v>0</v>
      </c>
      <c r="H7" s="74">
        <f>_xlfn.XLOOKUP(G7,Table39[Rank],Table39[Points],0)</f>
        <v>0</v>
      </c>
      <c r="I7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5th</v>
      </c>
      <c r="J7" s="74">
        <f t="shared" si="0"/>
        <v>1300</v>
      </c>
      <c r="L7" t="s">
        <v>24</v>
      </c>
      <c r="M7" s="2" t="s">
        <v>25</v>
      </c>
      <c r="N7" s="433">
        <v>1200</v>
      </c>
    </row>
    <row r="8" spans="1:14" ht="15" customHeight="1">
      <c r="A8" s="539"/>
      <c r="B8" s="44" t="s">
        <v>26</v>
      </c>
      <c r="C8" s="2" t="str">
        <f>_xlfn.XLOOKUP(Table65[[#This Row],[Athelete]],Table15722354466784681112[Athlete],Table15722354466784681112[Rank],"-")</f>
        <v>3rd</v>
      </c>
      <c r="D8" s="74">
        <f>_xlfn.XLOOKUP(C8,Table39[Rank],Table39[Points],0)</f>
        <v>1200</v>
      </c>
      <c r="E8" s="2" t="str">
        <f>_xlfn.XLOOKUP(Table65[[#This Row],[Athelete]],Table152028325060721017145161[Athlete],Table152028325060721017145161[Rank],"-")</f>
        <v>-</v>
      </c>
      <c r="F8" s="74">
        <f>_xlfn.XLOOKUP(E8,Table39[Rank],Table39[Points],0)</f>
        <v>0</v>
      </c>
      <c r="H8" s="74">
        <f>_xlfn.XLOOKUP(G8,Table39[Rank],Table39[Points],0)</f>
        <v>0</v>
      </c>
      <c r="I8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6th</v>
      </c>
      <c r="J8" s="74">
        <f t="shared" si="0"/>
        <v>1200</v>
      </c>
      <c r="L8" t="s">
        <v>27</v>
      </c>
      <c r="M8" s="2" t="s">
        <v>28</v>
      </c>
      <c r="N8" s="433">
        <v>1100</v>
      </c>
    </row>
    <row r="9" spans="1:14" ht="15" customHeight="1">
      <c r="A9" s="539"/>
      <c r="B9" s="44" t="s">
        <v>29</v>
      </c>
      <c r="C9" s="2" t="str">
        <f>_xlfn.XLOOKUP(Table65[[#This Row],[Athelete]],Table15722354466784681112[Athlete],Table15722354466784681112[Rank],"-")</f>
        <v>-</v>
      </c>
      <c r="D9" s="74">
        <f>_xlfn.XLOOKUP(C9,Table39[Rank],Table39[Points],0)</f>
        <v>0</v>
      </c>
      <c r="E9" s="2" t="str">
        <f>_xlfn.XLOOKUP(Table65[[#This Row],[Athelete]],Table152028325060721017145161[Athlete],Table152028325060721017145161[Rank],"-")</f>
        <v>3rd</v>
      </c>
      <c r="F9" s="74">
        <f>_xlfn.XLOOKUP(E9,Table39[Rank],Table39[Points],0)</f>
        <v>1200</v>
      </c>
      <c r="H9" s="74">
        <f>_xlfn.XLOOKUP(G9,Table39[Rank],Table39[Points],0)</f>
        <v>0</v>
      </c>
      <c r="I9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6th</v>
      </c>
      <c r="J9" s="74">
        <f t="shared" si="0"/>
        <v>1200</v>
      </c>
      <c r="L9" t="s">
        <v>30</v>
      </c>
      <c r="M9" s="2" t="s">
        <v>31</v>
      </c>
      <c r="N9" s="433">
        <v>1000</v>
      </c>
    </row>
    <row r="10" spans="1:14" ht="15" customHeight="1">
      <c r="A10" s="539"/>
      <c r="B10" s="44" t="s">
        <v>32</v>
      </c>
      <c r="C10" s="2" t="str">
        <f>_xlfn.XLOOKUP(Table65[[#This Row],[Athelete]],Table15722354466784681112[Athlete],Table15722354466784681112[Rank],"-")</f>
        <v>-</v>
      </c>
      <c r="D10" s="74">
        <f>_xlfn.XLOOKUP(C10,Table39[Rank],Table39[Points],0)</f>
        <v>0</v>
      </c>
      <c r="E10" s="2" t="str">
        <f>_xlfn.XLOOKUP(Table65[[#This Row],[Athelete]],Table152028325060721017145161[Athlete],Table152028325060721017145161[Rank],"-")</f>
        <v>4th</v>
      </c>
      <c r="F10" s="74">
        <f>_xlfn.XLOOKUP(E10,Table39[Rank],Table39[Points],0)</f>
        <v>1100</v>
      </c>
      <c r="H10" s="74">
        <f>_xlfn.XLOOKUP(G10,Table39[Rank],Table39[Points],0)</f>
        <v>0</v>
      </c>
      <c r="I10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8th</v>
      </c>
      <c r="J10" s="74">
        <f t="shared" si="0"/>
        <v>1100</v>
      </c>
      <c r="L10" t="s">
        <v>33</v>
      </c>
      <c r="M10" s="2" t="s">
        <v>34</v>
      </c>
      <c r="N10" s="433">
        <v>900</v>
      </c>
    </row>
    <row r="11" spans="1:14" ht="15" customHeight="1">
      <c r="A11" s="539"/>
      <c r="B11" s="44" t="s">
        <v>35</v>
      </c>
      <c r="C11" s="2" t="str">
        <f>_xlfn.XLOOKUP(Table65[[#This Row],[Athelete]],Table15722354466784681112[Athlete],Table15722354466784681112[Rank],"-")</f>
        <v>12th</v>
      </c>
      <c r="D11" s="74">
        <f>_xlfn.XLOOKUP(C11,Table39[Rank],Table39[Points],0)</f>
        <v>200</v>
      </c>
      <c r="E11" s="2" t="str">
        <f>_xlfn.XLOOKUP(Table65[[#This Row],[Athelete]],Table152028325060721017145161[Athlete],Table152028325060721017145161[Rank],"-")</f>
        <v>7th</v>
      </c>
      <c r="F11" s="74">
        <f>_xlfn.XLOOKUP(E11,Table39[Rank],Table39[Points],0)</f>
        <v>800</v>
      </c>
      <c r="H11" s="74">
        <f>_xlfn.XLOOKUP(G11,Table39[Rank],Table39[Points],0)</f>
        <v>0</v>
      </c>
      <c r="I11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9th</v>
      </c>
      <c r="J11" s="74">
        <f t="shared" si="0"/>
        <v>1000</v>
      </c>
      <c r="L11" t="s">
        <v>36</v>
      </c>
      <c r="M11" s="2" t="s">
        <v>37</v>
      </c>
      <c r="N11" s="433">
        <v>800</v>
      </c>
    </row>
    <row r="12" spans="1:14" ht="15" customHeight="1">
      <c r="A12" s="539"/>
      <c r="B12" s="44" t="s">
        <v>38</v>
      </c>
      <c r="C12" s="2" t="str">
        <f>_xlfn.XLOOKUP(Table65[[#This Row],[Athelete]],Table15722354466784681112[Athlete],Table15722354466784681112[Rank],"-")</f>
        <v>7th</v>
      </c>
      <c r="D12" s="74">
        <f>_xlfn.XLOOKUP(C12,Table39[Rank],Table39[Points],0)</f>
        <v>800</v>
      </c>
      <c r="E12" s="2" t="str">
        <f>_xlfn.XLOOKUP(Table65[[#This Row],[Athelete]],Table152028325060721017145161[Athlete],Table152028325060721017145161[Rank],"-")</f>
        <v>12th</v>
      </c>
      <c r="F12" s="74">
        <f>_xlfn.XLOOKUP(E12,Table39[Rank],Table39[Points],0)</f>
        <v>200</v>
      </c>
      <c r="H12" s="74">
        <f>_xlfn.XLOOKUP(G12,Table39[Rank],Table39[Points],0)</f>
        <v>0</v>
      </c>
      <c r="I12" s="235" t="s">
        <v>39</v>
      </c>
      <c r="J12" s="74">
        <f t="shared" si="0"/>
        <v>1000</v>
      </c>
      <c r="L12" t="s">
        <v>40</v>
      </c>
      <c r="M12" s="2" t="s">
        <v>41</v>
      </c>
      <c r="N12" s="433">
        <v>700</v>
      </c>
    </row>
    <row r="13" spans="1:14" ht="15" customHeight="1">
      <c r="A13" s="539"/>
      <c r="B13" s="44" t="s">
        <v>42</v>
      </c>
      <c r="C13" s="2" t="str">
        <f>_xlfn.XLOOKUP(Table65[[#This Row],[Athelete]],Table15722354466784681112[Athlete],Table15722354466784681112[Rank],"-")</f>
        <v>6th</v>
      </c>
      <c r="D13" s="74">
        <f>_xlfn.XLOOKUP(C13,Table39[Rank],Table39[Points],0)</f>
        <v>900</v>
      </c>
      <c r="E13" s="2" t="str">
        <f>_xlfn.XLOOKUP(Table65[[#This Row],[Athelete]],Table152028325060721017145161[Athlete],Table152028325060721017145161[Rank],"-")</f>
        <v>-</v>
      </c>
      <c r="F13" s="74">
        <f>_xlfn.XLOOKUP(E13,Table39[Rank],Table39[Points],0)</f>
        <v>0</v>
      </c>
      <c r="H13" s="74">
        <f>_xlfn.XLOOKUP(G13,Table39[Rank],Table39[Points],0)</f>
        <v>0</v>
      </c>
      <c r="I13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11th</v>
      </c>
      <c r="J13" s="74">
        <f t="shared" si="0"/>
        <v>900</v>
      </c>
      <c r="L13" t="s">
        <v>43</v>
      </c>
      <c r="M13" s="2" t="s">
        <v>44</v>
      </c>
      <c r="N13" s="433">
        <v>350</v>
      </c>
    </row>
    <row r="14" spans="1:14" ht="15" customHeight="1">
      <c r="A14" s="539"/>
      <c r="B14" s="44" t="s">
        <v>45</v>
      </c>
      <c r="C14" s="2" t="str">
        <f>_xlfn.XLOOKUP(Table65[[#This Row],[Athelete]],Table15722354466784681112[Athlete],Table15722354466784681112[Rank],"-")</f>
        <v>8th</v>
      </c>
      <c r="D14" s="74">
        <f>_xlfn.XLOOKUP(C14,Table39[Rank],Table39[Points],0)</f>
        <v>700</v>
      </c>
      <c r="E14" s="2" t="str">
        <f>_xlfn.XLOOKUP(Table65[[#This Row],[Athelete]],Table152028325060721017145161[Athlete],Table152028325060721017145161[Rank],"-")</f>
        <v>-</v>
      </c>
      <c r="F14" s="74">
        <f>_xlfn.XLOOKUP(E14,Table39[Rank],Table39[Points],0)</f>
        <v>0</v>
      </c>
      <c r="H14" s="74">
        <f>_xlfn.XLOOKUP(G14,Table39[Rank],Table39[Points],0)</f>
        <v>0</v>
      </c>
      <c r="I14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12th</v>
      </c>
      <c r="J14" s="74">
        <f t="shared" si="0"/>
        <v>700</v>
      </c>
      <c r="M14" s="2" t="s">
        <v>39</v>
      </c>
      <c r="N14" s="433">
        <v>300</v>
      </c>
    </row>
    <row r="15" spans="1:14" ht="15" customHeight="1">
      <c r="A15" s="539"/>
      <c r="B15" s="44" t="s">
        <v>46</v>
      </c>
      <c r="C15" s="2" t="str">
        <f>_xlfn.XLOOKUP(Table65[[#This Row],[Athelete]],Table15722354466784681112[Athlete],Table15722354466784681112[Rank],"-")</f>
        <v>-</v>
      </c>
      <c r="D15" s="74">
        <f>_xlfn.XLOOKUP(C15,Table39[Rank],Table39[Points],0)</f>
        <v>0</v>
      </c>
      <c r="E15" s="2" t="str">
        <f>_xlfn.XLOOKUP(Table65[[#This Row],[Athelete]],Table152028325060721017145161[Athlete],Table152028325060721017145161[Rank],"-")</f>
        <v>8th</v>
      </c>
      <c r="F15" s="74">
        <f>_xlfn.XLOOKUP(E15,Table39[Rank],Table39[Points],0)</f>
        <v>700</v>
      </c>
      <c r="H15" s="74">
        <f>_xlfn.XLOOKUP(G15,Table39[Rank],Table39[Points],0)</f>
        <v>0</v>
      </c>
      <c r="I15" s="235" t="s">
        <v>47</v>
      </c>
      <c r="J15" s="74">
        <f t="shared" si="0"/>
        <v>700</v>
      </c>
      <c r="L15" t="s">
        <v>48</v>
      </c>
      <c r="M15" s="2" t="s">
        <v>49</v>
      </c>
      <c r="N15" s="433">
        <v>250</v>
      </c>
    </row>
    <row r="16" spans="1:14" ht="15" customHeight="1">
      <c r="A16" s="539"/>
      <c r="B16" s="44" t="s">
        <v>50</v>
      </c>
      <c r="C16" s="2" t="str">
        <f>_xlfn.XLOOKUP(Table65[[#This Row],[Athelete]],Table15722354466784681112[Athlete],Table15722354466784681112[Rank],"-")</f>
        <v>14th</v>
      </c>
      <c r="D16" s="74">
        <f>_xlfn.XLOOKUP(C16,Table39[Rank],Table39[Points],0)</f>
        <v>100</v>
      </c>
      <c r="E16" s="2" t="str">
        <f>_xlfn.XLOOKUP(Table65[[#This Row],[Athelete]],Table152028325060721017145161[Athlete],Table152028325060721017145161[Rank],"-")</f>
        <v>9th</v>
      </c>
      <c r="F16" s="74">
        <f>_xlfn.XLOOKUP(E16,Table39[Rank],Table39[Points],0)</f>
        <v>350</v>
      </c>
      <c r="H16" s="74">
        <f>_xlfn.XLOOKUP(G16,Table39[Rank],Table39[Points],0)</f>
        <v>0</v>
      </c>
      <c r="I16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14th</v>
      </c>
      <c r="J16" s="74">
        <f t="shared" si="0"/>
        <v>450</v>
      </c>
      <c r="L16" s="433" t="s">
        <v>13</v>
      </c>
      <c r="M16" s="2" t="s">
        <v>51</v>
      </c>
      <c r="N16" s="433">
        <v>200</v>
      </c>
    </row>
    <row r="17" spans="1:14" ht="21.95" customHeight="1">
      <c r="A17" s="539"/>
      <c r="B17" s="44" t="s">
        <v>52</v>
      </c>
      <c r="C17" s="2" t="str">
        <f>_xlfn.XLOOKUP(Table65[[#This Row],[Athelete]],Table15722354466784681112[Athlete],Table15722354466784681112[Rank],"-")</f>
        <v>15th</v>
      </c>
      <c r="D17" s="74">
        <f>_xlfn.XLOOKUP(C17,Table39[Rank],Table39[Points],0)</f>
        <v>50</v>
      </c>
      <c r="E17" s="2" t="str">
        <f>_xlfn.XLOOKUP(Table65[[#This Row],[Athelete]],Table152028325060721017145161[Athlete],Table152028325060721017145161[Rank],"-")</f>
        <v>11th</v>
      </c>
      <c r="F17" s="74">
        <f>_xlfn.XLOOKUP(E17,Table39[Rank],Table39[Points],0)</f>
        <v>250</v>
      </c>
      <c r="H17" s="74">
        <f>_xlfn.XLOOKUP(G17,Table39[Rank],Table39[Points],0)</f>
        <v>0</v>
      </c>
      <c r="I17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15th</v>
      </c>
      <c r="J17" s="74">
        <f t="shared" si="0"/>
        <v>300</v>
      </c>
      <c r="L17" t="s">
        <v>53</v>
      </c>
      <c r="M17" s="2" t="s">
        <v>47</v>
      </c>
      <c r="N17" s="433">
        <v>150</v>
      </c>
    </row>
    <row r="18" spans="1:14" ht="21.95" customHeight="1">
      <c r="A18" s="539"/>
      <c r="B18" s="44" t="s">
        <v>54</v>
      </c>
      <c r="C18" s="2" t="str">
        <f>_xlfn.XLOOKUP(Table65[[#This Row],[Athelete]],Table15722354466784681112[Athlete],Table15722354466784681112[Rank],"-")</f>
        <v>10th</v>
      </c>
      <c r="D18" s="74">
        <f>_xlfn.XLOOKUP(C18,Table39[Rank],Table39[Points],0)</f>
        <v>300</v>
      </c>
      <c r="E18" s="2" t="str">
        <f>_xlfn.XLOOKUP(Table65[[#This Row],[Athelete]],Table152028325060721017145161[Athlete],Table152028325060721017145161[Rank],"-")</f>
        <v>-</v>
      </c>
      <c r="F18" s="74">
        <f>_xlfn.XLOOKUP(E18,Table39[Rank],Table39[Points],0)</f>
        <v>0</v>
      </c>
      <c r="H18" s="74">
        <f>_xlfn.XLOOKUP(G18,Table39[Rank],Table39[Points],0)</f>
        <v>0</v>
      </c>
      <c r="I18" s="235" t="s">
        <v>55</v>
      </c>
      <c r="J18" s="74">
        <f t="shared" si="0"/>
        <v>300</v>
      </c>
      <c r="L18" t="s">
        <v>56</v>
      </c>
      <c r="M18" s="2" t="s">
        <v>57</v>
      </c>
      <c r="N18" s="433">
        <v>100</v>
      </c>
    </row>
    <row r="19" spans="1:14" ht="15" customHeight="1">
      <c r="A19" s="539"/>
      <c r="B19" s="44" t="s">
        <v>58</v>
      </c>
      <c r="C19" s="2" t="str">
        <f>_xlfn.XLOOKUP(Table65[[#This Row],[Athelete]],Table15722354466784681112[Athlete],Table15722354466784681112[Rank],"-")</f>
        <v>11th</v>
      </c>
      <c r="D19" s="74">
        <f>_xlfn.XLOOKUP(C19,Table39[Rank],Table39[Points],0)</f>
        <v>250</v>
      </c>
      <c r="E19" s="2" t="str">
        <f>_xlfn.XLOOKUP(Table65[[#This Row],[Athelete]],Table152028325060721017145161[Athlete],Table152028325060721017145161[Rank],"-")</f>
        <v>-</v>
      </c>
      <c r="F19" s="74">
        <f>_xlfn.XLOOKUP(E19,Table39[Rank],Table39[Points],0)</f>
        <v>0</v>
      </c>
      <c r="H19" s="74">
        <f>_xlfn.XLOOKUP(G19,Table39[Rank],Table39[Points],0)</f>
        <v>0</v>
      </c>
      <c r="I19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17th</v>
      </c>
      <c r="J19" s="74">
        <f t="shared" si="0"/>
        <v>250</v>
      </c>
      <c r="L19" t="s">
        <v>59</v>
      </c>
      <c r="M19" s="2" t="s">
        <v>60</v>
      </c>
      <c r="N19" s="433">
        <v>50</v>
      </c>
    </row>
    <row r="20" spans="1:14" ht="21.95" customHeight="1">
      <c r="A20" s="539"/>
      <c r="B20" s="44" t="s">
        <v>61</v>
      </c>
      <c r="C20" s="2" t="str">
        <f>_xlfn.XLOOKUP(Table65[[#This Row],[Athelete]],Table15722354466784681112[Athlete],Table15722354466784681112[Rank],"-")</f>
        <v>13th</v>
      </c>
      <c r="D20" s="74">
        <f>_xlfn.XLOOKUP(C20,Table39[Rank],Table39[Points],0)</f>
        <v>150</v>
      </c>
      <c r="E20" s="2" t="str">
        <f>_xlfn.XLOOKUP(Table65[[#This Row],[Athelete]],Table152028325060721017145161[Athlete],Table152028325060721017145161[Rank],"-")</f>
        <v>-</v>
      </c>
      <c r="F20" s="74">
        <f>_xlfn.XLOOKUP(E20,Table39[Rank],Table39[Points],0)</f>
        <v>0</v>
      </c>
      <c r="H20" s="74">
        <f>_xlfn.XLOOKUP(G20,Table39[Rank],Table39[Points],0)</f>
        <v>0</v>
      </c>
      <c r="I20" s="2" t="str">
        <f>IF(RANK(Table65[[#This Row],[Total]],Table65[Total])=1,$M$5,IF(RANK(Table65[[#This Row],[Total]],Table65[Total])=2,$M$6,IF(RANK(Table65[[#This Row],[Total]],Table65[Total])=3,$M$7,RANK(Table65[[#This Row],[Total]],Table65[Total])&amp;"th")))</f>
        <v>18th</v>
      </c>
      <c r="J20" s="74">
        <f t="shared" si="0"/>
        <v>150</v>
      </c>
      <c r="L20" t="s">
        <v>62</v>
      </c>
      <c r="M20" s="2" t="s">
        <v>55</v>
      </c>
      <c r="N20" s="433">
        <v>10</v>
      </c>
    </row>
    <row r="21" spans="1:14">
      <c r="M21" s="2"/>
      <c r="N21" s="433"/>
    </row>
    <row r="22" spans="1:14">
      <c r="A22" s="75" t="s">
        <v>0</v>
      </c>
      <c r="B22" s="2" t="s">
        <v>1</v>
      </c>
      <c r="C22" s="2" t="s">
        <v>2</v>
      </c>
      <c r="D22" s="74" t="s">
        <v>3</v>
      </c>
      <c r="E22" s="2" t="s">
        <v>4</v>
      </c>
      <c r="F22" s="74" t="s">
        <v>5</v>
      </c>
      <c r="G22" s="2" t="s">
        <v>6</v>
      </c>
      <c r="H22" s="74" t="s">
        <v>7</v>
      </c>
      <c r="I22" s="2" t="s">
        <v>8</v>
      </c>
      <c r="J22" s="74" t="s">
        <v>9</v>
      </c>
      <c r="M22" s="2"/>
      <c r="N22" s="433"/>
    </row>
    <row r="23" spans="1:14" ht="15" customHeight="1">
      <c r="A23" s="540" t="s">
        <v>63</v>
      </c>
      <c r="B23" s="44" t="s">
        <v>64</v>
      </c>
      <c r="C23" s="2" t="str">
        <f>_xlfn.XLOOKUP(Table82[[#This Row],[Athelete]],Table1520283250607210171105[Athlete],Table1520283250607210171105[Rank],"-")</f>
        <v>1st</v>
      </c>
      <c r="D23" s="74">
        <f>_xlfn.XLOOKUP(C23,Table39[Rank],Table39[Points],0)</f>
        <v>1500</v>
      </c>
      <c r="E23" s="2" t="str">
        <f>_xlfn.XLOOKUP(Table82[[#This Row],[Athelete]],Table15202832506072101714577175[Athlete],Table15202832506072101714577175[Rank],"-")</f>
        <v>2nd</v>
      </c>
      <c r="F23" s="74">
        <f>_xlfn.XLOOKUP(E23,Table39[Rank],Table39[Points],0)</f>
        <v>1300</v>
      </c>
      <c r="H23" s="74">
        <f>_xlfn.XLOOKUP(G23,Table39[Rank],Table39[Points],0)</f>
        <v>0</v>
      </c>
      <c r="I23" s="2" t="str">
        <f>IF(RANK(Table82[[#This Row],[Total]],Table82[Total])=1,$M$5,IF(RANK(Table82[[#This Row],[Total]],Table82[Total])=2,$M$6,IF(RANK(Table82[[#This Row],[Total]],Table82[Total])=3,$M$7,RANK(Table82[[#This Row],[Total]],Table82[Total])&amp;"th")))</f>
        <v>1st</v>
      </c>
      <c r="J23" s="74">
        <f t="shared" ref="J23:J35" si="1">SUM(D23,F23,H23)</f>
        <v>2800</v>
      </c>
      <c r="M23" s="2"/>
      <c r="N23" s="433"/>
    </row>
    <row r="24" spans="1:14" ht="15" customHeight="1">
      <c r="A24" s="540"/>
      <c r="B24" s="44" t="s">
        <v>65</v>
      </c>
      <c r="C24" s="2" t="str">
        <f>_xlfn.XLOOKUP(Table82[[#This Row],[Athelete]],Table1520283250607210171105[Athlete],Table1520283250607210171105[Rank],"-")</f>
        <v>4th</v>
      </c>
      <c r="D24" s="74">
        <f>_xlfn.XLOOKUP(C24,Table39[Rank],Table39[Points],0)</f>
        <v>1100</v>
      </c>
      <c r="E24" s="2" t="str">
        <f>_xlfn.XLOOKUP(Table82[[#This Row],[Athelete]],Table15202832506072101714577175[Athlete],Table15202832506072101714577175[Rank],"-")</f>
        <v>1st</v>
      </c>
      <c r="F24" s="74">
        <f>_xlfn.XLOOKUP(E24,Table39[Rank],Table39[Points],0)</f>
        <v>1500</v>
      </c>
      <c r="H24" s="74">
        <f>_xlfn.XLOOKUP(G24,Table39[Rank],Table39[Points],0)</f>
        <v>0</v>
      </c>
      <c r="I24" s="2" t="str">
        <f>IF(RANK(Table82[[#This Row],[Total]],Table82[Total])=1,$M$5,IF(RANK(Table82[[#This Row],[Total]],Table82[Total])=2,$M$6,IF(RANK(Table82[[#This Row],[Total]],Table82[Total])=3,$M$7,RANK(Table82[[#This Row],[Total]],Table82[Total])&amp;"th")))</f>
        <v>2nd</v>
      </c>
      <c r="J24" s="74">
        <f t="shared" si="1"/>
        <v>2600</v>
      </c>
      <c r="M24" s="2"/>
      <c r="N24" s="433"/>
    </row>
    <row r="25" spans="1:14" ht="15" customHeight="1">
      <c r="A25" s="540"/>
      <c r="B25" s="44" t="s">
        <v>66</v>
      </c>
      <c r="C25" s="2" t="str">
        <f>_xlfn.XLOOKUP(Table82[[#This Row],[Athelete]],Table1520283250607210171105[Athlete],Table1520283250607210171105[Rank],"-")</f>
        <v>7th</v>
      </c>
      <c r="D25" s="74">
        <f>_xlfn.XLOOKUP(C25,Table39[Rank],Table39[Points],0)</f>
        <v>800</v>
      </c>
      <c r="E25" s="2" t="str">
        <f>_xlfn.XLOOKUP(Table82[[#This Row],[Athelete]],Table15202832506072101714577175[Athlete],Table15202832506072101714577175[Rank],"-")</f>
        <v>3rd</v>
      </c>
      <c r="F25" s="74">
        <f>_xlfn.XLOOKUP(E25,Table39[Rank],Table39[Points],0)</f>
        <v>1200</v>
      </c>
      <c r="H25" s="74">
        <f>_xlfn.XLOOKUP(G25,Table39[Rank],Table39[Points],0)</f>
        <v>0</v>
      </c>
      <c r="I25" s="233" t="str">
        <f>IF(RANK(Table82[[#This Row],[Total]],Table82[Total])=1,$M$5,IF(RANK(Table82[[#This Row],[Total]],Table82[Total])=2,$M$6,IF(RANK(Table82[[#This Row],[Total]],Table82[Total])=3,$M$7,RANK(Table82[[#This Row],[Total]],Table82[Total])&amp;"th")))</f>
        <v>3rd</v>
      </c>
      <c r="J25" s="74">
        <f t="shared" si="1"/>
        <v>2000</v>
      </c>
      <c r="M25" s="2"/>
      <c r="N25" s="433"/>
    </row>
    <row r="26" spans="1:14" ht="15" customHeight="1">
      <c r="A26" s="540"/>
      <c r="B26" s="44" t="s">
        <v>67</v>
      </c>
      <c r="C26" s="2" t="str">
        <f>_xlfn.XLOOKUP(Table82[[#This Row],[Athelete]],Table1520283250607210171105[Athlete],Table1520283250607210171105[Rank],"-")</f>
        <v>6th</v>
      </c>
      <c r="D26" s="74">
        <f>_xlfn.XLOOKUP(C26,Table39[Rank],Table39[Points],0)</f>
        <v>900</v>
      </c>
      <c r="E26" s="2" t="str">
        <f>_xlfn.XLOOKUP(Table82[[#This Row],[Athelete]],Table15202832506072101714577175[Athlete],Table15202832506072101714577175[Rank],"-")</f>
        <v>4th</v>
      </c>
      <c r="F26" s="74">
        <f>_xlfn.XLOOKUP(E26,Table39[Rank],Table39[Points],0)</f>
        <v>1100</v>
      </c>
      <c r="H26" s="74">
        <f>_xlfn.XLOOKUP(G26,Table39[Rank],Table39[Points],0)</f>
        <v>0</v>
      </c>
      <c r="I26" s="233" t="s">
        <v>28</v>
      </c>
      <c r="J26" s="74">
        <f t="shared" si="1"/>
        <v>2000</v>
      </c>
      <c r="M26" s="2"/>
      <c r="N26" s="433"/>
    </row>
    <row r="27" spans="1:14" ht="15" customHeight="1">
      <c r="A27" s="540"/>
      <c r="B27" s="44" t="s">
        <v>68</v>
      </c>
      <c r="C27" s="2" t="str">
        <f>_xlfn.XLOOKUP(Table82[[#This Row],[Athelete]],Table1520283250607210171105[Athlete],Table1520283250607210171105[Rank],"-")</f>
        <v>5th</v>
      </c>
      <c r="D27" s="74">
        <f>_xlfn.XLOOKUP(C27,Table39[Rank],Table39[Points],0)</f>
        <v>1000</v>
      </c>
      <c r="E27" s="2" t="str">
        <f>_xlfn.XLOOKUP(Table82[[#This Row],[Athelete]],Table15202832506072101714577175[Athlete],Table15202832506072101714577175[Rank],"-")</f>
        <v>5th</v>
      </c>
      <c r="F27" s="74">
        <f>_xlfn.XLOOKUP(E27,Table39[Rank],Table39[Points],0)</f>
        <v>1000</v>
      </c>
      <c r="H27" s="74">
        <f>_xlfn.XLOOKUP(G27,Table39[Rank],Table39[Points],0)</f>
        <v>0</v>
      </c>
      <c r="I27" s="233" t="s">
        <v>31</v>
      </c>
      <c r="J27" s="74">
        <f t="shared" si="1"/>
        <v>2000</v>
      </c>
      <c r="M27" s="2"/>
      <c r="N27" s="433"/>
    </row>
    <row r="28" spans="1:14" ht="15" customHeight="1">
      <c r="A28" s="540"/>
      <c r="B28" s="44" t="s">
        <v>69</v>
      </c>
      <c r="C28" s="2" t="str">
        <f>_xlfn.XLOOKUP(Table82[[#This Row],[Athelete]],Table1520283250607210171105[Athlete],Table1520283250607210171105[Rank],"-")</f>
        <v>8th</v>
      </c>
      <c r="D28" s="74">
        <f>_xlfn.XLOOKUP(C28,Table39[Rank],Table39[Points],0)</f>
        <v>700</v>
      </c>
      <c r="E28" s="2" t="str">
        <f>_xlfn.XLOOKUP(Table82[[#This Row],[Athelete]],Table15202832506072101714577175[Athlete],Table15202832506072101714577175[Rank],"-")</f>
        <v>6th</v>
      </c>
      <c r="F28" s="74">
        <f>_xlfn.XLOOKUP(E28,Table39[Rank],Table39[Points],0)</f>
        <v>900</v>
      </c>
      <c r="H28" s="74">
        <f>_xlfn.XLOOKUP(G28,Table39[Rank],Table39[Points],0)</f>
        <v>0</v>
      </c>
      <c r="I28" s="2" t="str">
        <f>IF(RANK(Table82[[#This Row],[Total]],Table82[Total])=1,$M$5,IF(RANK(Table82[[#This Row],[Total]],Table82[Total])=2,$M$6,IF(RANK(Table82[[#This Row],[Total]],Table82[Total])=3,$M$7,RANK(Table82[[#This Row],[Total]],Table82[Total])&amp;"th")))</f>
        <v>6th</v>
      </c>
      <c r="J28" s="74">
        <f t="shared" si="1"/>
        <v>1600</v>
      </c>
      <c r="M28" s="2"/>
      <c r="N28" s="433"/>
    </row>
    <row r="29" spans="1:14" ht="15" customHeight="1">
      <c r="A29" s="540"/>
      <c r="B29" s="44" t="s">
        <v>70</v>
      </c>
      <c r="C29" s="2" t="str">
        <f>_xlfn.XLOOKUP(Table82[[#This Row],[Athelete]],Table1520283250607210171105[Athlete],Table1520283250607210171105[Rank],"-")</f>
        <v>2nd</v>
      </c>
      <c r="D29" s="74">
        <f>_xlfn.XLOOKUP(C29,Table39[Rank],Table39[Points],0)</f>
        <v>1300</v>
      </c>
      <c r="E29" s="2" t="str">
        <f>_xlfn.XLOOKUP(Table82[[#This Row],[Athelete]],Table15202832506072101714577175[Athlete],Table15202832506072101714577175[Rank],"-")</f>
        <v>-</v>
      </c>
      <c r="F29" s="74">
        <f>_xlfn.XLOOKUP(E29,Table39[Rank],Table39[Points],0)</f>
        <v>0</v>
      </c>
      <c r="H29" s="74">
        <f>_xlfn.XLOOKUP(G29,Table39[Rank],Table39[Points],0)</f>
        <v>0</v>
      </c>
      <c r="I29" s="2" t="str">
        <f>IF(RANK(Table82[[#This Row],[Total]],Table82[Total])=1,$M$5,IF(RANK(Table82[[#This Row],[Total]],Table82[Total])=2,$M$6,IF(RANK(Table82[[#This Row],[Total]],Table82[Total])=3,$M$7,RANK(Table82[[#This Row],[Total]],Table82[Total])&amp;"th")))</f>
        <v>7th</v>
      </c>
      <c r="J29" s="74">
        <f t="shared" si="1"/>
        <v>1300</v>
      </c>
    </row>
    <row r="30" spans="1:14" ht="15" customHeight="1">
      <c r="A30" s="540"/>
      <c r="B30" s="44" t="s">
        <v>71</v>
      </c>
      <c r="C30" s="2" t="str">
        <f>_xlfn.XLOOKUP(Table82[[#This Row],[Athelete]],Table1520283250607210171105[Athlete],Table1520283250607210171105[Rank],"-")</f>
        <v>3rd</v>
      </c>
      <c r="D30" s="74">
        <f>_xlfn.XLOOKUP(C30,Table39[Rank],Table39[Points],0)</f>
        <v>1200</v>
      </c>
      <c r="E30" s="2" t="str">
        <f>_xlfn.XLOOKUP(Table82[[#This Row],[Athelete]],Table15202832506072101714577175[Athlete],Table15202832506072101714577175[Rank],"-")</f>
        <v>-</v>
      </c>
      <c r="F30" s="74">
        <f>_xlfn.XLOOKUP(E30,Table39[Rank],Table39[Points],0)</f>
        <v>0</v>
      </c>
      <c r="H30" s="74">
        <f>_xlfn.XLOOKUP(G30,Table39[Rank],Table39[Points],0)</f>
        <v>0</v>
      </c>
      <c r="I30" s="2" t="str">
        <f>IF(RANK(Table82[[#This Row],[Total]],Table82[Total])=1,$M$5,IF(RANK(Table82[[#This Row],[Total]],Table82[Total])=2,$M$6,IF(RANK(Table82[[#This Row],[Total]],Table82[Total])=3,$M$7,RANK(Table82[[#This Row],[Total]],Table82[Total])&amp;"th")))</f>
        <v>8th</v>
      </c>
      <c r="J30" s="74">
        <f t="shared" si="1"/>
        <v>1200</v>
      </c>
    </row>
    <row r="31" spans="1:14" ht="15" customHeight="1">
      <c r="A31" s="540"/>
      <c r="B31" s="44" t="s">
        <v>72</v>
      </c>
      <c r="C31" s="2" t="str">
        <f>_xlfn.XLOOKUP(Table82[[#This Row],[Athelete]],Table1520283250607210171105[Athlete],Table1520283250607210171105[Rank],"-")</f>
        <v>10th</v>
      </c>
      <c r="D31" s="74">
        <f>_xlfn.XLOOKUP(C31,Table39[Rank],Table39[Points],0)</f>
        <v>300</v>
      </c>
      <c r="E31" s="2" t="str">
        <f>_xlfn.XLOOKUP(Table82[[#This Row],[Athelete]],Table15202832506072101714577175[Athlete],Table15202832506072101714577175[Rank],"-")</f>
        <v>7th</v>
      </c>
      <c r="F31" s="74">
        <f>_xlfn.XLOOKUP(E31,Table39[Rank],Table39[Points],0)</f>
        <v>800</v>
      </c>
      <c r="H31" s="74">
        <f>_xlfn.XLOOKUP(G31,Table39[Rank],Table39[Points],0)</f>
        <v>0</v>
      </c>
      <c r="I31" s="2" t="str">
        <f>IF(RANK(Table82[[#This Row],[Total]],Table82[Total])=1,$M$5,IF(RANK(Table82[[#This Row],[Total]],Table82[Total])=2,$M$6,IF(RANK(Table82[[#This Row],[Total]],Table82[Total])=3,$M$7,RANK(Table82[[#This Row],[Total]],Table82[Total])&amp;"th")))</f>
        <v>9th</v>
      </c>
      <c r="J31" s="74">
        <f t="shared" si="1"/>
        <v>1100</v>
      </c>
    </row>
    <row r="32" spans="1:14" ht="15" customHeight="1">
      <c r="A32" s="540"/>
      <c r="B32" s="44" t="s">
        <v>73</v>
      </c>
      <c r="C32" s="2" t="str">
        <f>_xlfn.XLOOKUP(Table82[[#This Row],[Athelete]],Table1520283250607210171105[Athlete],Table1520283250607210171105[Rank],"-")</f>
        <v>-</v>
      </c>
      <c r="D32" s="74">
        <f>_xlfn.XLOOKUP(C32,Table39[Rank],Table39[Points],0)</f>
        <v>0</v>
      </c>
      <c r="E32" s="2" t="str">
        <f>_xlfn.XLOOKUP(Table82[[#This Row],[Athelete]],Table15202832506072101714577175[Athlete],Table15202832506072101714577175[Rank],"-")</f>
        <v>8th</v>
      </c>
      <c r="F32" s="74">
        <f>_xlfn.XLOOKUP(E32,Table39[Rank],Table39[Points],0)</f>
        <v>700</v>
      </c>
      <c r="H32" s="74">
        <f>_xlfn.XLOOKUP(G32,Table39[Rank],Table39[Points],0)</f>
        <v>0</v>
      </c>
      <c r="I32" s="2" t="str">
        <f>IF(RANK(Table82[[#This Row],[Total]],Table82[Total])=1,$M$5,IF(RANK(Table82[[#This Row],[Total]],Table82[Total])=2,$M$6,IF(RANK(Table82[[#This Row],[Total]],Table82[Total])=3,$M$7,RANK(Table82[[#This Row],[Total]],Table82[Total])&amp;"th")))</f>
        <v>10th</v>
      </c>
      <c r="J32" s="74">
        <f t="shared" si="1"/>
        <v>700</v>
      </c>
    </row>
    <row r="33" spans="1:10" ht="15" customHeight="1">
      <c r="A33" s="540"/>
      <c r="B33" s="44" t="s">
        <v>74</v>
      </c>
      <c r="C33" s="2" t="str">
        <f>_xlfn.XLOOKUP(Table82[[#This Row],[Athelete]],Table1520283250607210171105[Athlete],Table1520283250607210171105[Rank],"-")</f>
        <v>9th</v>
      </c>
      <c r="D33" s="74">
        <f>_xlfn.XLOOKUP(C33,Table39[Rank],Table39[Points],0)</f>
        <v>350</v>
      </c>
      <c r="E33" s="2" t="str">
        <f>_xlfn.XLOOKUP(Table82[[#This Row],[Athelete]],Table15202832506072101714577175[Athlete],Table15202832506072101714577175[Rank],"-")</f>
        <v>-</v>
      </c>
      <c r="F33" s="74">
        <f>_xlfn.XLOOKUP(E33,Table39[Rank],Table39[Points],0)</f>
        <v>0</v>
      </c>
      <c r="H33" s="74">
        <f>_xlfn.XLOOKUP(G33,Table39[Rank],Table39[Points],0)</f>
        <v>0</v>
      </c>
      <c r="I33" s="2" t="str">
        <f>IF(RANK(Table82[[#This Row],[Total]],Table82[Total])=1,$M$5,IF(RANK(Table82[[#This Row],[Total]],Table82[Total])=2,$M$6,IF(RANK(Table82[[#This Row],[Total]],Table82[Total])=3,$M$7,RANK(Table82[[#This Row],[Total]],Table82[Total])&amp;"th")))</f>
        <v>11th</v>
      </c>
      <c r="J33" s="74">
        <f t="shared" si="1"/>
        <v>350</v>
      </c>
    </row>
    <row r="34" spans="1:10" ht="15" customHeight="1">
      <c r="A34" s="540"/>
      <c r="B34" s="44" t="s">
        <v>75</v>
      </c>
      <c r="C34" s="2" t="str">
        <f>_xlfn.XLOOKUP(Table82[[#This Row],[Athelete]],Table1520283250607210171105[Athlete],Table1520283250607210171105[Rank],"-")</f>
        <v>11th</v>
      </c>
      <c r="D34" s="74">
        <f>_xlfn.XLOOKUP(C34,Table39[Rank],Table39[Points],0)</f>
        <v>250</v>
      </c>
      <c r="E34" s="2" t="str">
        <f>_xlfn.XLOOKUP(Table82[[#This Row],[Athelete]],Table15202832506072101714577175[Athlete],Table15202832506072101714577175[Rank],"-")</f>
        <v>-</v>
      </c>
      <c r="F34" s="74">
        <f>_xlfn.XLOOKUP(E34,Table39[Rank],Table39[Points],0)</f>
        <v>0</v>
      </c>
      <c r="H34" s="74">
        <f>_xlfn.XLOOKUP(G34,Table39[Rank],Table39[Points],0)</f>
        <v>0</v>
      </c>
      <c r="I34" s="2" t="str">
        <f>IF(RANK(Table82[[#This Row],[Total]],Table82[Total])=1,$M$5,IF(RANK(Table82[[#This Row],[Total]],Table82[Total])=2,$M$6,IF(RANK(Table82[[#This Row],[Total]],Table82[Total])=3,$M$7,RANK(Table82[[#This Row],[Total]],Table82[Total])&amp;"th")))</f>
        <v>12th</v>
      </c>
      <c r="J34" s="74">
        <f t="shared" si="1"/>
        <v>250</v>
      </c>
    </row>
    <row r="35" spans="1:10" ht="21.95" customHeight="1">
      <c r="A35" s="540"/>
      <c r="B35" s="44" t="s">
        <v>76</v>
      </c>
      <c r="C35" s="2" t="str">
        <f>_xlfn.XLOOKUP(Table82[[#This Row],[Athelete]],Table1520283250607210171105[Athlete],Table1520283250607210171105[Rank],"-")</f>
        <v>12th</v>
      </c>
      <c r="D35" s="74">
        <f>_xlfn.XLOOKUP(C35,Table39[Rank],Table39[Points],0)</f>
        <v>200</v>
      </c>
      <c r="E35" s="2" t="str">
        <f>_xlfn.XLOOKUP(Table82[[#This Row],[Athelete]],Table15202832506072101714577175[Athlete],Table15202832506072101714577175[Rank],"-")</f>
        <v>-</v>
      </c>
      <c r="F35" s="74">
        <f>_xlfn.XLOOKUP(E35,Table39[Rank],Table39[Points],0)</f>
        <v>0</v>
      </c>
      <c r="H35" s="74">
        <f>_xlfn.XLOOKUP(G35,Table39[Rank],Table39[Points],0)</f>
        <v>0</v>
      </c>
      <c r="I35" s="2" t="str">
        <f>IF(RANK(Table82[[#This Row],[Total]],Table82[Total])=1,$M$5,IF(RANK(Table82[[#This Row],[Total]],Table82[Total])=2,$M$6,IF(RANK(Table82[[#This Row],[Total]],Table82[Total])=3,$M$7,RANK(Table82[[#This Row],[Total]],Table82[Total])&amp;"th")))</f>
        <v>13th</v>
      </c>
      <c r="J35" s="74">
        <f t="shared" si="1"/>
        <v>200</v>
      </c>
    </row>
    <row r="37" spans="1:10">
      <c r="A37" s="71" t="s">
        <v>0</v>
      </c>
      <c r="B37" s="2" t="s">
        <v>1</v>
      </c>
      <c r="C37" s="2" t="s">
        <v>2</v>
      </c>
      <c r="D37" s="74" t="s">
        <v>3</v>
      </c>
      <c r="E37" s="2" t="s">
        <v>4</v>
      </c>
      <c r="F37" s="74" t="s">
        <v>5</v>
      </c>
      <c r="G37" s="2" t="s">
        <v>6</v>
      </c>
      <c r="H37" s="74" t="s">
        <v>7</v>
      </c>
      <c r="I37" s="2" t="s">
        <v>8</v>
      </c>
      <c r="J37" s="74" t="s">
        <v>9</v>
      </c>
    </row>
    <row r="38" spans="1:10" ht="15" customHeight="1">
      <c r="A38" s="538" t="s">
        <v>77</v>
      </c>
      <c r="B38" s="44" t="s">
        <v>78</v>
      </c>
      <c r="C38" s="2" t="str">
        <f>_xlfn.XLOOKUP(Table83[[#This Row],[Athelete]],Table1520283250607293215359[Athlete],Table1520283250607293215359[Rank],"-")</f>
        <v>1st</v>
      </c>
      <c r="D38" s="74">
        <f>_xlfn.XLOOKUP(C38,Table39[Rank],Table39[Points],0)</f>
        <v>1500</v>
      </c>
      <c r="E38" s="2" t="str">
        <f>_xlfn.XLOOKUP(Table83[[#This Row],[Athelete]],Table152028325060721017145166[Athlete],Table152028325060721017145166[Rank],"-")</f>
        <v>1st</v>
      </c>
      <c r="F38" s="74">
        <f>_xlfn.XLOOKUP(E38,Table39[Rank],Table39[Points],0)</f>
        <v>1500</v>
      </c>
      <c r="H38" s="74">
        <f>_xlfn.XLOOKUP(G38,Table39[Rank],Table39[Points],0)</f>
        <v>0</v>
      </c>
      <c r="I38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1st</v>
      </c>
      <c r="J38" s="74">
        <f t="shared" ref="J38:J58" si="2">SUM(D38,F38,H38)</f>
        <v>3000</v>
      </c>
    </row>
    <row r="39" spans="1:10" ht="15" customHeight="1">
      <c r="A39" s="538"/>
      <c r="B39" s="44" t="s">
        <v>79</v>
      </c>
      <c r="C39" s="2" t="str">
        <f>_xlfn.XLOOKUP(Table83[[#This Row],[Athelete]],Table1520283250607293215359[Athlete],Table1520283250607293215359[Rank],"-")</f>
        <v>4th</v>
      </c>
      <c r="D39" s="74">
        <f>_xlfn.XLOOKUP(C39,Table39[Rank],Table39[Points],0)</f>
        <v>1100</v>
      </c>
      <c r="E39" s="2" t="str">
        <f>_xlfn.XLOOKUP(Table83[[#This Row],[Athelete]],Table152028325060721017145166[Athlete],Table152028325060721017145166[Rank],"-")</f>
        <v>2nd</v>
      </c>
      <c r="F39" s="74">
        <f>_xlfn.XLOOKUP(E39,Table39[Rank],Table39[Points],0)</f>
        <v>1300</v>
      </c>
      <c r="H39" s="74">
        <f>_xlfn.XLOOKUP(G39,Table39[Rank],Table39[Points],0)</f>
        <v>0</v>
      </c>
      <c r="I39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2nd</v>
      </c>
      <c r="J39" s="74">
        <f t="shared" si="2"/>
        <v>2400</v>
      </c>
    </row>
    <row r="40" spans="1:10" ht="15" customHeight="1">
      <c r="A40" s="538"/>
      <c r="B40" s="44" t="s">
        <v>80</v>
      </c>
      <c r="C40" s="2" t="str">
        <f>_xlfn.XLOOKUP(Table83[[#This Row],[Athelete]],Table1520283250607293215359[Athlete],Table1520283250607293215359[Rank],"-")</f>
        <v>2nd</v>
      </c>
      <c r="D40" s="74">
        <f>_xlfn.XLOOKUP(C40,Table39[Rank],Table39[Points],0)</f>
        <v>1300</v>
      </c>
      <c r="E40" s="2" t="str">
        <f>_xlfn.XLOOKUP(Table83[[#This Row],[Athelete]],Table152028325060721017145166[Athlete],Table152028325060721017145166[Rank],"-")</f>
        <v>6th</v>
      </c>
      <c r="F40" s="74">
        <f>_xlfn.XLOOKUP(E40,Table39[Rank],Table39[Points],0)</f>
        <v>900</v>
      </c>
      <c r="H40" s="74">
        <f>_xlfn.XLOOKUP(G40,Table39[Rank],Table39[Points],0)</f>
        <v>0</v>
      </c>
      <c r="I40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3rd</v>
      </c>
      <c r="J40" s="74">
        <f t="shared" si="2"/>
        <v>2200</v>
      </c>
    </row>
    <row r="41" spans="1:10" ht="15" customHeight="1">
      <c r="A41" s="538"/>
      <c r="B41" s="44" t="s">
        <v>81</v>
      </c>
      <c r="C41" s="2" t="str">
        <f>_xlfn.XLOOKUP(Table83[[#This Row],[Athelete]],Table1520283250607293215359[Athlete],Table1520283250607293215359[Rank],"-")</f>
        <v>3rd</v>
      </c>
      <c r="D41" s="74">
        <f>_xlfn.XLOOKUP(C41,Table39[Rank],Table39[Points],0)</f>
        <v>1200</v>
      </c>
      <c r="E41" s="2" t="str">
        <f>_xlfn.XLOOKUP(Table83[[#This Row],[Athelete]],Table152028325060721017145166[Athlete],Table152028325060721017145166[Rank],"-")</f>
        <v>7th</v>
      </c>
      <c r="F41" s="74">
        <f>_xlfn.XLOOKUP(E41,Table39[Rank],Table39[Points],0)</f>
        <v>800</v>
      </c>
      <c r="H41" s="74">
        <f>_xlfn.XLOOKUP(G41,Table39[Rank],Table39[Points],0)</f>
        <v>0</v>
      </c>
      <c r="I41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4th</v>
      </c>
      <c r="J41" s="74">
        <f t="shared" si="2"/>
        <v>2000</v>
      </c>
    </row>
    <row r="42" spans="1:10" ht="15" customHeight="1">
      <c r="A42" s="538"/>
      <c r="B42" s="44" t="s">
        <v>82</v>
      </c>
      <c r="C42" s="2" t="str">
        <f>_xlfn.XLOOKUP(Table83[[#This Row],[Athelete]],Table1520283250607293215359[Athlete],Table1520283250607293215359[Rank],"-")</f>
        <v>9th</v>
      </c>
      <c r="D42" s="74">
        <f>_xlfn.XLOOKUP(C42,Table39[Rank],Table39[Points],0)</f>
        <v>350</v>
      </c>
      <c r="E42" s="2" t="str">
        <f>_xlfn.XLOOKUP(Table83[[#This Row],[Athelete]],Table152028325060721017145166[Athlete],Table152028325060721017145166[Rank],"-")</f>
        <v>5th</v>
      </c>
      <c r="F42" s="74">
        <f>_xlfn.XLOOKUP(E42,Table39[Rank],Table39[Points],0)</f>
        <v>1000</v>
      </c>
      <c r="H42" s="74">
        <f>_xlfn.XLOOKUP(G42,Table39[Rank],Table39[Points],0)</f>
        <v>0</v>
      </c>
      <c r="I42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5th</v>
      </c>
      <c r="J42" s="74">
        <f t="shared" si="2"/>
        <v>1350</v>
      </c>
    </row>
    <row r="43" spans="1:10" ht="15" customHeight="1">
      <c r="A43" s="538"/>
      <c r="B43" s="234" t="s">
        <v>83</v>
      </c>
      <c r="C43" s="2" t="str">
        <f>_xlfn.XLOOKUP(Table83[[#This Row],[Athelete]],Table1520283250607293215359[Athlete],Table1520283250607293215359[Rank],"-")</f>
        <v>12th</v>
      </c>
      <c r="D43" s="74">
        <f>_xlfn.XLOOKUP(C43,Table39[Rank],Table39[Points],0)</f>
        <v>200</v>
      </c>
      <c r="E43" s="2" t="str">
        <f>_xlfn.XLOOKUP(Table83[[#This Row],[Athelete]],Table152028325060721017145166[Athlete],Table152028325060721017145166[Rank],"-")</f>
        <v>4th</v>
      </c>
      <c r="F43" s="74">
        <f>_xlfn.XLOOKUP(E43,Table39[Rank],Table39[Points],0)</f>
        <v>1100</v>
      </c>
      <c r="H43" s="74">
        <f>_xlfn.XLOOKUP(G43,Table39[Rank],Table39[Points],0)</f>
        <v>0</v>
      </c>
      <c r="I43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6th</v>
      </c>
      <c r="J43" s="74">
        <f t="shared" si="2"/>
        <v>1300</v>
      </c>
    </row>
    <row r="44" spans="1:10" ht="15" customHeight="1">
      <c r="A44" s="538"/>
      <c r="B44" s="44" t="s">
        <v>84</v>
      </c>
      <c r="C44" s="2" t="str">
        <f>_xlfn.XLOOKUP(Table83[[#This Row],[Athelete]],Table1520283250607293215359[Athlete],Table1520283250607293215359[Rank],"-")</f>
        <v>-</v>
      </c>
      <c r="D44" s="74">
        <f>_xlfn.XLOOKUP(C44,Table39[Rank],Table39[Points],0)</f>
        <v>0</v>
      </c>
      <c r="E44" s="2" t="str">
        <f>_xlfn.XLOOKUP(Table83[[#This Row],[Athelete]],Table152028325060721017145166[Athlete],Table152028325060721017145166[Rank],"-")</f>
        <v>3rd</v>
      </c>
      <c r="F44" s="74">
        <f>_xlfn.XLOOKUP(E44,Table39[Rank],Table39[Points],0)</f>
        <v>1200</v>
      </c>
      <c r="H44" s="74">
        <f>_xlfn.XLOOKUP(G44,Table39[Rank],Table39[Points],0)</f>
        <v>0</v>
      </c>
      <c r="I44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7th</v>
      </c>
      <c r="J44" s="74">
        <f t="shared" si="2"/>
        <v>1200</v>
      </c>
    </row>
    <row r="45" spans="1:10" ht="15" customHeight="1">
      <c r="A45" s="538"/>
      <c r="B45" s="44" t="s">
        <v>85</v>
      </c>
      <c r="C45" s="2" t="str">
        <f>_xlfn.XLOOKUP(Table83[[#This Row],[Athelete]],Table1520283250607293215359[Athlete],Table1520283250607293215359[Rank],"-")</f>
        <v>8th</v>
      </c>
      <c r="D45" s="74">
        <f>_xlfn.XLOOKUP(C45,Table39[Rank],Table39[Points],0)</f>
        <v>700</v>
      </c>
      <c r="E45" s="2" t="str">
        <f>_xlfn.XLOOKUP(Table83[[#This Row],[Athelete]],Table152028325060721017145166[Athlete],Table152028325060721017145166[Rank],"-")</f>
        <v>9th</v>
      </c>
      <c r="F45" s="74">
        <f>_xlfn.XLOOKUP(E45,Table39[Rank],Table39[Points],0)</f>
        <v>350</v>
      </c>
      <c r="H45" s="74">
        <f>_xlfn.XLOOKUP(G45,Table39[Rank],Table39[Points],0)</f>
        <v>0</v>
      </c>
      <c r="I45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8th</v>
      </c>
      <c r="J45" s="74">
        <f t="shared" si="2"/>
        <v>1050</v>
      </c>
    </row>
    <row r="46" spans="1:10" ht="15" customHeight="1">
      <c r="A46" s="538"/>
      <c r="B46" s="44" t="s">
        <v>86</v>
      </c>
      <c r="C46" s="2" t="str">
        <f>_xlfn.XLOOKUP(Table83[[#This Row],[Athelete]],Table1520283250607293215359[Athlete],Table1520283250607293215359[Rank],"-")</f>
        <v>5th</v>
      </c>
      <c r="D46" s="74">
        <f>_xlfn.XLOOKUP(C46,Table39[Rank],Table39[Points],0)</f>
        <v>1000</v>
      </c>
      <c r="E46" s="2" t="str">
        <f>_xlfn.XLOOKUP(Table83[[#This Row],[Athelete]],Table152028325060721017145166[Athlete],Table152028325060721017145166[Rank],"-")</f>
        <v>-</v>
      </c>
      <c r="F46" s="74">
        <f>_xlfn.XLOOKUP(E46,Table39[Rank],Table39[Points],0)</f>
        <v>0</v>
      </c>
      <c r="H46" s="74">
        <f>_xlfn.XLOOKUP(G46,Table39[Rank],Table39[Points],0)</f>
        <v>0</v>
      </c>
      <c r="I46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9th</v>
      </c>
      <c r="J46" s="74">
        <f t="shared" si="2"/>
        <v>1000</v>
      </c>
    </row>
    <row r="47" spans="1:10" ht="15" customHeight="1">
      <c r="A47" s="538"/>
      <c r="B47" s="44" t="s">
        <v>87</v>
      </c>
      <c r="C47" s="2" t="str">
        <f>_xlfn.XLOOKUP(Table83[[#This Row],[Athelete]],Table1520283250607293215359[Athlete],Table1520283250607293215359[Rank],"-")</f>
        <v>6th</v>
      </c>
      <c r="D47" s="74">
        <f>_xlfn.XLOOKUP(C47,Table39[Rank],Table39[Points],0)</f>
        <v>900</v>
      </c>
      <c r="E47" s="2" t="str">
        <f>_xlfn.XLOOKUP(Table83[[#This Row],[Athelete]],Table152028325060721017145166[Athlete],Table152028325060721017145166[Rank],"-")</f>
        <v>-</v>
      </c>
      <c r="F47" s="74">
        <f>_xlfn.XLOOKUP(E47,Table39[Rank],Table39[Points],0)</f>
        <v>0</v>
      </c>
      <c r="H47" s="74">
        <f>_xlfn.XLOOKUP(G47,Table39[Rank],Table39[Points],0)</f>
        <v>0</v>
      </c>
      <c r="I47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10th</v>
      </c>
      <c r="J47" s="74">
        <f t="shared" si="2"/>
        <v>900</v>
      </c>
    </row>
    <row r="48" spans="1:10" ht="15" customHeight="1">
      <c r="A48" s="538"/>
      <c r="B48" s="44" t="s">
        <v>88</v>
      </c>
      <c r="C48" s="2" t="str">
        <f>_xlfn.XLOOKUP(Table83[[#This Row],[Athelete]],Table1520283250607293215359[Athlete],Table1520283250607293215359[Rank],"-")</f>
        <v>14th</v>
      </c>
      <c r="D48" s="74">
        <f>_xlfn.XLOOKUP(C48,Table39[Rank],Table39[Points],0)</f>
        <v>100</v>
      </c>
      <c r="E48" s="2" t="str">
        <f>_xlfn.XLOOKUP(Table83[[#This Row],[Athelete]],Table152028325060721017145166[Athlete],Table152028325060721017145166[Rank],"-")</f>
        <v>8th</v>
      </c>
      <c r="F48" s="74">
        <f>_xlfn.XLOOKUP(E48,Table39[Rank],Table39[Points],0)</f>
        <v>700</v>
      </c>
      <c r="H48" s="74">
        <f>_xlfn.XLOOKUP(G48,Table39[Rank],Table39[Points],0)</f>
        <v>0</v>
      </c>
      <c r="I48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11th</v>
      </c>
      <c r="J48" s="74">
        <f t="shared" si="2"/>
        <v>800</v>
      </c>
    </row>
    <row r="49" spans="1:10" ht="15" customHeight="1">
      <c r="A49" s="538"/>
      <c r="B49" s="44" t="s">
        <v>89</v>
      </c>
      <c r="C49" s="2" t="str">
        <f>_xlfn.XLOOKUP(Table83[[#This Row],[Athelete]],Table1520283250607293215359[Athlete],Table1520283250607293215359[Rank],"-")</f>
        <v>7th</v>
      </c>
      <c r="D49" s="74">
        <f>_xlfn.XLOOKUP(C49,Table39[Rank],Table39[Points],0)</f>
        <v>800</v>
      </c>
      <c r="E49" s="2" t="str">
        <f>_xlfn.XLOOKUP(Table83[[#This Row],[Athelete]],Table152028325060721017145166[Athlete],Table152028325060721017145166[Rank],"-")</f>
        <v>-</v>
      </c>
      <c r="F49" s="74">
        <f>_xlfn.XLOOKUP(E49,Table39[Rank],Table39[Points],0)</f>
        <v>0</v>
      </c>
      <c r="H49" s="74">
        <f>_xlfn.XLOOKUP(G49,Table39[Rank],Table39[Points],0)</f>
        <v>0</v>
      </c>
      <c r="I49" s="235" t="s">
        <v>51</v>
      </c>
      <c r="J49" s="74">
        <f t="shared" si="2"/>
        <v>800</v>
      </c>
    </row>
    <row r="50" spans="1:10" ht="15" customHeight="1">
      <c r="A50" s="538"/>
      <c r="B50" s="44" t="s">
        <v>90</v>
      </c>
      <c r="C50" s="2" t="str">
        <f>_xlfn.XLOOKUP(Table83[[#This Row],[Athelete]],Table1520283250607293215359[Athlete],Table1520283250607293215359[Rank],"-")</f>
        <v>10th</v>
      </c>
      <c r="D50" s="74">
        <f>_xlfn.XLOOKUP(C50,Table39[Rank],Table39[Points],0)</f>
        <v>300</v>
      </c>
      <c r="E50" s="2" t="str">
        <f>_xlfn.XLOOKUP(Table83[[#This Row],[Athelete]],Table152028325060721017145166[Athlete],Table152028325060721017145166[Rank],"-")</f>
        <v>12th</v>
      </c>
      <c r="F50" s="74">
        <f>_xlfn.XLOOKUP(E50,Table39[Rank],Table39[Points],0)</f>
        <v>200</v>
      </c>
      <c r="H50" s="74">
        <f>_xlfn.XLOOKUP(G50,Table39[Rank],Table39[Points],0)</f>
        <v>0</v>
      </c>
      <c r="I50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13th</v>
      </c>
      <c r="J50" s="74">
        <f t="shared" si="2"/>
        <v>500</v>
      </c>
    </row>
    <row r="51" spans="1:10" ht="15" customHeight="1">
      <c r="A51" s="538"/>
      <c r="B51" s="44" t="s">
        <v>91</v>
      </c>
      <c r="C51" s="2" t="str">
        <f>_xlfn.XLOOKUP(Table83[[#This Row],[Athelete]],Table1520283250607293215359[Athlete],Table1520283250607293215359[Rank],"-")</f>
        <v>18th</v>
      </c>
      <c r="D51" s="74">
        <f>_xlfn.XLOOKUP(C51,Table39[Rank],Table39[Points],0)</f>
        <v>0</v>
      </c>
      <c r="E51" s="2" t="str">
        <f>_xlfn.XLOOKUP(Table83[[#This Row],[Athelete]],Table152028325060721017145166[Athlete],Table152028325060721017145166[Rank],"-")</f>
        <v>10th</v>
      </c>
      <c r="F51" s="74">
        <f>_xlfn.XLOOKUP(E51,Table39[Rank],Table39[Points],0)</f>
        <v>300</v>
      </c>
      <c r="H51" s="74">
        <f>_xlfn.XLOOKUP(G51,Table39[Rank],Table39[Points],0)</f>
        <v>0</v>
      </c>
      <c r="I51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14th</v>
      </c>
      <c r="J51" s="74">
        <f t="shared" si="2"/>
        <v>300</v>
      </c>
    </row>
    <row r="52" spans="1:10" ht="15" customHeight="1">
      <c r="A52" s="538"/>
      <c r="B52" s="44" t="s">
        <v>92</v>
      </c>
      <c r="C52" s="2" t="str">
        <f>_xlfn.XLOOKUP(Table83[[#This Row],[Athelete]],Table1520283250607293215359[Athlete],Table1520283250607293215359[Rank],"-")</f>
        <v>19th</v>
      </c>
      <c r="D52" s="74">
        <f>_xlfn.XLOOKUP(C52,Table39[Rank],Table39[Points],0)</f>
        <v>0</v>
      </c>
      <c r="E52" s="2" t="str">
        <f>_xlfn.XLOOKUP(Table83[[#This Row],[Athelete]],Table152028325060721017145166[Athlete],Table152028325060721017145166[Rank],"-")</f>
        <v>11th</v>
      </c>
      <c r="F52" s="74">
        <f>_xlfn.XLOOKUP(E52,Table39[Rank],Table39[Points],0)</f>
        <v>250</v>
      </c>
      <c r="H52" s="74">
        <f>_xlfn.XLOOKUP(G52,Table39[Rank],Table39[Points],0)</f>
        <v>0</v>
      </c>
      <c r="I52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15th</v>
      </c>
      <c r="J52" s="74">
        <f t="shared" si="2"/>
        <v>250</v>
      </c>
    </row>
    <row r="53" spans="1:10" ht="15" customHeight="1">
      <c r="A53" s="538"/>
      <c r="B53" s="44" t="s">
        <v>93</v>
      </c>
      <c r="C53" s="2" t="str">
        <f>_xlfn.XLOOKUP(Table83[[#This Row],[Athelete]],Table1520283250607293215359[Athlete],Table1520283250607293215359[Rank],"-")</f>
        <v>11th</v>
      </c>
      <c r="D53" s="74">
        <f>_xlfn.XLOOKUP(C53,Table39[Rank],Table39[Points],0)</f>
        <v>250</v>
      </c>
      <c r="E53" s="2" t="str">
        <f>_xlfn.XLOOKUP(Table83[[#This Row],[Athelete]],Table152028325060721017145166[Athlete],Table152028325060721017145166[Rank],"-")</f>
        <v>-</v>
      </c>
      <c r="F53" s="74">
        <f>_xlfn.XLOOKUP(E53,Table39[Rank],Table39[Points],0)</f>
        <v>0</v>
      </c>
      <c r="H53" s="74">
        <f>_xlfn.XLOOKUP(G53,Table39[Rank],Table39[Points],0)</f>
        <v>0</v>
      </c>
      <c r="I53" s="2" t="s">
        <v>55</v>
      </c>
      <c r="J53" s="74">
        <f t="shared" si="2"/>
        <v>250</v>
      </c>
    </row>
    <row r="54" spans="1:10" ht="15" customHeight="1">
      <c r="A54" s="538"/>
      <c r="B54" s="44" t="s">
        <v>94</v>
      </c>
      <c r="C54" s="2" t="str">
        <f>_xlfn.XLOOKUP(Table83[[#This Row],[Athelete]],Table1520283250607293215359[Athlete],Table1520283250607293215359[Rank],"-")</f>
        <v>13th</v>
      </c>
      <c r="D54" s="74">
        <f>_xlfn.XLOOKUP(C54,Table39[Rank],Table39[Points],0)</f>
        <v>150</v>
      </c>
      <c r="E54" s="2" t="str">
        <f>_xlfn.XLOOKUP(Table83[[#This Row],[Athelete]],Table152028325060721017145166[Athlete],Table152028325060721017145166[Rank],"-")</f>
        <v>-</v>
      </c>
      <c r="F54" s="74">
        <f>_xlfn.XLOOKUP(E54,Table39[Rank],Table39[Points],0)</f>
        <v>0</v>
      </c>
      <c r="H54" s="74">
        <f>_xlfn.XLOOKUP(G54,Table39[Rank],Table39[Points],0)</f>
        <v>0</v>
      </c>
      <c r="I54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17th</v>
      </c>
      <c r="J54" s="74">
        <f t="shared" si="2"/>
        <v>150</v>
      </c>
    </row>
    <row r="55" spans="1:10" ht="21.95" customHeight="1">
      <c r="A55" s="538"/>
      <c r="B55" s="44" t="s">
        <v>95</v>
      </c>
      <c r="C55" s="2" t="str">
        <f>_xlfn.XLOOKUP(Table83[[#This Row],[Athelete]],Table1520283250607293215359[Athlete],Table1520283250607293215359[Rank],"-")</f>
        <v>15th</v>
      </c>
      <c r="D55" s="74">
        <f>_xlfn.XLOOKUP(C55,Table39[Rank],Table39[Points],0)</f>
        <v>50</v>
      </c>
      <c r="E55" s="2" t="str">
        <f>_xlfn.XLOOKUP(Table83[[#This Row],[Athelete]],Table152028325060721017145166[Athlete],Table152028325060721017145166[Rank],"-")</f>
        <v>-</v>
      </c>
      <c r="F55" s="74">
        <f>_xlfn.XLOOKUP(E55,Table39[Rank],Table39[Points],0)</f>
        <v>0</v>
      </c>
      <c r="H55" s="74">
        <f>_xlfn.XLOOKUP(G55,Table39[Rank],Table39[Points],0)</f>
        <v>0</v>
      </c>
      <c r="I55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18th</v>
      </c>
      <c r="J55" s="74">
        <f t="shared" si="2"/>
        <v>50</v>
      </c>
    </row>
    <row r="56" spans="1:10" ht="21.95" customHeight="1">
      <c r="A56" s="538"/>
      <c r="B56" s="44" t="s">
        <v>96</v>
      </c>
      <c r="C56" s="2" t="str">
        <f>_xlfn.XLOOKUP(Table83[[#This Row],[Athelete]],Table1520283250607293215359[Athlete],Table1520283250607293215359[Rank],"-")</f>
        <v>16th</v>
      </c>
      <c r="D56" s="74">
        <f>_xlfn.XLOOKUP(C56,Table39[Rank],Table39[Points],0)</f>
        <v>10</v>
      </c>
      <c r="E56" s="2" t="str">
        <f>_xlfn.XLOOKUP(Table83[[#This Row],[Athelete]],Table152028325060721017145166[Athlete],Table152028325060721017145166[Rank],"-")</f>
        <v>-</v>
      </c>
      <c r="F56" s="74">
        <f>_xlfn.XLOOKUP(E56,Table39[Rank],Table39[Points],0)</f>
        <v>0</v>
      </c>
      <c r="H56" s="74">
        <f>_xlfn.XLOOKUP(G56,Table39[Rank],Table39[Points],0)</f>
        <v>0</v>
      </c>
      <c r="I56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19th</v>
      </c>
      <c r="J56" s="74">
        <f t="shared" si="2"/>
        <v>10</v>
      </c>
    </row>
    <row r="57" spans="1:10" ht="21.95" customHeight="1">
      <c r="A57" s="538"/>
      <c r="B57" s="44" t="s">
        <v>97</v>
      </c>
      <c r="C57" s="2" t="str">
        <f>_xlfn.XLOOKUP(Table83[[#This Row],[Athelete]],Table1520283250607293215359[Athlete],Table1520283250607293215359[Rank],"-")</f>
        <v>17th</v>
      </c>
      <c r="D57" s="74">
        <f>_xlfn.XLOOKUP(C57,Table39[Rank],Table39[Points],0)</f>
        <v>0</v>
      </c>
      <c r="E57" s="2" t="str">
        <f>_xlfn.XLOOKUP(Table83[[#This Row],[Athelete]],Table152028325060721017145166[Athlete],Table152028325060721017145166[Rank],"-")</f>
        <v>-</v>
      </c>
      <c r="F57" s="74">
        <f>_xlfn.XLOOKUP(E57,Table39[Rank],Table39[Points],0)</f>
        <v>0</v>
      </c>
      <c r="H57" s="74">
        <f>_xlfn.XLOOKUP(G57,Table39[Rank],Table39[Points],0)</f>
        <v>0</v>
      </c>
      <c r="I57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20th</v>
      </c>
      <c r="J57" s="74">
        <f t="shared" si="2"/>
        <v>0</v>
      </c>
    </row>
    <row r="58" spans="1:10" ht="21.95" customHeight="1">
      <c r="A58" s="538"/>
      <c r="B58" s="44" t="s">
        <v>98</v>
      </c>
      <c r="C58" s="2" t="str">
        <f>_xlfn.XLOOKUP(Table83[[#This Row],[Athelete]],Table1520283250607293215359[Athlete],Table1520283250607293215359[Rank],"-")</f>
        <v>20th</v>
      </c>
      <c r="D58" s="74">
        <f>_xlfn.XLOOKUP(C58,Table39[Rank],Table39[Points],0)</f>
        <v>0</v>
      </c>
      <c r="E58" s="2" t="str">
        <f>_xlfn.XLOOKUP(Table83[[#This Row],[Athelete]],Table152028325060721017145166[Athlete],Table152028325060721017145166[Rank],"-")</f>
        <v>-</v>
      </c>
      <c r="F58" s="74">
        <f>_xlfn.XLOOKUP(E58,Table39[Rank],Table39[Points],0)</f>
        <v>0</v>
      </c>
      <c r="H58" s="74">
        <f>_xlfn.XLOOKUP(G58,Table39[Rank],Table39[Points],0)</f>
        <v>0</v>
      </c>
      <c r="I58" s="2" t="str">
        <f>IF(RANK(Table83[[#This Row],[Total]],Table83[Total])=1,$M$5,IF(RANK(Table83[[#This Row],[Total]],Table83[Total])=2,$M$6,IF(RANK(Table83[[#This Row],[Total]],Table83[Total])=3,$M$7,RANK(Table83[[#This Row],[Total]],Table83[Total])&amp;"th")))</f>
        <v>20th</v>
      </c>
      <c r="J58" s="74">
        <f t="shared" si="2"/>
        <v>0</v>
      </c>
    </row>
    <row r="59" spans="1:10" ht="21.95" customHeight="1"/>
    <row r="60" spans="1:10" ht="21.95" customHeight="1">
      <c r="A60" s="75" t="s">
        <v>0</v>
      </c>
      <c r="B60" s="2" t="s">
        <v>1</v>
      </c>
      <c r="C60" s="2" t="s">
        <v>2</v>
      </c>
      <c r="D60" s="74" t="s">
        <v>3</v>
      </c>
      <c r="E60" s="2" t="s">
        <v>4</v>
      </c>
      <c r="F60" s="74" t="s">
        <v>5</v>
      </c>
      <c r="G60" s="2" t="s">
        <v>6</v>
      </c>
      <c r="H60" s="74" t="s">
        <v>7</v>
      </c>
      <c r="I60" s="2" t="s">
        <v>8</v>
      </c>
      <c r="J60" s="74" t="s">
        <v>9</v>
      </c>
    </row>
    <row r="61" spans="1:10" ht="21.95" customHeight="1">
      <c r="A61" s="541" t="s">
        <v>99</v>
      </c>
      <c r="B61" s="44" t="s">
        <v>100</v>
      </c>
      <c r="C61" s="2" t="str">
        <f>_xlfn.XLOOKUP(Table84[[#This Row],[Athelete]],Table15722354478913351028[Athlete],Table15722354478913351028[Rank],"-")</f>
        <v>1st</v>
      </c>
      <c r="D61" s="74">
        <f>_xlfn.XLOOKUP(C61,Table39[Rank],Table39[Points],0)</f>
        <v>1500</v>
      </c>
      <c r="E61" s="2" t="str">
        <f>_xlfn.XLOOKUP(Table84[[#This Row],[Athelete]],Table15202832506072101714577125[Athlete],Table15202832506072101714577125[Rank],"-")</f>
        <v>1st</v>
      </c>
      <c r="F61" s="74">
        <f>_xlfn.XLOOKUP(E61,Table39[Rank],Table39[Points],0)</f>
        <v>1500</v>
      </c>
      <c r="G61" s="2" t="str">
        <f>_xlfn.XLOOKUP(Table84[[#This Row],[Athelete]],Table1572235446678468165150176[Athlete],Table1572235446678468165150176[Rank],"-")</f>
        <v>5th</v>
      </c>
      <c r="H61" s="74">
        <f>_xlfn.XLOOKUP(G61,Table39[Rank],Table39[Points],0)</f>
        <v>1000</v>
      </c>
      <c r="I61" s="2" t="str">
        <f>IF(RANK(Table84[[#This Row],[Total]],Table84[Total])=1,$M$5,IF(RANK(Table84[[#This Row],[Total]],Table84[Total])=2,$M$6,IF(RANK(Table84[[#This Row],[Total]],Table84[Total])=3,$M$7,RANK(Table84[[#This Row],[Total]],Table84[Total])&amp;"th")))</f>
        <v>1st</v>
      </c>
      <c r="J61" s="74">
        <f t="shared" ref="J61:J76" si="3">SUM(D61,F61,H61)</f>
        <v>4000</v>
      </c>
    </row>
    <row r="62" spans="1:10" ht="21.95" customHeight="1">
      <c r="A62" s="541"/>
      <c r="B62" s="44" t="s">
        <v>101</v>
      </c>
      <c r="C62" s="2" t="str">
        <f>_xlfn.XLOOKUP(Table84[[#This Row],[Athelete]],Table15722354478913351028[Athlete],Table15722354478913351028[Rank],"-")</f>
        <v>2nd</v>
      </c>
      <c r="D62" s="74">
        <f>_xlfn.XLOOKUP(C62,Table39[Rank],Table39[Points],0)</f>
        <v>1300</v>
      </c>
      <c r="E62" s="2" t="str">
        <f>_xlfn.XLOOKUP(Table84[[#This Row],[Athelete]],Table15202832506072101714577125[Athlete],Table15202832506072101714577125[Rank],"-")</f>
        <v>2nd</v>
      </c>
      <c r="F62" s="74">
        <f>_xlfn.XLOOKUP(E62,Table39[Rank],Table39[Points],0)</f>
        <v>1300</v>
      </c>
      <c r="G62" s="2" t="str">
        <f>_xlfn.XLOOKUP(Table84[[#This Row],[Athelete]],Table1572235446678468165150176[Athlete],Table1572235446678468165150176[Rank],"-")</f>
        <v>2nd</v>
      </c>
      <c r="H62" s="74">
        <f>_xlfn.XLOOKUP(G62,Table39[Rank],Table39[Points],0)</f>
        <v>1300</v>
      </c>
      <c r="I62" s="2" t="str">
        <f>IF(RANK(Table84[[#This Row],[Total]],Table84[Total])=1,$M$5,IF(RANK(Table84[[#This Row],[Total]],Table84[Total])=2,$M$6,IF(RANK(Table84[[#This Row],[Total]],Table84[Total])=3,$M$7,RANK(Table84[[#This Row],[Total]],Table84[Total])&amp;"th")))</f>
        <v>2nd</v>
      </c>
      <c r="J62" s="74">
        <f t="shared" si="3"/>
        <v>3900</v>
      </c>
    </row>
    <row r="63" spans="1:10" ht="21.95" customHeight="1">
      <c r="A63" s="541"/>
      <c r="B63" s="44" t="s">
        <v>102</v>
      </c>
      <c r="C63" s="2" t="str">
        <f>_xlfn.XLOOKUP(Table84[[#This Row],[Athelete]],Table15722354478913351028[Athlete],Table15722354478913351028[Rank],"-")</f>
        <v>-</v>
      </c>
      <c r="D63" s="74">
        <f>_xlfn.XLOOKUP(C63,Table39[Rank],Table39[Points],0)</f>
        <v>0</v>
      </c>
      <c r="E63" s="2" t="str">
        <f>_xlfn.XLOOKUP(Table84[[#This Row],[Athelete]],Table15202832506072101714577125[Athlete],Table15202832506072101714577125[Rank],"-")</f>
        <v>4th</v>
      </c>
      <c r="F63" s="74">
        <f>_xlfn.XLOOKUP(E63,Table39[Rank],Table39[Points],0)</f>
        <v>1100</v>
      </c>
      <c r="G63" s="2" t="str">
        <f>_xlfn.XLOOKUP(Table84[[#This Row],[Athelete]],Table1572235446678468165150176[Athlete],Table1572235446678468165150176[Rank],"-")</f>
        <v>1st</v>
      </c>
      <c r="H63" s="74">
        <f>_xlfn.XLOOKUP(G63,Table39[Rank],Table39[Points],0)</f>
        <v>1500</v>
      </c>
      <c r="I63" s="2" t="str">
        <f>IF(RANK(Table84[[#This Row],[Total]],Table84[Total])=1,$M$5,IF(RANK(Table84[[#This Row],[Total]],Table84[Total])=2,$M$6,IF(RANK(Table84[[#This Row],[Total]],Table84[Total])=3,$M$7,RANK(Table84[[#This Row],[Total]],Table84[Total])&amp;"th")))</f>
        <v>3rd</v>
      </c>
      <c r="J63" s="74">
        <f t="shared" si="3"/>
        <v>2600</v>
      </c>
    </row>
    <row r="64" spans="1:10" ht="21.95" customHeight="1">
      <c r="A64" s="541"/>
      <c r="B64" s="44" t="s">
        <v>103</v>
      </c>
      <c r="C64" s="2" t="str">
        <f>_xlfn.XLOOKUP(Table84[[#This Row],[Athelete]],Table15722354478913351028[Athlete],Table15722354478913351028[Rank],"-")</f>
        <v>-</v>
      </c>
      <c r="D64" s="74">
        <f>_xlfn.XLOOKUP(C64,Table39[Rank],Table39[Points],0)</f>
        <v>0</v>
      </c>
      <c r="E64" s="2" t="str">
        <f>_xlfn.XLOOKUP(Table84[[#This Row],[Athelete]],Table15202832506072101714577125[Athlete],Table15202832506072101714577125[Rank],"-")</f>
        <v>3rd</v>
      </c>
      <c r="F64" s="74">
        <f>_xlfn.XLOOKUP(E64,Table39[Rank],Table39[Points],0)</f>
        <v>1200</v>
      </c>
      <c r="G64" s="2" t="str">
        <f>_xlfn.XLOOKUP(Table84[[#This Row],[Athelete]],Table1572235446678468165150176[Athlete],Table1572235446678468165150176[Rank],"-")</f>
        <v>6th</v>
      </c>
      <c r="H64" s="74">
        <f>_xlfn.XLOOKUP(G64,Table39[Rank],Table39[Points],0)</f>
        <v>900</v>
      </c>
      <c r="I64" s="2" t="str">
        <f>IF(RANK(Table84[[#This Row],[Total]],Table84[Total])=1,$M$5,IF(RANK(Table84[[#This Row],[Total]],Table84[Total])=2,$M$6,IF(RANK(Table84[[#This Row],[Total]],Table84[Total])=3,$M$7,RANK(Table84[[#This Row],[Total]],Table84[Total])&amp;"th")))</f>
        <v>4th</v>
      </c>
      <c r="J64" s="74">
        <f t="shared" si="3"/>
        <v>2100</v>
      </c>
    </row>
    <row r="65" spans="1:10" ht="21.95" customHeight="1">
      <c r="A65" s="541"/>
      <c r="B65" s="44" t="s">
        <v>104</v>
      </c>
      <c r="C65" s="2" t="str">
        <f>_xlfn.XLOOKUP(Table84[[#This Row],[Athelete]],Table15722354478913351028[Athlete],Table15722354478913351028[Rank],"-")</f>
        <v>-</v>
      </c>
      <c r="D65" s="74">
        <f>_xlfn.XLOOKUP(C65,Table39[Rank],Table39[Points],0)</f>
        <v>0</v>
      </c>
      <c r="E65" s="2" t="str">
        <f>_xlfn.XLOOKUP(Table84[[#This Row],[Athelete]],Table15202832506072101714577125[Athlete],Table15202832506072101714577125[Rank],"-")</f>
        <v>5th</v>
      </c>
      <c r="F65" s="74">
        <f>_xlfn.XLOOKUP(E65,Table39[Rank],Table39[Points],0)</f>
        <v>1000</v>
      </c>
      <c r="G65" s="2" t="str">
        <f>_xlfn.XLOOKUP(Table84[[#This Row],[Athelete]],Table1572235446678468165150176[Athlete],Table1572235446678468165150176[Rank],"-")</f>
        <v>4th</v>
      </c>
      <c r="H65" s="74">
        <f>_xlfn.XLOOKUP(G65,Table39[Rank],Table39[Points],0)</f>
        <v>1100</v>
      </c>
      <c r="I65" s="235" t="s">
        <v>31</v>
      </c>
      <c r="J65" s="74">
        <f t="shared" si="3"/>
        <v>2100</v>
      </c>
    </row>
    <row r="66" spans="1:10" ht="21.95" customHeight="1">
      <c r="A66" s="541"/>
      <c r="B66" s="44" t="s">
        <v>105</v>
      </c>
      <c r="C66" s="2" t="str">
        <f>_xlfn.XLOOKUP(Table84[[#This Row],[Athelete]],Table15722354478913351028[Athlete],Table15722354478913351028[Rank],"-")</f>
        <v>7th</v>
      </c>
      <c r="D66" s="74">
        <f>_xlfn.XLOOKUP(C66,Table39[Rank],Table39[Points],0)</f>
        <v>800</v>
      </c>
      <c r="E66" s="2" t="str">
        <f>_xlfn.XLOOKUP(Table84[[#This Row],[Athelete]],Table15202832506072101714577125[Athlete],Table15202832506072101714577125[Rank],"-")</f>
        <v>-</v>
      </c>
      <c r="F66" s="74">
        <f>_xlfn.XLOOKUP(E66,Table39[Rank],Table39[Points],0)</f>
        <v>0</v>
      </c>
      <c r="G66" s="2" t="str">
        <f>_xlfn.XLOOKUP(Table84[[#This Row],[Athelete]],Table1572235446678468165150176[Athlete],Table1572235446678468165150176[Rank],"-")</f>
        <v>8th</v>
      </c>
      <c r="H66" s="74">
        <f>_xlfn.XLOOKUP(G66,Table39[Rank],Table39[Points],0)</f>
        <v>700</v>
      </c>
      <c r="I66" s="2" t="str">
        <f>IF(RANK(Table84[[#This Row],[Total]],Table84[Total])=1,$M$5,IF(RANK(Table84[[#This Row],[Total]],Table84[Total])=2,$M$6,IF(RANK(Table84[[#This Row],[Total]],Table84[Total])=3,$M$7,RANK(Table84[[#This Row],[Total]],Table84[Total])&amp;"th")))</f>
        <v>6th</v>
      </c>
      <c r="J66" s="74">
        <f t="shared" si="3"/>
        <v>1500</v>
      </c>
    </row>
    <row r="67" spans="1:10" ht="21.95" customHeight="1">
      <c r="A67" s="541"/>
      <c r="B67" s="44" t="s">
        <v>106</v>
      </c>
      <c r="C67" s="2" t="str">
        <f>_xlfn.XLOOKUP(Table84[[#This Row],[Athelete]],Table15722354478913351028[Athlete],Table15722354478913351028[Rank],"-")</f>
        <v>4th</v>
      </c>
      <c r="D67" s="74">
        <f>_xlfn.XLOOKUP(C67,Table39[Rank],Table39[Points],0)</f>
        <v>1100</v>
      </c>
      <c r="E67" s="2" t="str">
        <f>_xlfn.XLOOKUP(Table84[[#This Row],[Athelete]],Table15202832506072101714577125[Athlete],Table15202832506072101714577125[Rank],"-")</f>
        <v>-</v>
      </c>
      <c r="F67" s="74">
        <f>_xlfn.XLOOKUP(E67,Table39[Rank],Table39[Points],0)</f>
        <v>0</v>
      </c>
      <c r="G67" s="2" t="str">
        <f>_xlfn.XLOOKUP(Table84[[#This Row],[Athelete]],Table1572235446678468165150176[Athlete],Table1572235446678468165150176[Rank],"-")</f>
        <v>9th</v>
      </c>
      <c r="H67" s="74">
        <f>_xlfn.XLOOKUP(G67,Table39[Rank],Table39[Points],0)</f>
        <v>350</v>
      </c>
      <c r="I67" s="2" t="str">
        <f>IF(RANK(Table84[[#This Row],[Total]],Table84[Total])=1,$M$5,IF(RANK(Table84[[#This Row],[Total]],Table84[Total])=2,$M$6,IF(RANK(Table84[[#This Row],[Total]],Table84[Total])=3,$M$7,RANK(Table84[[#This Row],[Total]],Table84[Total])&amp;"th")))</f>
        <v>7th</v>
      </c>
      <c r="J67" s="74">
        <f t="shared" si="3"/>
        <v>1450</v>
      </c>
    </row>
    <row r="68" spans="1:10" ht="21.95" customHeight="1">
      <c r="A68" s="541"/>
      <c r="B68" s="44" t="s">
        <v>107</v>
      </c>
      <c r="C68" s="2" t="str">
        <f>_xlfn.XLOOKUP(Table84[[#This Row],[Athelete]],Table15722354478913351028[Athlete],Table15722354478913351028[Rank],"-")</f>
        <v>-</v>
      </c>
      <c r="D68" s="74">
        <f>_xlfn.XLOOKUP(C68,Table39[Rank],Table39[Points],0)</f>
        <v>0</v>
      </c>
      <c r="E68" s="2" t="str">
        <f>_xlfn.XLOOKUP(Table84[[#This Row],[Athelete]],Table15202832506072101714577125[Athlete],Table15202832506072101714577125[Rank],"-")</f>
        <v>6th</v>
      </c>
      <c r="F68" s="74">
        <f>_xlfn.XLOOKUP(E68,Table39[Rank],Table39[Points],0)</f>
        <v>900</v>
      </c>
      <c r="G68" s="2" t="str">
        <f>_xlfn.XLOOKUP(Table84[[#This Row],[Athelete]],Table1572235446678468165150176[Athlete],Table1572235446678468165150176[Rank],"-")</f>
        <v>10th</v>
      </c>
      <c r="H68" s="74">
        <f>_xlfn.XLOOKUP(G68,Table39[Rank],Table39[Points],0)</f>
        <v>300</v>
      </c>
      <c r="I68" s="2" t="str">
        <f>IF(RANK(Table84[[#This Row],[Total]],Table84[Total])=1,$M$5,IF(RANK(Table84[[#This Row],[Total]],Table84[Total])=2,$M$6,IF(RANK(Table84[[#This Row],[Total]],Table84[Total])=3,$M$7,RANK(Table84[[#This Row],[Total]],Table84[Total])&amp;"th")))</f>
        <v>8th</v>
      </c>
      <c r="J68" s="74">
        <f t="shared" si="3"/>
        <v>1200</v>
      </c>
    </row>
    <row r="69" spans="1:10" ht="15" customHeight="1">
      <c r="A69" s="541"/>
      <c r="B69" s="44" t="s">
        <v>108</v>
      </c>
      <c r="C69" s="2" t="str">
        <f>_xlfn.XLOOKUP(Table84[[#This Row],[Athelete]],Table15722354478913351028[Athlete],Table15722354478913351028[Rank],"-")</f>
        <v>-</v>
      </c>
      <c r="D69" s="74">
        <f>_xlfn.XLOOKUP(C69,Table39[Rank],Table39[Points],0)</f>
        <v>0</v>
      </c>
      <c r="E69" s="2" t="str">
        <f>_xlfn.XLOOKUP(Table84[[#This Row],[Athelete]],Table15202832506072101714577125[Athlete],Table15202832506072101714577125[Rank],"-")</f>
        <v>-</v>
      </c>
      <c r="F69" s="74">
        <f>_xlfn.XLOOKUP(E69,Table39[Rank],Table39[Points],0)</f>
        <v>0</v>
      </c>
      <c r="G69" s="2" t="str">
        <f>_xlfn.XLOOKUP(Table84[[#This Row],[Athelete]],Table1572235446678468165150176[Athlete],Table1572235446678468165150176[Rank],"-")</f>
        <v>3rd</v>
      </c>
      <c r="H69" s="74">
        <f>_xlfn.XLOOKUP(G69,Table39[Rank],Table39[Points],0)</f>
        <v>1200</v>
      </c>
      <c r="I69" s="235" t="s">
        <v>44</v>
      </c>
      <c r="J69" s="74">
        <f t="shared" si="3"/>
        <v>1200</v>
      </c>
    </row>
    <row r="70" spans="1:10" ht="15" customHeight="1">
      <c r="A70" s="541"/>
      <c r="B70" s="44" t="s">
        <v>109</v>
      </c>
      <c r="C70" s="2" t="str">
        <f>_xlfn.XLOOKUP(Table84[[#This Row],[Athelete]],Table15722354478913351028[Athlete],Table15722354478913351028[Rank],"-")</f>
        <v>3rd</v>
      </c>
      <c r="D70" s="74">
        <f>_xlfn.XLOOKUP(C70,Table39[Rank],Table39[Points],0)</f>
        <v>1200</v>
      </c>
      <c r="E70" s="2" t="str">
        <f>_xlfn.XLOOKUP(Table84[[#This Row],[Athelete]],Table15202832506072101714577125[Athlete],Table15202832506072101714577125[Rank],"-")</f>
        <v>-</v>
      </c>
      <c r="F70" s="74">
        <f>_xlfn.XLOOKUP(E70,Table39[Rank],Table39[Points],0)</f>
        <v>0</v>
      </c>
      <c r="G70" s="2" t="str">
        <f>_xlfn.XLOOKUP(Table84[[#This Row],[Athelete]],Table1572235446678468165150176[Athlete],Table1572235446678468165150176[Rank],"-")</f>
        <v>-</v>
      </c>
      <c r="H70" s="74">
        <f>_xlfn.XLOOKUP(G70,Table39[Rank],Table39[Points],0)</f>
        <v>0</v>
      </c>
      <c r="I70" s="235" t="s">
        <v>39</v>
      </c>
      <c r="J70" s="74">
        <f t="shared" si="3"/>
        <v>1200</v>
      </c>
    </row>
    <row r="71" spans="1:10" ht="15" customHeight="1">
      <c r="A71" s="541"/>
      <c r="B71" s="44" t="s">
        <v>110</v>
      </c>
      <c r="C71" s="2" t="str">
        <f>_xlfn.XLOOKUP(Table84[[#This Row],[Athelete]],Table15722354478913351028[Athlete],Table15722354478913351028[Rank],"-")</f>
        <v>5th</v>
      </c>
      <c r="D71" s="74">
        <f>_xlfn.XLOOKUP(C71,Table39[Rank],Table39[Points],0)</f>
        <v>1000</v>
      </c>
      <c r="E71" s="2" t="str">
        <f>_xlfn.XLOOKUP(Table84[[#This Row],[Athelete]],Table15202832506072101714577125[Athlete],Table15202832506072101714577125[Rank],"-")</f>
        <v>-</v>
      </c>
      <c r="F71" s="74">
        <f>_xlfn.XLOOKUP(E71,Table39[Rank],Table39[Points],0)</f>
        <v>0</v>
      </c>
      <c r="G71" s="2" t="str">
        <f>_xlfn.XLOOKUP(Table84[[#This Row],[Athelete]],Table1572235446678468165150176[Athlete],Table1572235446678468165150176[Rank],"-")</f>
        <v>-</v>
      </c>
      <c r="H71" s="74">
        <f>_xlfn.XLOOKUP(G71,Table39[Rank],Table39[Points],0)</f>
        <v>0</v>
      </c>
      <c r="I71" s="2" t="str">
        <f>IF(RANK(Table84[[#This Row],[Total]],Table84[Total])=1,$M$5,IF(RANK(Table84[[#This Row],[Total]],Table84[Total])=2,$M$6,IF(RANK(Table84[[#This Row],[Total]],Table84[Total])=3,$M$7,RANK(Table84[[#This Row],[Total]],Table84[Total])&amp;"th")))</f>
        <v>11th</v>
      </c>
      <c r="J71" s="74">
        <f t="shared" si="3"/>
        <v>1000</v>
      </c>
    </row>
    <row r="72" spans="1:10" ht="15" customHeight="1">
      <c r="A72" s="541"/>
      <c r="B72" s="44" t="s">
        <v>111</v>
      </c>
      <c r="C72" s="2" t="str">
        <f>_xlfn.XLOOKUP(Table84[[#This Row],[Athelete]],Table15722354478913351028[Athlete],Table15722354478913351028[Rank],"-")</f>
        <v>6th</v>
      </c>
      <c r="D72" s="74">
        <f>_xlfn.XLOOKUP(C72,Table39[Rank],Table39[Points],0)</f>
        <v>900</v>
      </c>
      <c r="E72" s="2" t="str">
        <f>_xlfn.XLOOKUP(Table84[[#This Row],[Athelete]],Table15202832506072101714577125[Athlete],Table15202832506072101714577125[Rank],"-")</f>
        <v>-</v>
      </c>
      <c r="F72" s="74">
        <f>_xlfn.XLOOKUP(E72,Table39[Rank],Table39[Points],0)</f>
        <v>0</v>
      </c>
      <c r="G72" s="2" t="str">
        <f>_xlfn.XLOOKUP(Table84[[#This Row],[Athelete]],Table1572235446678468165150176[Athlete],Table1572235446678468165150176[Rank],"-")</f>
        <v>-</v>
      </c>
      <c r="H72" s="74">
        <f>_xlfn.XLOOKUP(G72,Table39[Rank],Table39[Points],0)</f>
        <v>0</v>
      </c>
      <c r="I72" s="2" t="str">
        <f>IF(RANK(Table84[[#This Row],[Total]],Table84[Total])=1,$M$5,IF(RANK(Table84[[#This Row],[Total]],Table84[Total])=2,$M$6,IF(RANK(Table84[[#This Row],[Total]],Table84[Total])=3,$M$7,RANK(Table84[[#This Row],[Total]],Table84[Total])&amp;"th")))</f>
        <v>12th</v>
      </c>
      <c r="J72" s="74">
        <f t="shared" si="3"/>
        <v>900</v>
      </c>
    </row>
    <row r="73" spans="1:10" ht="15" customHeight="1">
      <c r="A73" s="541"/>
      <c r="B73" s="44" t="s">
        <v>112</v>
      </c>
      <c r="C73" s="2" t="str">
        <f>_xlfn.XLOOKUP(Table84[[#This Row],[Athelete]],Table15722354478913351028[Athlete],Table15722354478913351028[Rank],"-")</f>
        <v>-</v>
      </c>
      <c r="D73" s="74">
        <f>_xlfn.XLOOKUP(C73,Table39[Rank],Table39[Points],0)</f>
        <v>0</v>
      </c>
      <c r="E73" s="2" t="str">
        <f>_xlfn.XLOOKUP(Table84[[#This Row],[Athelete]],Table15202832506072101714577125[Athlete],Table15202832506072101714577125[Rank],"-")</f>
        <v>-</v>
      </c>
      <c r="F73" s="74">
        <f>_xlfn.XLOOKUP(E73,Table39[Rank],Table39[Points],0)</f>
        <v>0</v>
      </c>
      <c r="G73" s="2" t="str">
        <f>_xlfn.XLOOKUP(Table84[[#This Row],[Athelete]],Table1572235446678468165150176[Athlete],Table1572235446678468165150176[Rank],"-")</f>
        <v>7th</v>
      </c>
      <c r="H73" s="74">
        <f>_xlfn.XLOOKUP(G73,Table39[Rank],Table39[Points],0)</f>
        <v>800</v>
      </c>
      <c r="I73" s="2" t="str">
        <f>IF(RANK(Table84[[#This Row],[Total]],Table84[Total])=1,$M$5,IF(RANK(Table84[[#This Row],[Total]],Table84[Total])=2,$M$6,IF(RANK(Table84[[#This Row],[Total]],Table84[Total])=3,$M$7,RANK(Table84[[#This Row],[Total]],Table84[Total])&amp;"th")))</f>
        <v>13th</v>
      </c>
      <c r="J73" s="74">
        <f t="shared" si="3"/>
        <v>800</v>
      </c>
    </row>
    <row r="74" spans="1:10" ht="15" customHeight="1">
      <c r="A74" s="541"/>
      <c r="B74" s="44" t="s">
        <v>113</v>
      </c>
      <c r="C74" s="2" t="str">
        <f>_xlfn.XLOOKUP(Table84[[#This Row],[Athelete]],Table15722354478913351028[Athlete],Table15722354478913351028[Rank],"-")</f>
        <v>-</v>
      </c>
      <c r="D74" s="74">
        <f>_xlfn.XLOOKUP(C74,Table39[Rank],Table39[Points],0)</f>
        <v>0</v>
      </c>
      <c r="E74" s="2" t="str">
        <f>_xlfn.XLOOKUP(Table84[[#This Row],[Athelete]],Table15202832506072101714577125[Athlete],Table15202832506072101714577125[Rank],"-")</f>
        <v>7th</v>
      </c>
      <c r="F74" s="74">
        <f>_xlfn.XLOOKUP(E74,Table39[Rank],Table39[Points],0)</f>
        <v>800</v>
      </c>
      <c r="G74" s="2" t="str">
        <f>_xlfn.XLOOKUP(Table84[[#This Row],[Athelete]],Table1572235446678468165150176[Athlete],Table1572235446678468165150176[Rank],"-")</f>
        <v>-</v>
      </c>
      <c r="H74" s="74">
        <f>_xlfn.XLOOKUP(G74,Table39[Rank],Table39[Points],0)</f>
        <v>0</v>
      </c>
      <c r="I74" s="235" t="s">
        <v>57</v>
      </c>
      <c r="J74" s="74">
        <f t="shared" si="3"/>
        <v>800</v>
      </c>
    </row>
    <row r="75" spans="1:10" ht="21.95" customHeight="1">
      <c r="A75" s="541"/>
      <c r="B75" s="44" t="s">
        <v>114</v>
      </c>
      <c r="C75" s="2" t="str">
        <f>_xlfn.XLOOKUP(Table84[[#This Row],[Athelete]],Table15722354478913351028[Athlete],Table15722354478913351028[Rank],"-")</f>
        <v>-</v>
      </c>
      <c r="D75" s="74">
        <f>_xlfn.XLOOKUP(C75,Table39[Rank],Table39[Points],0)</f>
        <v>0</v>
      </c>
      <c r="E75" s="2" t="str">
        <f>_xlfn.XLOOKUP(Table84[[#This Row],[Athelete]],Table15202832506072101714577125[Athlete],Table15202832506072101714577125[Rank],"-")</f>
        <v>8th</v>
      </c>
      <c r="F75" s="74">
        <f>_xlfn.XLOOKUP(E75,Table39[Rank],Table39[Points],0)</f>
        <v>700</v>
      </c>
      <c r="G75" s="2" t="str">
        <f>_xlfn.XLOOKUP(Table84[[#This Row],[Athelete]],Table1572235446678468165150176[Athlete],Table1572235446678468165150176[Rank],"-")</f>
        <v>-</v>
      </c>
      <c r="H75" s="74">
        <f>_xlfn.XLOOKUP(G75,Table39[Rank],Table39[Points],0)</f>
        <v>0</v>
      </c>
      <c r="I75" s="2" t="str">
        <f>IF(RANK(Table84[[#This Row],[Total]],Table84[Total])=1,$M$5,IF(RANK(Table84[[#This Row],[Total]],Table84[Total])=2,$M$6,IF(RANK(Table84[[#This Row],[Total]],Table84[Total])=3,$M$7,RANK(Table84[[#This Row],[Total]],Table84[Total])&amp;"th")))</f>
        <v>15th</v>
      </c>
      <c r="J75" s="74">
        <f t="shared" si="3"/>
        <v>700</v>
      </c>
    </row>
    <row r="76" spans="1:10" ht="21.95" customHeight="1">
      <c r="A76" s="541"/>
      <c r="B76" s="44" t="s">
        <v>115</v>
      </c>
      <c r="C76" s="2" t="str">
        <f>_xlfn.XLOOKUP(Table84[[#This Row],[Athelete]],Table15722354478913351028[Athlete],Table15722354478913351028[Rank],"-")</f>
        <v>8th</v>
      </c>
      <c r="D76" s="74">
        <f>_xlfn.XLOOKUP(C76,Table39[Rank],Table39[Points],0)</f>
        <v>700</v>
      </c>
      <c r="E76" s="2" t="str">
        <f>_xlfn.XLOOKUP(Table84[[#This Row],[Athelete]],Table15202832506072101714577125[Athlete],Table15202832506072101714577125[Rank],"-")</f>
        <v>-</v>
      </c>
      <c r="F76" s="74">
        <f>_xlfn.XLOOKUP(E76,Table39[Rank],Table39[Points],0)</f>
        <v>0</v>
      </c>
      <c r="G76" s="2" t="str">
        <f>_xlfn.XLOOKUP(Table84[[#This Row],[Athelete]],Table1572235446678468165150176[Athlete],Table1572235446678468165150176[Rank],"-")</f>
        <v>-</v>
      </c>
      <c r="H76" s="74">
        <f>_xlfn.XLOOKUP(G76,Table39[Rank],Table39[Points],0)</f>
        <v>0</v>
      </c>
      <c r="I76" s="235" t="s">
        <v>55</v>
      </c>
      <c r="J76" s="74">
        <f t="shared" si="3"/>
        <v>700</v>
      </c>
    </row>
    <row r="78" spans="1:10">
      <c r="A78" s="71" t="s">
        <v>0</v>
      </c>
      <c r="B78" s="2" t="s">
        <v>1</v>
      </c>
      <c r="C78" s="2" t="s">
        <v>2</v>
      </c>
      <c r="D78" s="74" t="s">
        <v>3</v>
      </c>
      <c r="E78" s="2" t="s">
        <v>4</v>
      </c>
      <c r="F78" s="74" t="s">
        <v>5</v>
      </c>
      <c r="G78" s="2" t="s">
        <v>6</v>
      </c>
      <c r="H78" s="74" t="s">
        <v>7</v>
      </c>
      <c r="I78" s="2" t="s">
        <v>8</v>
      </c>
      <c r="J78" s="74" t="s">
        <v>9</v>
      </c>
    </row>
    <row r="79" spans="1:10" ht="15" customHeight="1">
      <c r="A79" s="538" t="s">
        <v>116</v>
      </c>
      <c r="B79" s="44" t="s">
        <v>117</v>
      </c>
      <c r="C79" s="2" t="str">
        <f>_xlfn.XLOOKUP(Table94[[#This Row],[Athelete]],Table1572235446678468137[Athlete],Table1572235446678468137[Rank],"-")</f>
        <v>6th</v>
      </c>
      <c r="D79" s="74">
        <f>_xlfn.XLOOKUP(C79,Table39[Rank],Table39[Points],0)</f>
        <v>900</v>
      </c>
      <c r="E79" s="2" t="str">
        <f>_xlfn.XLOOKUP(Table94[[#This Row],[Athelete]],Table15202832506072101714571[Athlete],Table15202832506072101714571[Rank],"-")</f>
        <v>1st</v>
      </c>
      <c r="F79" s="74">
        <f>_xlfn.XLOOKUP(E79,Table39[Rank],Table39[Points],0)</f>
        <v>1500</v>
      </c>
      <c r="G79" s="2" t="str">
        <f>_xlfn.XLOOKUP(Table94[[#This Row],[Athelete]],Table1572235446678468165150[Athlete],Table1572235446678468165150[Rank],"-")</f>
        <v>1st</v>
      </c>
      <c r="H79" s="74">
        <f>_xlfn.XLOOKUP(G79,Table39[Rank],Table39[Points],0)</f>
        <v>1500</v>
      </c>
      <c r="I79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1st</v>
      </c>
      <c r="J79" s="74">
        <f t="shared" ref="J79:J95" si="4">SUM(D79,F79,H79)</f>
        <v>3900</v>
      </c>
    </row>
    <row r="80" spans="1:10" ht="15" customHeight="1">
      <c r="A80" s="538"/>
      <c r="B80" s="44" t="s">
        <v>118</v>
      </c>
      <c r="C80" s="2" t="str">
        <f>_xlfn.XLOOKUP(Table94[[#This Row],[Athelete]],Table1572235446678468137[Athlete],Table1572235446678468137[Rank],"-")</f>
        <v>1st</v>
      </c>
      <c r="D80" s="74">
        <f>_xlfn.XLOOKUP(C80,Table39[Rank],Table39[Points],0)</f>
        <v>1500</v>
      </c>
      <c r="E80" s="2" t="str">
        <f>_xlfn.XLOOKUP(Table94[[#This Row],[Athelete]],Table15202832506072101714571[Athlete],Table15202832506072101714571[Rank],"-")</f>
        <v>8th</v>
      </c>
      <c r="F80" s="74">
        <f>_xlfn.XLOOKUP(E80,Table39[Rank],Table39[Points],0)</f>
        <v>700</v>
      </c>
      <c r="G80" s="2" t="str">
        <f>_xlfn.XLOOKUP(Table94[[#This Row],[Athelete]],Table1572235446678468165150[Athlete],Table1572235446678468165150[Rank],"-")</f>
        <v>6th</v>
      </c>
      <c r="H80" s="74">
        <f>_xlfn.XLOOKUP(G80,Table39[Rank],Table39[Points],0)</f>
        <v>900</v>
      </c>
      <c r="I80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2nd</v>
      </c>
      <c r="J80" s="74">
        <f t="shared" si="4"/>
        <v>3100</v>
      </c>
    </row>
    <row r="81" spans="1:10" ht="15" customHeight="1">
      <c r="A81" s="538"/>
      <c r="B81" s="44" t="s">
        <v>119</v>
      </c>
      <c r="C81" s="2" t="str">
        <f>_xlfn.XLOOKUP(Table94[[#This Row],[Athelete]],Table1572235446678468137[Athlete],Table1572235446678468137[Rank],"-")</f>
        <v>2nd</v>
      </c>
      <c r="D81" s="74">
        <f>_xlfn.XLOOKUP(C81,Table39[Rank],Table39[Points],0)</f>
        <v>1300</v>
      </c>
      <c r="E81" s="2" t="str">
        <f>_xlfn.XLOOKUP(Table94[[#This Row],[Athelete]],Table15202832506072101714571[Athlete],Table15202832506072101714571[Rank],"-")</f>
        <v>7th</v>
      </c>
      <c r="F81" s="74">
        <f>_xlfn.XLOOKUP(E81,Table39[Rank],Table39[Points],0)</f>
        <v>800</v>
      </c>
      <c r="G81" s="2" t="str">
        <f>_xlfn.XLOOKUP(Table94[[#This Row],[Athelete]],Table1572235446678468165150[Athlete],Table1572235446678468165150[Rank],"-")</f>
        <v>5th</v>
      </c>
      <c r="H81" s="74">
        <f>_xlfn.XLOOKUP(G81,Table39[Rank],Table39[Points],0)</f>
        <v>1000</v>
      </c>
      <c r="I81" s="235" t="s">
        <v>25</v>
      </c>
      <c r="J81" s="74">
        <f t="shared" si="4"/>
        <v>3100</v>
      </c>
    </row>
    <row r="82" spans="1:10" ht="15" customHeight="1">
      <c r="A82" s="538"/>
      <c r="B82" s="44" t="s">
        <v>120</v>
      </c>
      <c r="C82" s="2" t="str">
        <f>_xlfn.XLOOKUP(Table94[[#This Row],[Athelete]],Table1572235446678468137[Athlete],Table1572235446678468137[Rank],"-")</f>
        <v>8th</v>
      </c>
      <c r="D82" s="74">
        <f>_xlfn.XLOOKUP(C82,Table39[Rank],Table39[Points],0)</f>
        <v>700</v>
      </c>
      <c r="E82" s="2" t="str">
        <f>_xlfn.XLOOKUP(Table94[[#This Row],[Athelete]],Table15202832506072101714571[Athlete],Table15202832506072101714571[Rank],"-")</f>
        <v>3rd</v>
      </c>
      <c r="F82" s="74">
        <f>_xlfn.XLOOKUP(E82,Table39[Rank],Table39[Points],0)</f>
        <v>1200</v>
      </c>
      <c r="G82" s="2" t="str">
        <f>_xlfn.XLOOKUP(Table94[[#This Row],[Athelete]],Table1572235446678468165150[Athlete],Table1572235446678468165150[Rank],"-")</f>
        <v>8th</v>
      </c>
      <c r="H82" s="74">
        <f>_xlfn.XLOOKUP(G82,Table39[Rank],Table39[Points],0)</f>
        <v>700</v>
      </c>
      <c r="I82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4th</v>
      </c>
      <c r="J82" s="74">
        <f t="shared" si="4"/>
        <v>2600</v>
      </c>
    </row>
    <row r="83" spans="1:10" ht="15" customHeight="1">
      <c r="A83" s="538"/>
      <c r="B83" s="44" t="s">
        <v>121</v>
      </c>
      <c r="C83" s="2" t="str">
        <f>_xlfn.XLOOKUP(Table94[[#This Row],[Athelete]],Table1572235446678468137[Athlete],Table1572235446678468137[Rank],"-")</f>
        <v>3rd</v>
      </c>
      <c r="D83" s="74">
        <f>_xlfn.XLOOKUP(C83,Table39[Rank],Table39[Points],0)</f>
        <v>1200</v>
      </c>
      <c r="E83" s="2" t="str">
        <f>_xlfn.XLOOKUP(Table94[[#This Row],[Athelete]],Table15202832506072101714571[Athlete],Table15202832506072101714571[Rank],"-")</f>
        <v>-</v>
      </c>
      <c r="F83" s="74">
        <f>_xlfn.XLOOKUP(E83,Table39[Rank],Table39[Points],0)</f>
        <v>0</v>
      </c>
      <c r="G83" s="2" t="str">
        <f>_xlfn.XLOOKUP(Table94[[#This Row],[Athelete]],Table1572235446678468165150[Athlete],Table1572235446678468165150[Rank],"-")</f>
        <v>3rd</v>
      </c>
      <c r="H83" s="74">
        <f>_xlfn.XLOOKUP(G83,Table39[Rank],Table39[Points],0)</f>
        <v>1200</v>
      </c>
      <c r="I83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5th</v>
      </c>
      <c r="J83" s="74">
        <f t="shared" si="4"/>
        <v>2400</v>
      </c>
    </row>
    <row r="84" spans="1:10" ht="15" customHeight="1">
      <c r="A84" s="538"/>
      <c r="B84" s="44" t="s">
        <v>122</v>
      </c>
      <c r="C84" s="2" t="str">
        <f>_xlfn.XLOOKUP(Table94[[#This Row],[Athelete]],Table1572235446678468137[Athlete],Table1572235446678468137[Rank],"-")</f>
        <v>5th</v>
      </c>
      <c r="D84" s="74">
        <f>_xlfn.XLOOKUP(C84,Table39[Rank],Table39[Points],0)</f>
        <v>1000</v>
      </c>
      <c r="E84" s="2" t="str">
        <f>_xlfn.XLOOKUP(Table94[[#This Row],[Athelete]],Table15202832506072101714571[Athlete],Table15202832506072101714571[Rank],"-")</f>
        <v>-</v>
      </c>
      <c r="F84" s="74">
        <f>_xlfn.XLOOKUP(E84,Table39[Rank],Table39[Points],0)</f>
        <v>0</v>
      </c>
      <c r="G84" s="2" t="str">
        <f>_xlfn.XLOOKUP(Table94[[#This Row],[Athelete]],Table1572235446678468165150[Athlete],Table1572235446678468165150[Rank],"-")</f>
        <v>2nd</v>
      </c>
      <c r="H84" s="74">
        <f>_xlfn.XLOOKUP(G84,Table39[Rank],Table39[Points],0)</f>
        <v>1300</v>
      </c>
      <c r="I84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6th</v>
      </c>
      <c r="J84" s="74">
        <f t="shared" si="4"/>
        <v>2300</v>
      </c>
    </row>
    <row r="85" spans="1:10" ht="15" customHeight="1">
      <c r="A85" s="538"/>
      <c r="B85" s="44" t="s">
        <v>123</v>
      </c>
      <c r="C85" s="2" t="str">
        <f>_xlfn.XLOOKUP(Table94[[#This Row],[Athelete]],Table1572235446678468137[Athlete],Table1572235446678468137[Rank],"-")</f>
        <v>4th</v>
      </c>
      <c r="D85" s="74">
        <f>_xlfn.XLOOKUP(C85,Table39[Rank],Table39[Points],0)</f>
        <v>1100</v>
      </c>
      <c r="E85" s="2" t="str">
        <f>_xlfn.XLOOKUP(Table94[[#This Row],[Athelete]],Table15202832506072101714571[Athlete],Table15202832506072101714571[Rank],"-")</f>
        <v>5th</v>
      </c>
      <c r="F85" s="74">
        <f>_xlfn.XLOOKUP(E85,Table39[Rank],Table39[Points],0)</f>
        <v>1000</v>
      </c>
      <c r="G85" s="2" t="str">
        <f>_xlfn.XLOOKUP(Table94[[#This Row],[Athelete]],Table1572235446678468165150[Athlete],Table1572235446678468165150[Rank],"-")</f>
        <v>-</v>
      </c>
      <c r="H85" s="74">
        <f>_xlfn.XLOOKUP(G85,Table39[Rank],Table39[Points],0)</f>
        <v>0</v>
      </c>
      <c r="I85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7th</v>
      </c>
      <c r="J85" s="74">
        <f t="shared" si="4"/>
        <v>2100</v>
      </c>
    </row>
    <row r="86" spans="1:10" ht="15" customHeight="1">
      <c r="A86" s="538"/>
      <c r="B86" s="44" t="s">
        <v>124</v>
      </c>
      <c r="C86" s="2" t="str">
        <f>_xlfn.XLOOKUP(Table94[[#This Row],[Athelete]],Table1572235446678468137[Athlete],Table1572235446678468137[Rank],"-")</f>
        <v>10th</v>
      </c>
      <c r="D86" s="74">
        <f>_xlfn.XLOOKUP(C86,Table39[Rank],Table39[Points],0)</f>
        <v>300</v>
      </c>
      <c r="E86" s="2" t="str">
        <f>_xlfn.XLOOKUP(Table94[[#This Row],[Athelete]],Table15202832506072101714571[Athlete],Table15202832506072101714571[Rank],"-")</f>
        <v>6th</v>
      </c>
      <c r="F86" s="74">
        <f>_xlfn.XLOOKUP(E86,Table39[Rank],Table39[Points],0)</f>
        <v>900</v>
      </c>
      <c r="G86" s="2" t="str">
        <f>_xlfn.XLOOKUP(Table94[[#This Row],[Athelete]],Table1572235446678468165150[Athlete],Table1572235446678468165150[Rank],"-")</f>
        <v>7th</v>
      </c>
      <c r="H86" s="74">
        <f>_xlfn.XLOOKUP(G86,Table39[Rank],Table39[Points],0)</f>
        <v>800</v>
      </c>
      <c r="I86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8th</v>
      </c>
      <c r="J86" s="74">
        <f t="shared" si="4"/>
        <v>2000</v>
      </c>
    </row>
    <row r="87" spans="1:10" ht="15" customHeight="1">
      <c r="A87" s="538"/>
      <c r="B87" s="44" t="s">
        <v>125</v>
      </c>
      <c r="C87" s="2" t="str">
        <f>_xlfn.XLOOKUP(Table94[[#This Row],[Athelete]],Table1572235446678468137[Athlete],Table1572235446678468137[Rank],"-")</f>
        <v>-</v>
      </c>
      <c r="D87" s="74">
        <f>_xlfn.XLOOKUP(C87,Table39[Rank],Table39[Points],0)</f>
        <v>0</v>
      </c>
      <c r="E87" s="2" t="str">
        <f>_xlfn.XLOOKUP(Table94[[#This Row],[Athelete]],Table15202832506072101714571[Athlete],Table15202832506072101714571[Rank],"-")</f>
        <v>2nd</v>
      </c>
      <c r="F87" s="74">
        <f>_xlfn.XLOOKUP(E87,Table39[Rank],Table39[Points],0)</f>
        <v>1300</v>
      </c>
      <c r="G87" s="2" t="str">
        <f>_xlfn.XLOOKUP(Table94[[#This Row],[Athelete]],Table1572235446678468165150[Athlete],Table1572235446678468165150[Rank],"-")</f>
        <v>-</v>
      </c>
      <c r="H87" s="74">
        <f>_xlfn.XLOOKUP(G87,Table39[Rank],Table39[Points],0)</f>
        <v>0</v>
      </c>
      <c r="I87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9th</v>
      </c>
      <c r="J87" s="74">
        <f t="shared" si="4"/>
        <v>1300</v>
      </c>
    </row>
    <row r="88" spans="1:10" ht="15" customHeight="1">
      <c r="A88" s="538"/>
      <c r="B88" s="44" t="s">
        <v>126</v>
      </c>
      <c r="C88" s="2" t="str">
        <f>_xlfn.XLOOKUP(Table94[[#This Row],[Athelete]],Table1572235446678468137[Athlete],Table1572235446678468137[Rank],"-")</f>
        <v>7th</v>
      </c>
      <c r="D88" s="74">
        <f>_xlfn.XLOOKUP(C88,Table39[Rank],Table39[Points],0)</f>
        <v>800</v>
      </c>
      <c r="E88" s="2" t="str">
        <f>_xlfn.XLOOKUP(Table94[[#This Row],[Athelete]],Table15202832506072101714571[Athlete],Table15202832506072101714571[Rank],"-")</f>
        <v>-</v>
      </c>
      <c r="F88" s="74">
        <f>_xlfn.XLOOKUP(E88,Table39[Rank],Table39[Points],0)</f>
        <v>0</v>
      </c>
      <c r="G88" s="2" t="str">
        <f>_xlfn.XLOOKUP(Table94[[#This Row],[Athelete]],Table1572235446678468165150[Athlete],Table1572235446678468165150[Rank],"-")</f>
        <v>10th</v>
      </c>
      <c r="H88" s="74">
        <f>_xlfn.XLOOKUP(G88,Table39[Rank],Table39[Points],0)</f>
        <v>300</v>
      </c>
      <c r="I88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10th</v>
      </c>
      <c r="J88" s="74">
        <f t="shared" si="4"/>
        <v>1100</v>
      </c>
    </row>
    <row r="89" spans="1:10" ht="21.95" customHeight="1">
      <c r="A89" s="538"/>
      <c r="B89" s="44" t="s">
        <v>127</v>
      </c>
      <c r="C89" s="2" t="str">
        <f>_xlfn.XLOOKUP(Table94[[#This Row],[Athelete]],Table1572235446678468137[Athlete],Table1572235446678468137[Rank],"-")</f>
        <v>-</v>
      </c>
      <c r="D89" s="74">
        <f>_xlfn.XLOOKUP(C89,Table39[Rank],Table39[Points],0)</f>
        <v>0</v>
      </c>
      <c r="E89" s="2" t="str">
        <f>_xlfn.XLOOKUP(Table94[[#This Row],[Athelete]],Table15202832506072101714571[Athlete],Table15202832506072101714571[Rank],"-")</f>
        <v>4th</v>
      </c>
      <c r="F89" s="74">
        <f>_xlfn.XLOOKUP(E89,Table39[Rank],Table39[Points],0)</f>
        <v>1100</v>
      </c>
      <c r="G89" s="2" t="str">
        <f>_xlfn.XLOOKUP(Table94[[#This Row],[Athelete]],Table1572235446678468165150[Athlete],Table1572235446678468165150[Rank],"-")</f>
        <v>-</v>
      </c>
      <c r="H89" s="74">
        <f>_xlfn.XLOOKUP(G89,Table39[Rank],Table39[Points],0)</f>
        <v>0</v>
      </c>
      <c r="I89" s="235" t="s">
        <v>49</v>
      </c>
      <c r="J89" s="74">
        <f t="shared" si="4"/>
        <v>1100</v>
      </c>
    </row>
    <row r="90" spans="1:10" ht="21.95" customHeight="1">
      <c r="A90" s="538"/>
      <c r="B90" s="44" t="s">
        <v>128</v>
      </c>
      <c r="C90" s="2" t="str">
        <f>_xlfn.XLOOKUP(Table94[[#This Row],[Athelete]],Table1572235446678468137[Athlete],Table1572235446678468137[Rank],"-")</f>
        <v>-</v>
      </c>
      <c r="D90" s="74">
        <f>_xlfn.XLOOKUP(C90,Table39[Rank],Table39[Points],0)</f>
        <v>0</v>
      </c>
      <c r="E90" s="2" t="str">
        <f>_xlfn.XLOOKUP(Table94[[#This Row],[Athelete]],Table15202832506072101714571[Athlete],Table15202832506072101714571[Rank],"-")</f>
        <v>-</v>
      </c>
      <c r="F90" s="74">
        <f>_xlfn.XLOOKUP(E90,Table39[Rank],Table39[Points],0)</f>
        <v>0</v>
      </c>
      <c r="G90" s="2" t="str">
        <f>_xlfn.XLOOKUP(Table94[[#This Row],[Athelete]],Table1572235446678468165150[Athlete],Table1572235446678468165150[Rank],"-")</f>
        <v>4th</v>
      </c>
      <c r="H90" s="74">
        <f>_xlfn.XLOOKUP(G90,Table39[Rank],Table39[Points],0)</f>
        <v>1100</v>
      </c>
      <c r="I90" s="235" t="s">
        <v>51</v>
      </c>
      <c r="J90" s="74">
        <f t="shared" si="4"/>
        <v>1100</v>
      </c>
    </row>
    <row r="91" spans="1:10" ht="21.95" customHeight="1">
      <c r="A91" s="538"/>
      <c r="B91" s="44" t="s">
        <v>129</v>
      </c>
      <c r="C91" s="2" t="str">
        <f>_xlfn.XLOOKUP(Table94[[#This Row],[Athelete]],Table1572235446678468137[Athlete],Table1572235446678468137[Rank],"-")</f>
        <v>-</v>
      </c>
      <c r="D91" s="74">
        <f>_xlfn.XLOOKUP(C91,Table39[Rank],Table39[Points],0)</f>
        <v>0</v>
      </c>
      <c r="E91" s="2" t="str">
        <f>_xlfn.XLOOKUP(Table94[[#This Row],[Athelete]],Table15202832506072101714571[Athlete],Table15202832506072101714571[Rank],"-")</f>
        <v>9th</v>
      </c>
      <c r="F91" s="74">
        <f>_xlfn.XLOOKUP(E91,Table39[Rank],Table39[Points],0)</f>
        <v>350</v>
      </c>
      <c r="G91" s="2" t="str">
        <f>_xlfn.XLOOKUP(Table94[[#This Row],[Athelete]],Table1572235446678468165150[Athlete],Table1572235446678468165150[Rank],"-")</f>
        <v>-</v>
      </c>
      <c r="H91" s="74">
        <f>_xlfn.XLOOKUP(G91,Table39[Rank],Table39[Points],0)</f>
        <v>0</v>
      </c>
      <c r="I91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13th</v>
      </c>
      <c r="J91" s="74">
        <f t="shared" si="4"/>
        <v>350</v>
      </c>
    </row>
    <row r="92" spans="1:10" ht="21.95" customHeight="1">
      <c r="A92" s="538"/>
      <c r="B92" s="44" t="s">
        <v>130</v>
      </c>
      <c r="C92" s="2" t="str">
        <f>_xlfn.XLOOKUP(Table94[[#This Row],[Athelete]],Table1572235446678468137[Athlete],Table1572235446678468137[Rank],"-")</f>
        <v>9th</v>
      </c>
      <c r="D92" s="74">
        <f>_xlfn.XLOOKUP(C92,Table39[Rank],Table39[Points],0)</f>
        <v>350</v>
      </c>
      <c r="E92" s="2" t="str">
        <f>_xlfn.XLOOKUP(Table94[[#This Row],[Athelete]],Table15202832506072101714571[Athlete],Table15202832506072101714571[Rank],"-")</f>
        <v>-</v>
      </c>
      <c r="F92" s="74">
        <f>_xlfn.XLOOKUP(E92,Table39[Rank],Table39[Points],0)</f>
        <v>0</v>
      </c>
      <c r="G92" s="2" t="str">
        <f>_xlfn.XLOOKUP(Table94[[#This Row],[Athelete]],Table1572235446678468165150[Athlete],Table1572235446678468165150[Rank],"-")</f>
        <v>-</v>
      </c>
      <c r="H92" s="74">
        <f>_xlfn.XLOOKUP(G92,Table39[Rank],Table39[Points],0)</f>
        <v>0</v>
      </c>
      <c r="I92" s="235" t="s">
        <v>57</v>
      </c>
      <c r="J92" s="74">
        <f t="shared" si="4"/>
        <v>350</v>
      </c>
    </row>
    <row r="93" spans="1:10" ht="21.95" customHeight="1">
      <c r="A93" s="538"/>
      <c r="B93" s="44" t="s">
        <v>131</v>
      </c>
      <c r="C93" s="2" t="str">
        <f>_xlfn.XLOOKUP(Table94[[#This Row],[Athelete]],Table1572235446678468137[Athlete],Table1572235446678468137[Rank],"-")</f>
        <v>-</v>
      </c>
      <c r="D93" s="74">
        <f>_xlfn.XLOOKUP(C93,Table39[Rank],Table39[Points],0)</f>
        <v>0</v>
      </c>
      <c r="E93" s="2" t="str">
        <f>_xlfn.XLOOKUP(Table94[[#This Row],[Athelete]],Table15202832506072101714571[Athlete],Table15202832506072101714571[Rank],"-")</f>
        <v>-</v>
      </c>
      <c r="F93" s="74">
        <f>_xlfn.XLOOKUP(E93,Table39[Rank],Table39[Points],0)</f>
        <v>0</v>
      </c>
      <c r="G93" s="2" t="str">
        <f>_xlfn.XLOOKUP(Table94[[#This Row],[Athelete]],Table1572235446678468165150[Athlete],Table1572235446678468165150[Rank],"-")</f>
        <v>9th</v>
      </c>
      <c r="H93" s="74">
        <f>_xlfn.XLOOKUP(G93,Table39[Rank],Table39[Points],0)</f>
        <v>350</v>
      </c>
      <c r="I93" s="235" t="s">
        <v>60</v>
      </c>
      <c r="J93" s="74">
        <f t="shared" si="4"/>
        <v>350</v>
      </c>
    </row>
    <row r="94" spans="1:10" ht="21.95" customHeight="1">
      <c r="A94" s="538"/>
      <c r="B94" s="44" t="s">
        <v>132</v>
      </c>
      <c r="C94" s="2" t="str">
        <f>_xlfn.XLOOKUP(Table94[[#This Row],[Athelete]],Table1572235446678468137[Athlete],Table1572235446678468137[Rank],"-")</f>
        <v>-</v>
      </c>
      <c r="D94" s="74">
        <f>_xlfn.XLOOKUP(C94,Table39[Rank],Table39[Points],0)</f>
        <v>0</v>
      </c>
      <c r="E94" s="2" t="str">
        <f>_xlfn.XLOOKUP(Table94[[#This Row],[Athelete]],Table15202832506072101714571[Athlete],Table15202832506072101714571[Rank],"-")</f>
        <v>11th</v>
      </c>
      <c r="F94" s="74">
        <f>_xlfn.XLOOKUP(E94,Table39[Rank],Table39[Points],0)</f>
        <v>250</v>
      </c>
      <c r="G94" s="2" t="str">
        <f>_xlfn.XLOOKUP(Table94[[#This Row],[Athelete]],Table1572235446678468165150[Athlete],Table1572235446678468165150[Rank],"-")</f>
        <v>-</v>
      </c>
      <c r="H94" s="74">
        <f>_xlfn.XLOOKUP(G94,Table39[Rank],Table39[Points],0)</f>
        <v>0</v>
      </c>
      <c r="I94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16th</v>
      </c>
      <c r="J94" s="74">
        <f t="shared" si="4"/>
        <v>250</v>
      </c>
    </row>
    <row r="95" spans="1:10" ht="21.95" customHeight="1">
      <c r="A95" s="538"/>
      <c r="B95" s="44" t="s">
        <v>133</v>
      </c>
      <c r="C95" s="2" t="str">
        <f>_xlfn.XLOOKUP(Table94[[#This Row],[Athelete]],Table1572235446678468137[Athlete],Table1572235446678468137[Rank],"-")</f>
        <v>-</v>
      </c>
      <c r="D95" s="74">
        <f>_xlfn.XLOOKUP(C95,Table39[Rank],Table39[Points],0)</f>
        <v>0</v>
      </c>
      <c r="E95" s="2" t="str">
        <f>_xlfn.XLOOKUP(Table94[[#This Row],[Athelete]],Table15202832506072101714571[Athlete],Table15202832506072101714571[Rank],"-")</f>
        <v>12th</v>
      </c>
      <c r="F95" s="74">
        <f>_xlfn.XLOOKUP(E95,Table39[Rank],Table39[Points],0)</f>
        <v>200</v>
      </c>
      <c r="G95" s="2" t="str">
        <f>_xlfn.XLOOKUP(Table94[[#This Row],[Athelete]],Table1572235446678468165150[Athlete],Table1572235446678468165150[Rank],"-")</f>
        <v>-</v>
      </c>
      <c r="H95" s="74">
        <f>_xlfn.XLOOKUP(G95,Table39[Rank],Table39[Points],0)</f>
        <v>0</v>
      </c>
      <c r="I95" s="2" t="str">
        <f>IF(RANK(Table94[[#This Row],[Total]],Table94[Total])=1,$M$5,IF(RANK(Table94[[#This Row],[Total]],Table94[Total])=2,$M$6,IF(RANK(Table94[[#This Row],[Total]],Table94[Total])=3,$M$7,RANK(Table94[[#This Row],[Total]],Table94[Total])&amp;"th")))</f>
        <v>17th</v>
      </c>
      <c r="J95" s="74">
        <f t="shared" si="4"/>
        <v>200</v>
      </c>
    </row>
    <row r="97" spans="1:10">
      <c r="A97" s="75" t="s">
        <v>0</v>
      </c>
      <c r="B97" s="2" t="s">
        <v>1</v>
      </c>
      <c r="C97" s="2" t="s">
        <v>2</v>
      </c>
      <c r="D97" s="74" t="s">
        <v>3</v>
      </c>
      <c r="E97" s="2" t="s">
        <v>4</v>
      </c>
      <c r="F97" s="74" t="s">
        <v>5</v>
      </c>
      <c r="G97" s="2" t="s">
        <v>6</v>
      </c>
      <c r="H97" s="74" t="s">
        <v>7</v>
      </c>
      <c r="I97" s="2" t="s">
        <v>8</v>
      </c>
      <c r="J97" s="74" t="s">
        <v>9</v>
      </c>
    </row>
    <row r="98" spans="1:10" ht="15" customHeight="1">
      <c r="A98" s="541" t="s">
        <v>134</v>
      </c>
      <c r="B98" s="44" t="s">
        <v>135</v>
      </c>
      <c r="C98" s="2" t="str">
        <f>_xlfn.XLOOKUP(Table95[[#This Row],[Athelete]],Table157223544789133532[Athlete],Table157223544789133532[Rank],"-")</f>
        <v>2nd</v>
      </c>
      <c r="D98" s="74">
        <f>_xlfn.XLOOKUP(C98,Table39[Rank],Table39[Points],0)</f>
        <v>1300</v>
      </c>
      <c r="E98" s="2" t="str">
        <f>_xlfn.XLOOKUP(Table95[[#This Row],[Athelete]],Table157223544789133510156[Athlete],Table157223544789133510156[Rank],"-")</f>
        <v>5th</v>
      </c>
      <c r="F98" s="74">
        <f>_xlfn.XLOOKUP(E98,Table39[Rank],Table39[Points],0)</f>
        <v>1000</v>
      </c>
      <c r="H98" s="74">
        <f>_xlfn.XLOOKUP(G98,Table39[Rank],Table39[Points],0)</f>
        <v>0</v>
      </c>
      <c r="I98" s="2" t="str">
        <f>IF(RANK(Table95[[#This Row],[Total]],Table95[Total])=1,$M$5,IF(RANK(Table95[[#This Row],[Total]],Table95[Total])=2,$M$6,IF(RANK(Table95[[#This Row],[Total]],Table95[Total])=3,$M$7,RANK(Table95[[#This Row],[Total]],Table95[Total])&amp;"th")))</f>
        <v>1st</v>
      </c>
      <c r="J98" s="74">
        <f t="shared" ref="J98:J107" si="5">SUM(D98,F98,H98)</f>
        <v>2300</v>
      </c>
    </row>
    <row r="99" spans="1:10" ht="15" customHeight="1">
      <c r="A99" s="541"/>
      <c r="B99" s="44" t="s">
        <v>136</v>
      </c>
      <c r="C99" s="2" t="str">
        <f>_xlfn.XLOOKUP(Table95[[#This Row],[Athelete]],Table157223544789133532[Athlete],Table157223544789133532[Rank],"-")</f>
        <v>3rd</v>
      </c>
      <c r="D99" s="74">
        <f>_xlfn.XLOOKUP(C99,Table39[Rank],Table39[Points],0)</f>
        <v>1200</v>
      </c>
      <c r="E99" s="2" t="str">
        <f>_xlfn.XLOOKUP(Table95[[#This Row],[Athelete]],Table157223544789133510156[Athlete],Table157223544789133510156[Rank],"-")</f>
        <v>4th</v>
      </c>
      <c r="F99" s="74">
        <f>_xlfn.XLOOKUP(E99,Table39[Rank],Table39[Points],0)</f>
        <v>1100</v>
      </c>
      <c r="H99" s="74">
        <f>_xlfn.XLOOKUP(G99,Table39[Rank],Table39[Points],0)</f>
        <v>0</v>
      </c>
      <c r="I99" s="235" t="s">
        <v>22</v>
      </c>
      <c r="J99" s="74">
        <f t="shared" si="5"/>
        <v>2300</v>
      </c>
    </row>
    <row r="100" spans="1:10" ht="15" customHeight="1">
      <c r="A100" s="541"/>
      <c r="B100" s="44" t="s">
        <v>137</v>
      </c>
      <c r="C100" s="2" t="str">
        <f>_xlfn.XLOOKUP(Table95[[#This Row],[Athelete]],Table157223544789133532[Athlete],Table157223544789133532[Rank],"-")</f>
        <v>-</v>
      </c>
      <c r="D100" s="74">
        <f>_xlfn.XLOOKUP(C100,Table39[Rank],Table39[Points],0)</f>
        <v>0</v>
      </c>
      <c r="E100" s="2" t="str">
        <f>_xlfn.XLOOKUP(Table95[[#This Row],[Athelete]],Table157223544789133510156[Athlete],Table157223544789133510156[Rank],"-")</f>
        <v>1st</v>
      </c>
      <c r="F100" s="74">
        <f>_xlfn.XLOOKUP(E100,Table39[Rank],Table39[Points],0)</f>
        <v>1500</v>
      </c>
      <c r="H100" s="74">
        <f>_xlfn.XLOOKUP(G100,Table39[Rank],Table39[Points],0)</f>
        <v>0</v>
      </c>
      <c r="I100" s="2" t="str">
        <f>IF(RANK(Table95[[#This Row],[Total]],Table95[Total])=1,$M$5,IF(RANK(Table95[[#This Row],[Total]],Table95[Total])=2,$M$6,IF(RANK(Table95[[#This Row],[Total]],Table95[Total])=3,$M$7,RANK(Table95[[#This Row],[Total]],Table95[Total])&amp;"th")))</f>
        <v>3rd</v>
      </c>
      <c r="J100" s="74">
        <f t="shared" si="5"/>
        <v>1500</v>
      </c>
    </row>
    <row r="101" spans="1:10" ht="15" customHeight="1">
      <c r="A101" s="541"/>
      <c r="B101" s="44" t="s">
        <v>138</v>
      </c>
      <c r="C101" s="2" t="str">
        <f>_xlfn.XLOOKUP(Table95[[#This Row],[Athelete]],Table157223544789133532[Athlete],Table157223544789133532[Rank],"-")</f>
        <v>1st</v>
      </c>
      <c r="D101" s="74">
        <f>_xlfn.XLOOKUP(C101,Table39[Rank],Table39[Points],0)</f>
        <v>1500</v>
      </c>
      <c r="E101" s="2" t="str">
        <f>_xlfn.XLOOKUP(Table95[[#This Row],[Athelete]],Table157223544789133510156[Athlete],Table157223544789133510156[Rank],"-")</f>
        <v>-</v>
      </c>
      <c r="F101" s="74">
        <f>_xlfn.XLOOKUP(E101,Table39[Rank],Table39[Points],0)</f>
        <v>0</v>
      </c>
      <c r="H101" s="74">
        <f>_xlfn.XLOOKUP(G101,Table39[Rank],Table39[Points],0)</f>
        <v>0</v>
      </c>
      <c r="I101" s="235" t="s">
        <v>28</v>
      </c>
      <c r="J101" s="74">
        <f t="shared" si="5"/>
        <v>1500</v>
      </c>
    </row>
    <row r="102" spans="1:10" ht="15" customHeight="1">
      <c r="A102" s="541"/>
      <c r="B102" s="44" t="s">
        <v>125</v>
      </c>
      <c r="C102" s="2" t="str">
        <f>_xlfn.XLOOKUP(Table95[[#This Row],[Athelete]],Table157223544789133532[Athlete],Table157223544789133532[Rank],"-")</f>
        <v>-</v>
      </c>
      <c r="D102" s="74">
        <f>_xlfn.XLOOKUP(C102,Table39[Rank],Table39[Points],0)</f>
        <v>0</v>
      </c>
      <c r="E102" s="2" t="str">
        <f>_xlfn.XLOOKUP(Table95[[#This Row],[Athelete]],Table157223544789133510156[Athlete],Table157223544789133510156[Rank],"-")</f>
        <v>2nd</v>
      </c>
      <c r="F102" s="74">
        <f>_xlfn.XLOOKUP(E102,Table39[Rank],Table39[Points],0)</f>
        <v>1300</v>
      </c>
      <c r="H102" s="74">
        <f>_xlfn.XLOOKUP(G102,Table39[Rank],Table39[Points],0)</f>
        <v>0</v>
      </c>
      <c r="I102" s="2" t="str">
        <f>IF(RANK(Table95[[#This Row],[Total]],Table95[Total])=1,$M$5,IF(RANK(Table95[[#This Row],[Total]],Table95[Total])=2,$M$6,IF(RANK(Table95[[#This Row],[Total]],Table95[Total])=3,$M$7,RANK(Table95[[#This Row],[Total]],Table95[Total])&amp;"th")))</f>
        <v>5th</v>
      </c>
      <c r="J102" s="74">
        <f t="shared" si="5"/>
        <v>1300</v>
      </c>
    </row>
    <row r="103" spans="1:10" ht="15" customHeight="1">
      <c r="A103" s="541"/>
      <c r="B103" s="44" t="s">
        <v>139</v>
      </c>
      <c r="C103" s="2" t="str">
        <f>_xlfn.XLOOKUP(Table95[[#This Row],[Athelete]],Table157223544789133532[Athlete],Table157223544789133532[Rank],"-")</f>
        <v>-</v>
      </c>
      <c r="D103" s="74">
        <f>_xlfn.XLOOKUP(C103,Table39[Rank],Table39[Points],0)</f>
        <v>0</v>
      </c>
      <c r="E103" s="2" t="str">
        <f>_xlfn.XLOOKUP(Table95[[#This Row],[Athelete]],Table157223544789133510156[Athlete],Table157223544789133510156[Rank],"-")</f>
        <v>3rd</v>
      </c>
      <c r="F103" s="74">
        <f>_xlfn.XLOOKUP(E103,Table39[Rank],Table39[Points],0)</f>
        <v>1200</v>
      </c>
      <c r="H103" s="74">
        <f>_xlfn.XLOOKUP(G103,Table39[Rank],Table39[Points],0)</f>
        <v>0</v>
      </c>
      <c r="I103" s="2" t="str">
        <f>IF(RANK(Table95[[#This Row],[Total]],Table95[Total])=1,$M$5,IF(RANK(Table95[[#This Row],[Total]],Table95[Total])=2,$M$6,IF(RANK(Table95[[#This Row],[Total]],Table95[Total])=3,$M$7,RANK(Table95[[#This Row],[Total]],Table95[Total])&amp;"th")))</f>
        <v>6th</v>
      </c>
      <c r="J103" s="74">
        <f t="shared" si="5"/>
        <v>1200</v>
      </c>
    </row>
    <row r="104" spans="1:10" ht="15" customHeight="1">
      <c r="A104" s="541"/>
      <c r="B104" s="44" t="s">
        <v>140</v>
      </c>
      <c r="C104" s="2" t="str">
        <f>_xlfn.XLOOKUP(Table95[[#This Row],[Athelete]],Table157223544789133532[Athlete],Table157223544789133532[Rank],"-")</f>
        <v>4th</v>
      </c>
      <c r="D104" s="74">
        <f>_xlfn.XLOOKUP(C104,Table39[Rank],Table39[Points],0)</f>
        <v>1100</v>
      </c>
      <c r="E104" s="2" t="str">
        <f>_xlfn.XLOOKUP(Table95[[#This Row],[Athelete]],Table157223544789133510156[Athlete],Table157223544789133510156[Rank],"-")</f>
        <v>-</v>
      </c>
      <c r="F104" s="74">
        <f>_xlfn.XLOOKUP(E104,Table39[Rank],Table39[Points],0)</f>
        <v>0</v>
      </c>
      <c r="H104" s="74">
        <f>_xlfn.XLOOKUP(G104,Table39[Rank],Table39[Points],0)</f>
        <v>0</v>
      </c>
      <c r="I104" s="2" t="str">
        <f>IF(RANK(Table95[[#This Row],[Total]],Table95[Total])=1,$M$5,IF(RANK(Table95[[#This Row],[Total]],Table95[Total])=2,$M$6,IF(RANK(Table95[[#This Row],[Total]],Table95[Total])=3,$M$7,RANK(Table95[[#This Row],[Total]],Table95[Total])&amp;"th")))</f>
        <v>7th</v>
      </c>
      <c r="J104" s="74">
        <f t="shared" si="5"/>
        <v>1100</v>
      </c>
    </row>
    <row r="105" spans="1:10" ht="15" customHeight="1">
      <c r="A105" s="541"/>
      <c r="B105" s="44" t="s">
        <v>141</v>
      </c>
      <c r="C105" s="2" t="str">
        <f>_xlfn.XLOOKUP(Table95[[#This Row],[Athelete]],Table157223544789133532[Athlete],Table157223544789133532[Rank],"-")</f>
        <v>-</v>
      </c>
      <c r="D105" s="74">
        <f>_xlfn.XLOOKUP(C105,Table39[Rank],Table39[Points],0)</f>
        <v>0</v>
      </c>
      <c r="E105" s="2" t="str">
        <f>_xlfn.XLOOKUP(Table95[[#This Row],[Athelete]],Table157223544789133510156[Athlete],Table157223544789133510156[Rank],"-")</f>
        <v>6th</v>
      </c>
      <c r="F105" s="74">
        <f>_xlfn.XLOOKUP(E105,Table39[Rank],Table39[Points],0)</f>
        <v>900</v>
      </c>
      <c r="H105" s="74">
        <f>_xlfn.XLOOKUP(G105,Table39[Rank],Table39[Points],0)</f>
        <v>0</v>
      </c>
      <c r="I105" s="2" t="str">
        <f>IF(RANK(Table95[[#This Row],[Total]],Table95[Total])=1,$M$5,IF(RANK(Table95[[#This Row],[Total]],Table95[Total])=2,$M$6,IF(RANK(Table95[[#This Row],[Total]],Table95[Total])=3,$M$7,RANK(Table95[[#This Row],[Total]],Table95[Total])&amp;"th")))</f>
        <v>8th</v>
      </c>
      <c r="J105" s="74">
        <f t="shared" si="5"/>
        <v>900</v>
      </c>
    </row>
    <row r="106" spans="1:10" ht="15" customHeight="1">
      <c r="A106" s="541"/>
      <c r="B106" s="44" t="s">
        <v>142</v>
      </c>
      <c r="C106" s="2" t="str">
        <f>_xlfn.XLOOKUP(Table95[[#This Row],[Athelete]],Table157223544789133532[Athlete],Table157223544789133532[Rank],"-")</f>
        <v>-</v>
      </c>
      <c r="D106" s="74">
        <f>_xlfn.XLOOKUP(C106,Table39[Rank],Table39[Points],0)</f>
        <v>0</v>
      </c>
      <c r="E106" s="2" t="str">
        <f>_xlfn.XLOOKUP(Table95[[#This Row],[Athelete]],Table157223544789133510156[Athlete],Table157223544789133510156[Rank],"-")</f>
        <v>7th</v>
      </c>
      <c r="F106" s="74">
        <f>_xlfn.XLOOKUP(E106,Table39[Rank],Table39[Points],0)</f>
        <v>800</v>
      </c>
      <c r="H106" s="74">
        <f>_xlfn.XLOOKUP(G106,Table39[Rank],Table39[Points],0)</f>
        <v>0</v>
      </c>
      <c r="I106" s="2" t="str">
        <f>IF(RANK(Table95[[#This Row],[Total]],Table95[Total])=1,$M$5,IF(RANK(Table95[[#This Row],[Total]],Table95[Total])=2,$M$6,IF(RANK(Table95[[#This Row],[Total]],Table95[Total])=3,$M$7,RANK(Table95[[#This Row],[Total]],Table95[Total])&amp;"th")))</f>
        <v>9th</v>
      </c>
      <c r="J106" s="74">
        <f t="shared" si="5"/>
        <v>800</v>
      </c>
    </row>
    <row r="107" spans="1:10" ht="15" customHeight="1">
      <c r="A107" s="541"/>
      <c r="B107" s="44" t="s">
        <v>143</v>
      </c>
      <c r="C107" s="2" t="str">
        <f>_xlfn.XLOOKUP(Table95[[#This Row],[Athelete]],Table157223544789133532[Athlete],Table157223544789133532[Rank],"-")</f>
        <v>-</v>
      </c>
      <c r="D107" s="74">
        <f>_xlfn.XLOOKUP(C107,Table39[Rank],Table39[Points],0)</f>
        <v>0</v>
      </c>
      <c r="E107" s="2" t="str">
        <f>_xlfn.XLOOKUP(Table95[[#This Row],[Athelete]],Table157223544789133510156[Athlete],Table157223544789133510156[Rank],"-")</f>
        <v>8th</v>
      </c>
      <c r="F107" s="74">
        <f>_xlfn.XLOOKUP(E107,Table39[Rank],Table39[Points],0)</f>
        <v>700</v>
      </c>
      <c r="H107" s="74">
        <f>_xlfn.XLOOKUP(G107,Table39[Rank],Table39[Points],0)</f>
        <v>0</v>
      </c>
      <c r="I107" s="2" t="str">
        <f>IF(RANK(Table95[[#This Row],[Total]],Table95[Total])=1,$M$5,IF(RANK(Table95[[#This Row],[Total]],Table95[Total])=2,$M$6,IF(RANK(Table95[[#This Row],[Total]],Table95[Total])=3,$M$7,RANK(Table95[[#This Row],[Total]],Table95[Total])&amp;"th")))</f>
        <v>10th</v>
      </c>
      <c r="J107" s="74">
        <f t="shared" si="5"/>
        <v>700</v>
      </c>
    </row>
    <row r="109" spans="1:10">
      <c r="A109" s="71" t="s">
        <v>0</v>
      </c>
      <c r="B109" s="2" t="s">
        <v>1</v>
      </c>
      <c r="C109" s="2" t="s">
        <v>2</v>
      </c>
      <c r="D109" s="74" t="s">
        <v>3</v>
      </c>
      <c r="E109" s="2" t="s">
        <v>4</v>
      </c>
      <c r="F109" s="74" t="s">
        <v>5</v>
      </c>
      <c r="G109" s="2" t="s">
        <v>6</v>
      </c>
      <c r="H109" s="74" t="s">
        <v>7</v>
      </c>
      <c r="I109" s="2" t="s">
        <v>8</v>
      </c>
      <c r="J109" s="74" t="s">
        <v>9</v>
      </c>
    </row>
    <row r="110" spans="1:10" ht="15" customHeight="1">
      <c r="A110" s="538" t="s">
        <v>144</v>
      </c>
      <c r="B110" s="44" t="s">
        <v>145</v>
      </c>
      <c r="C110" s="2" t="str">
        <f>_xlfn.XLOOKUP(Table96[[#This Row],[Athelete]],Table157223544789133510114[Athlete],Table157223544789133510114[Rank],"")</f>
        <v>3rd</v>
      </c>
      <c r="D110" s="74">
        <f>_xlfn.XLOOKUP(C110,Table39[Rank],Table39[Points],0)</f>
        <v>1200</v>
      </c>
      <c r="E110" s="2" t="str">
        <f>_xlfn.XLOOKUP(Table96[[#This Row],[Athelete]],Table157223544789133510128[Athlete],Table157223544789133510128[Rank],"")</f>
        <v>2nd</v>
      </c>
      <c r="F110" s="74">
        <f>_xlfn.XLOOKUP(E110,Table39[Rank],Table39[Points],0)</f>
        <v>1300</v>
      </c>
      <c r="G110" s="2" t="str">
        <f>_xlfn.XLOOKUP(Table96[[#This Row],[Athelete]],Table157223544789133510153[Athlete],Table157223544789133510153[Rank],"")</f>
        <v>8th</v>
      </c>
      <c r="H110" s="74">
        <f>_xlfn.XLOOKUP(G110,Table39[Rank],Table39[Points],0)</f>
        <v>700</v>
      </c>
      <c r="I110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1st</v>
      </c>
      <c r="J110" s="74">
        <f t="shared" ref="J110:J125" si="6">SUM(D110,F110,H110)</f>
        <v>3200</v>
      </c>
    </row>
    <row r="111" spans="1:10" ht="15" customHeight="1">
      <c r="A111" s="538"/>
      <c r="B111" s="44" t="s">
        <v>146</v>
      </c>
      <c r="C111" s="2" t="str">
        <f>_xlfn.XLOOKUP(Table96[[#This Row],[Athelete]],Table157223544789133510114[Athlete],Table157223544789133510114[Rank],"")</f>
        <v>6th</v>
      </c>
      <c r="D111" s="74">
        <f>_xlfn.XLOOKUP(C111,Table39[Rank],Table39[Points],0)</f>
        <v>900</v>
      </c>
      <c r="E111" s="2" t="str">
        <f>_xlfn.XLOOKUP(Table96[[#This Row],[Athelete]],Table157223544789133510128[Athlete],Table157223544789133510128[Rank],"")</f>
        <v>4th</v>
      </c>
      <c r="F111" s="74">
        <f>_xlfn.XLOOKUP(E111,Table39[Rank],Table39[Points],0)</f>
        <v>1100</v>
      </c>
      <c r="G111" s="2" t="str">
        <f>_xlfn.XLOOKUP(Table96[[#This Row],[Athelete]],Table157223544789133510153[Athlete],Table157223544789133510153[Rank],"")</f>
        <v>5th</v>
      </c>
      <c r="H111" s="74">
        <f>_xlfn.XLOOKUP(G111,Table39[Rank],Table39[Points],0)</f>
        <v>1000</v>
      </c>
      <c r="I111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2nd</v>
      </c>
      <c r="J111" s="74">
        <f t="shared" si="6"/>
        <v>3000</v>
      </c>
    </row>
    <row r="112" spans="1:10" ht="15" customHeight="1">
      <c r="A112" s="538"/>
      <c r="B112" s="44" t="s">
        <v>147</v>
      </c>
      <c r="C112" s="2" t="str">
        <f>_xlfn.XLOOKUP(Table96[[#This Row],[Athelete]],Table157223544789133510114[Athlete],Table157223544789133510114[Rank],"")</f>
        <v>1st</v>
      </c>
      <c r="D112" s="74">
        <f>_xlfn.XLOOKUP(C112,Table39[Rank],Table39[Points],0)</f>
        <v>1500</v>
      </c>
      <c r="E112" s="2" t="str">
        <f>_xlfn.XLOOKUP(Table96[[#This Row],[Athelete]],Table157223544789133510128[Athlete],Table157223544789133510128[Rank],"")</f>
        <v>1st</v>
      </c>
      <c r="F112" s="74">
        <f>_xlfn.XLOOKUP(E112,Table39[Rank],Table39[Points],0)</f>
        <v>1500</v>
      </c>
      <c r="G112" s="2" t="str">
        <f>_xlfn.XLOOKUP(Table96[[#This Row],[Athelete]],Table157223544789133510153[Athlete],Table157223544789133510153[Rank],"")</f>
        <v/>
      </c>
      <c r="H112" s="74">
        <f>_xlfn.XLOOKUP(G112,Table39[Rank],Table39[Points],0)</f>
        <v>0</v>
      </c>
      <c r="I112" s="235" t="s">
        <v>25</v>
      </c>
      <c r="J112" s="74">
        <f t="shared" si="6"/>
        <v>3000</v>
      </c>
    </row>
    <row r="113" spans="1:10" ht="15" customHeight="1">
      <c r="A113" s="538"/>
      <c r="B113" s="44" t="s">
        <v>148</v>
      </c>
      <c r="C113" s="2" t="str">
        <f>_xlfn.XLOOKUP(Table96[[#This Row],[Athelete]],Table157223544789133510114[Athlete],Table157223544789133510114[Rank],"")</f>
        <v>2nd</v>
      </c>
      <c r="D113" s="74">
        <f>_xlfn.XLOOKUP(C113,Table39[Rank],Table39[Points],0)</f>
        <v>1300</v>
      </c>
      <c r="E113" s="2" t="str">
        <f>_xlfn.XLOOKUP(Table96[[#This Row],[Athelete]],Table157223544789133510128[Athlete],Table157223544789133510128[Rank],"")</f>
        <v>6th</v>
      </c>
      <c r="F113" s="74">
        <f>_xlfn.XLOOKUP(E113,Table39[Rank],Table39[Points],0)</f>
        <v>900</v>
      </c>
      <c r="G113" s="2" t="str">
        <f>_xlfn.XLOOKUP(Table96[[#This Row],[Athelete]],Table157223544789133510153[Athlete],Table157223544789133510153[Rank],"")</f>
        <v>9th</v>
      </c>
      <c r="H113" s="74">
        <f>_xlfn.XLOOKUP(G113,Table39[Rank],Table39[Points],0)</f>
        <v>350</v>
      </c>
      <c r="I113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4th</v>
      </c>
      <c r="J113" s="74">
        <f t="shared" si="6"/>
        <v>2550</v>
      </c>
    </row>
    <row r="114" spans="1:10" ht="15" customHeight="1">
      <c r="A114" s="538"/>
      <c r="B114" s="44" t="s">
        <v>149</v>
      </c>
      <c r="C114" s="2" t="str">
        <f>_xlfn.XLOOKUP(Table96[[#This Row],[Athelete]],Table157223544789133510114[Athlete],Table157223544789133510114[Rank],"")</f>
        <v/>
      </c>
      <c r="D114" s="74">
        <f>_xlfn.XLOOKUP(C114,Table39[Rank],Table39[Points],0)</f>
        <v>0</v>
      </c>
      <c r="E114" s="2" t="str">
        <f>_xlfn.XLOOKUP(Table96[[#This Row],[Athelete]],Table157223544789133510128[Athlete],Table157223544789133510128[Rank],"")</f>
        <v>3rd</v>
      </c>
      <c r="F114" s="74">
        <f>_xlfn.XLOOKUP(E114,Table39[Rank],Table39[Points],0)</f>
        <v>1200</v>
      </c>
      <c r="G114" s="2" t="str">
        <f>_xlfn.XLOOKUP(Table96[[#This Row],[Athelete]],Table157223544789133510153[Athlete],Table157223544789133510153[Rank],"")</f>
        <v>2nd</v>
      </c>
      <c r="H114" s="74">
        <f>_xlfn.XLOOKUP(G114,Table39[Rank],Table39[Points],0)</f>
        <v>1300</v>
      </c>
      <c r="I114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5th</v>
      </c>
      <c r="J114" s="74">
        <f t="shared" si="6"/>
        <v>2500</v>
      </c>
    </row>
    <row r="115" spans="1:10" ht="15" customHeight="1">
      <c r="A115" s="538"/>
      <c r="B115" s="44" t="s">
        <v>150</v>
      </c>
      <c r="C115" s="2" t="str">
        <f>_xlfn.XLOOKUP(Table96[[#This Row],[Athelete]],Table157223544789133510114[Athlete],Table157223544789133510114[Rank],"")</f>
        <v>7th</v>
      </c>
      <c r="D115" s="74">
        <f>_xlfn.XLOOKUP(C115,Table39[Rank],Table39[Points],0)</f>
        <v>800</v>
      </c>
      <c r="E115" s="2" t="str">
        <f>_xlfn.XLOOKUP(Table96[[#This Row],[Athelete]],Table157223544789133510128[Athlete],Table157223544789133510128[Rank],"")</f>
        <v>8th</v>
      </c>
      <c r="F115" s="74">
        <f>_xlfn.XLOOKUP(E115,Table39[Rank],Table39[Points],0)</f>
        <v>700</v>
      </c>
      <c r="G115" s="2" t="str">
        <f>_xlfn.XLOOKUP(Table96[[#This Row],[Athelete]],Table157223544789133510153[Athlete],Table157223544789133510153[Rank],"")</f>
        <v>6th</v>
      </c>
      <c r="H115" s="74">
        <f>_xlfn.XLOOKUP(G115,Table39[Rank],Table39[Points],0)</f>
        <v>900</v>
      </c>
      <c r="I115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6th</v>
      </c>
      <c r="J115" s="74">
        <f t="shared" si="6"/>
        <v>2400</v>
      </c>
    </row>
    <row r="116" spans="1:10" ht="15" customHeight="1">
      <c r="A116" s="538"/>
      <c r="B116" s="44" t="s">
        <v>151</v>
      </c>
      <c r="C116" s="2" t="str">
        <f>_xlfn.XLOOKUP(Table96[[#This Row],[Athelete]],Table157223544789133510114[Athlete],Table157223544789133510114[Rank],"")</f>
        <v>8th</v>
      </c>
      <c r="D116" s="74">
        <f>_xlfn.XLOOKUP(C116,Table39[Rank],Table39[Points],0)</f>
        <v>700</v>
      </c>
      <c r="E116" s="2" t="str">
        <f>_xlfn.XLOOKUP(Table96[[#This Row],[Athelete]],Table157223544789133510128[Athlete],Table157223544789133510128[Rank],"")</f>
        <v/>
      </c>
      <c r="F116" s="74">
        <f>_xlfn.XLOOKUP(E116,Table39[Rank],Table39[Points],0)</f>
        <v>0</v>
      </c>
      <c r="G116" s="2" t="str">
        <f>_xlfn.XLOOKUP(Table96[[#This Row],[Athelete]],Table157223544789133510153[Athlete],Table157223544789133510153[Rank],"")</f>
        <v>1st</v>
      </c>
      <c r="H116" s="74">
        <f>_xlfn.XLOOKUP(G116,Table39[Rank],Table39[Points],0)</f>
        <v>1500</v>
      </c>
      <c r="I116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7th</v>
      </c>
      <c r="J116" s="74">
        <f t="shared" si="6"/>
        <v>2200</v>
      </c>
    </row>
    <row r="117" spans="1:10" ht="15" customHeight="1">
      <c r="A117" s="538"/>
      <c r="B117" s="44" t="s">
        <v>152</v>
      </c>
      <c r="C117" s="2" t="str">
        <f>_xlfn.XLOOKUP(Table96[[#This Row],[Athelete]],Table157223544789133510114[Athlete],Table157223544789133510114[Rank],"")</f>
        <v>4th</v>
      </c>
      <c r="D117" s="74">
        <f>_xlfn.XLOOKUP(C117,Table39[Rank],Table39[Points],0)</f>
        <v>1100</v>
      </c>
      <c r="E117" s="2" t="str">
        <f>_xlfn.XLOOKUP(Table96[[#This Row],[Athelete]],Table157223544789133510128[Athlete],Table157223544789133510128[Rank],"")</f>
        <v>7th</v>
      </c>
      <c r="F117" s="74">
        <f>_xlfn.XLOOKUP(E117,Table39[Rank],Table39[Points],0)</f>
        <v>800</v>
      </c>
      <c r="G117" s="2" t="str">
        <f>_xlfn.XLOOKUP(Table96[[#This Row],[Athelete]],Table157223544789133510153[Athlete],Table157223544789133510153[Rank],"")</f>
        <v/>
      </c>
      <c r="H117" s="74">
        <f>_xlfn.XLOOKUP(G117,Table39[Rank],Table39[Points],0)</f>
        <v>0</v>
      </c>
      <c r="I117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8th</v>
      </c>
      <c r="J117" s="74">
        <f t="shared" si="6"/>
        <v>1900</v>
      </c>
    </row>
    <row r="118" spans="1:10" ht="15" customHeight="1">
      <c r="A118" s="538"/>
      <c r="B118" s="44" t="s">
        <v>153</v>
      </c>
      <c r="C118" s="2" t="str">
        <f>_xlfn.XLOOKUP(Table96[[#This Row],[Athelete]],Table157223544789133510114[Athlete],Table157223544789133510114[Rank],"")</f>
        <v/>
      </c>
      <c r="D118" s="74">
        <f>_xlfn.XLOOKUP(C118,Table39[Rank],Table39[Points],0)</f>
        <v>0</v>
      </c>
      <c r="E118" s="2" t="str">
        <f>_xlfn.XLOOKUP(Table96[[#This Row],[Athelete]],Table157223544789133510128[Athlete],Table157223544789133510128[Rank],"")</f>
        <v/>
      </c>
      <c r="F118" s="74">
        <f>_xlfn.XLOOKUP(E118,Table39[Rank],Table39[Points],0)</f>
        <v>0</v>
      </c>
      <c r="G118" s="2" t="str">
        <f>_xlfn.XLOOKUP(Table96[[#This Row],[Athelete]],Table157223544789133510153[Athlete],Table157223544789133510153[Rank],"")</f>
        <v>3rd</v>
      </c>
      <c r="H118" s="74">
        <f>_xlfn.XLOOKUP(G118,Table39[Rank],Table39[Points],0)</f>
        <v>1200</v>
      </c>
      <c r="I118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9th</v>
      </c>
      <c r="J118" s="74">
        <f t="shared" si="6"/>
        <v>1200</v>
      </c>
    </row>
    <row r="119" spans="1:10" ht="15" customHeight="1">
      <c r="A119" s="538"/>
      <c r="B119" s="44" t="s">
        <v>154</v>
      </c>
      <c r="C119" s="2" t="str">
        <f>_xlfn.XLOOKUP(Table96[[#This Row],[Athelete]],Table157223544789133510114[Athlete],Table157223544789133510114[Rank],"")</f>
        <v/>
      </c>
      <c r="D119" s="74">
        <f>_xlfn.XLOOKUP(C119,Table39[Rank],Table39[Points],0)</f>
        <v>0</v>
      </c>
      <c r="E119" s="2" t="str">
        <f>_xlfn.XLOOKUP(Table96[[#This Row],[Athelete]],Table157223544789133510128[Athlete],Table157223544789133510128[Rank],"")</f>
        <v/>
      </c>
      <c r="F119" s="74">
        <f>_xlfn.XLOOKUP(E119,Table39[Rank],Table39[Points],0)</f>
        <v>0</v>
      </c>
      <c r="G119" s="2" t="str">
        <f>_xlfn.XLOOKUP(Table96[[#This Row],[Athelete]],Table157223544789133510153[Athlete],Table157223544789133510153[Rank],"")</f>
        <v>4th</v>
      </c>
      <c r="H119" s="74">
        <f>_xlfn.XLOOKUP(G119,Table39[Rank],Table39[Points],0)</f>
        <v>1100</v>
      </c>
      <c r="I119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10th</v>
      </c>
      <c r="J119" s="74">
        <f t="shared" si="6"/>
        <v>1100</v>
      </c>
    </row>
    <row r="120" spans="1:10">
      <c r="A120" s="538"/>
      <c r="B120" s="44" t="s">
        <v>132</v>
      </c>
      <c r="C120" s="2" t="str">
        <f>_xlfn.XLOOKUP(Table96[[#This Row],[Athelete]],Table157223544789133510114[Athlete],Table157223544789133510114[Rank],"")</f>
        <v/>
      </c>
      <c r="D120" s="74">
        <f>_xlfn.XLOOKUP(C120,Table39[Rank],Table39[Points],0)</f>
        <v>0</v>
      </c>
      <c r="E120" s="2" t="str">
        <f>_xlfn.XLOOKUP(Table96[[#This Row],[Athelete]],Table157223544789133510128[Athlete],Table157223544789133510128[Rank],"")</f>
        <v>5th</v>
      </c>
      <c r="F120" s="74">
        <f>_xlfn.XLOOKUP(E120,Table39[Rank],Table39[Points],0)</f>
        <v>1000</v>
      </c>
      <c r="G120" s="2" t="str">
        <f>_xlfn.XLOOKUP(Table96[[#This Row],[Athelete]],Table157223544789133510153[Athlete],Table157223544789133510153[Rank],"")</f>
        <v/>
      </c>
      <c r="H120" s="74">
        <f>_xlfn.XLOOKUP(G120,Table39[Rank],Table39[Points],0)</f>
        <v>0</v>
      </c>
      <c r="I120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11th</v>
      </c>
      <c r="J120" s="74">
        <f t="shared" si="6"/>
        <v>1000</v>
      </c>
    </row>
    <row r="121" spans="1:10">
      <c r="A121" s="538"/>
      <c r="B121" s="44" t="s">
        <v>155</v>
      </c>
      <c r="C121" s="2" t="str">
        <f>_xlfn.XLOOKUP(Table96[[#This Row],[Athelete]],Table157223544789133510114[Athlete],Table157223544789133510114[Rank],"")</f>
        <v>5th</v>
      </c>
      <c r="D121" s="74">
        <f>_xlfn.XLOOKUP(C121,Table39[Rank],Table39[Points],0)</f>
        <v>1000</v>
      </c>
      <c r="E121" s="2" t="str">
        <f>_xlfn.XLOOKUP(Table96[[#This Row],[Athelete]],Table157223544789133510128[Athlete],Table157223544789133510128[Rank],"")</f>
        <v/>
      </c>
      <c r="F121" s="74">
        <f>_xlfn.XLOOKUP(E121,Table39[Rank],Table39[Points],0)</f>
        <v>0</v>
      </c>
      <c r="G121" s="2" t="str">
        <f>_xlfn.XLOOKUP(Table96[[#This Row],[Athelete]],Table157223544789133510153[Athlete],Table157223544789133510153[Rank],"")</f>
        <v/>
      </c>
      <c r="H121" s="74">
        <f>_xlfn.XLOOKUP(G121,Table39[Rank],Table39[Points],0)</f>
        <v>0</v>
      </c>
      <c r="I121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11th</v>
      </c>
      <c r="J121" s="74">
        <f t="shared" si="6"/>
        <v>1000</v>
      </c>
    </row>
    <row r="122" spans="1:10">
      <c r="A122" s="538"/>
      <c r="B122" s="44" t="s">
        <v>156</v>
      </c>
      <c r="C122" s="2" t="str">
        <f>_xlfn.XLOOKUP(Table96[[#This Row],[Athelete]],Table157223544789133510114[Athlete],Table157223544789133510114[Rank],"")</f>
        <v/>
      </c>
      <c r="D122" s="74">
        <f>_xlfn.XLOOKUP(C122,Table39[Rank],Table39[Points],0)</f>
        <v>0</v>
      </c>
      <c r="E122" s="2" t="str">
        <f>_xlfn.XLOOKUP(Table96[[#This Row],[Athelete]],Table157223544789133510128[Athlete],Table157223544789133510128[Rank],"")</f>
        <v/>
      </c>
      <c r="F122" s="74">
        <f>_xlfn.XLOOKUP(E122,Table39[Rank],Table39[Points],0)</f>
        <v>0</v>
      </c>
      <c r="G122" s="2" t="str">
        <f>_xlfn.XLOOKUP(Table96[[#This Row],[Athelete]],Table157223544789133510153[Athlete],Table157223544789133510153[Rank],"")</f>
        <v>7th</v>
      </c>
      <c r="H122" s="74">
        <f>_xlfn.XLOOKUP(G122,Table39[Rank],Table39[Points],0)</f>
        <v>800</v>
      </c>
      <c r="I122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13th</v>
      </c>
      <c r="J122" s="74">
        <f t="shared" si="6"/>
        <v>800</v>
      </c>
    </row>
    <row r="123" spans="1:10">
      <c r="A123" s="538"/>
      <c r="B123" s="44" t="s">
        <v>157</v>
      </c>
      <c r="C123" s="2" t="str">
        <f>_xlfn.XLOOKUP(Table96[[#This Row],[Athelete]],Table157223544789133510114[Athlete],Table157223544789133510114[Rank],"")</f>
        <v/>
      </c>
      <c r="D123" s="74">
        <f>_xlfn.XLOOKUP(C123,Table39[Rank],Table39[Points],0)</f>
        <v>0</v>
      </c>
      <c r="E123" s="2" t="str">
        <f>_xlfn.XLOOKUP(Table96[[#This Row],[Athelete]],Table157223544789133510128[Athlete],Table157223544789133510128[Rank],"")</f>
        <v/>
      </c>
      <c r="F123" s="74">
        <f>_xlfn.XLOOKUP(E123,Table39[Rank],Table39[Points],0)</f>
        <v>0</v>
      </c>
      <c r="G123" s="2" t="str">
        <f>_xlfn.XLOOKUP(Table96[[#This Row],[Athelete]],Table157223544789133510153[Athlete],Table157223544789133510153[Rank],"")</f>
        <v>10th</v>
      </c>
      <c r="H123" s="74">
        <f>_xlfn.XLOOKUP(G123,Table39[Rank],Table39[Points],0)</f>
        <v>300</v>
      </c>
      <c r="I123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14th</v>
      </c>
      <c r="J123" s="74">
        <f t="shared" si="6"/>
        <v>300</v>
      </c>
    </row>
    <row r="124" spans="1:10">
      <c r="A124" s="538"/>
      <c r="B124" s="44" t="s">
        <v>158</v>
      </c>
      <c r="C124" s="2" t="str">
        <f>_xlfn.XLOOKUP(Table96[[#This Row],[Athelete]],Table157223544789133510114[Athlete],Table157223544789133510114[Rank],"")</f>
        <v/>
      </c>
      <c r="D124" s="74">
        <f>_xlfn.XLOOKUP(C124,Table39[Rank],Table39[Points],0)</f>
        <v>0</v>
      </c>
      <c r="E124" s="2" t="str">
        <f>_xlfn.XLOOKUP(Table96[[#This Row],[Athelete]],Table157223544789133510128[Athlete],Table157223544789133510128[Rank],"")</f>
        <v/>
      </c>
      <c r="F124" s="74">
        <f>_xlfn.XLOOKUP(E124,Table39[Rank],Table39[Points],0)</f>
        <v>0</v>
      </c>
      <c r="G124" s="2" t="str">
        <f>_xlfn.XLOOKUP(Table96[[#This Row],[Athelete]],Table157223544789133510153[Athlete],Table157223544789133510153[Rank],"")</f>
        <v>11th</v>
      </c>
      <c r="H124" s="74">
        <f>_xlfn.XLOOKUP(G124,Table39[Rank],Table39[Points],0)</f>
        <v>250</v>
      </c>
      <c r="I124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15th</v>
      </c>
      <c r="J124" s="74">
        <f t="shared" si="6"/>
        <v>250</v>
      </c>
    </row>
    <row r="125" spans="1:10">
      <c r="A125" s="538"/>
      <c r="B125" s="44" t="s">
        <v>159</v>
      </c>
      <c r="C125" s="2" t="str">
        <f>_xlfn.XLOOKUP(Table96[[#This Row],[Athelete]],Table157223544789133510114[Athlete],Table157223544789133510114[Rank],"")</f>
        <v/>
      </c>
      <c r="D125" s="74">
        <f>_xlfn.XLOOKUP(C125,Table39[Rank],Table39[Points],0)</f>
        <v>0</v>
      </c>
      <c r="E125" s="2" t="str">
        <f>_xlfn.XLOOKUP(Table96[[#This Row],[Athelete]],Table157223544789133510128[Athlete],Table157223544789133510128[Rank],"")</f>
        <v/>
      </c>
      <c r="F125" s="74">
        <f>_xlfn.XLOOKUP(E125,Table39[Rank],Table39[Points],0)</f>
        <v>0</v>
      </c>
      <c r="G125" s="2" t="str">
        <f>_xlfn.XLOOKUP(Table96[[#This Row],[Athelete]],Table157223544789133510153[Athlete],Table157223544789133510153[Rank],"")</f>
        <v>12th</v>
      </c>
      <c r="H125" s="74">
        <f>_xlfn.XLOOKUP(G125,Table39[Rank],Table39[Points],0)</f>
        <v>200</v>
      </c>
      <c r="I125" s="2" t="str">
        <f>IF(RANK(Table96[[#This Row],[Total]],Table96[Total])=1,$M$5,IF(RANK(Table96[[#This Row],[Total]],Table96[Total])=2,$M$6,IF(RANK(Table96[[#This Row],[Total]],Table96[Total])=3,$M$7,RANK(Table96[[#This Row],[Total]],Table96[Total])&amp;"th")))</f>
        <v>16th</v>
      </c>
      <c r="J125" s="74">
        <f t="shared" si="6"/>
        <v>200</v>
      </c>
    </row>
  </sheetData>
  <mergeCells count="7">
    <mergeCell ref="A110:A125"/>
    <mergeCell ref="A3:A20"/>
    <mergeCell ref="A23:A35"/>
    <mergeCell ref="A38:A58"/>
    <mergeCell ref="A98:A107"/>
    <mergeCell ref="A61:A76"/>
    <mergeCell ref="A79:A95"/>
  </mergeCells>
  <phoneticPr fontId="1" type="noConversion"/>
  <pageMargins left="0.7" right="0.7" top="0.75" bottom="0.75" header="0.3" footer="0.3"/>
  <pageSetup scale="96" orientation="portrait" horizontalDpi="0" verticalDpi="0"/>
  <rowBreaks count="3" manualBreakCount="3">
    <brk id="35" max="9" man="1"/>
    <brk id="76" max="9" man="1"/>
    <brk id="107" max="9" man="1"/>
  </rowBreaks>
  <legacy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0941-241A-2946-8907-8C53652DF749}">
  <sheetPr codeName="Sheet2"/>
  <dimension ref="A1:T39"/>
  <sheetViews>
    <sheetView topLeftCell="A8" workbookViewId="0">
      <selection activeCell="B36" sqref="B36"/>
    </sheetView>
    <sheetView workbookViewId="1">
      <selection sqref="A1:A16"/>
    </sheetView>
  </sheetViews>
  <sheetFormatPr defaultColWidth="8.85546875" defaultRowHeight="15"/>
  <cols>
    <col min="1" max="1" width="9.7109375" customWidth="1"/>
    <col min="2" max="4" width="20" customWidth="1"/>
    <col min="5" max="6" width="9.7109375" customWidth="1"/>
    <col min="7" max="7" width="20" customWidth="1"/>
    <col min="8" max="8" width="11.42578125" hidden="1" customWidth="1"/>
    <col min="9" max="9" width="12" hidden="1" customWidth="1"/>
    <col min="10" max="10" width="8" hidden="1" customWidth="1"/>
    <col min="11" max="11" width="20" customWidth="1"/>
    <col min="12" max="12" width="13.42578125" bestFit="1" customWidth="1"/>
    <col min="13" max="14" width="14.140625" bestFit="1" customWidth="1"/>
    <col min="15" max="16" width="10.42578125" bestFit="1" customWidth="1"/>
    <col min="17" max="18" width="14.85546875" bestFit="1" customWidth="1"/>
    <col min="19" max="19" width="14" bestFit="1" customWidth="1"/>
    <col min="20" max="21" width="9.7109375" bestFit="1" customWidth="1"/>
  </cols>
  <sheetData>
    <row r="1" spans="1:20" ht="15" customHeight="1">
      <c r="A1" s="550" t="s">
        <v>160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170</v>
      </c>
      <c r="L1" s="7" t="s">
        <v>171</v>
      </c>
      <c r="M1" s="7" t="s">
        <v>172</v>
      </c>
      <c r="N1" s="7" t="s">
        <v>173</v>
      </c>
      <c r="O1" s="7" t="s">
        <v>174</v>
      </c>
      <c r="P1" s="7" t="s">
        <v>175</v>
      </c>
      <c r="Q1" s="7" t="s">
        <v>176</v>
      </c>
      <c r="S1" s="544" t="s">
        <v>177</v>
      </c>
      <c r="T1" s="545"/>
    </row>
    <row r="2" spans="1:20" ht="15" customHeight="1">
      <c r="A2" s="550"/>
      <c r="B2" s="13" t="s">
        <v>178</v>
      </c>
      <c r="C2" s="433" t="str">
        <f>B20</f>
        <v>Guilherme Nascimento</v>
      </c>
      <c r="D2" s="25" t="str">
        <f>B23</f>
        <v>Thyago Henrique</v>
      </c>
      <c r="E2" s="26">
        <v>9</v>
      </c>
      <c r="F2" s="27">
        <v>18</v>
      </c>
      <c r="G2" s="15" t="str">
        <f>B21</f>
        <v>Renan Guiot</v>
      </c>
      <c r="H2" s="15"/>
      <c r="I2" s="15"/>
      <c r="J2" s="15"/>
      <c r="K2" s="16" t="str">
        <f>B22</f>
        <v>Gabriel Bugao</v>
      </c>
      <c r="L2" s="13">
        <f>IF(OR(Games_11[[#This Row],[SCORE 1]]="",Games_11[[#This Row],[SCORE 2]]=""),"",Games_11[[#This Row],[SCORE 1]]-Games_11[[#This Row],[SCORE 2]])</f>
        <v>-9</v>
      </c>
      <c r="M2" s="13">
        <f>IF(OR(Games_11[[#This Row],[SCORE 1]]="",Games_11[[#This Row],[SCORE 2]]=""),"",Games_11[[#This Row],[SCORE 2]]-Games_11[[#This Row],[SCORE 1]])</f>
        <v>9</v>
      </c>
      <c r="N2" s="13">
        <f>IF(Games_11[[#This Row],[SCORE 1]]="","",Games_11[[#This Row],[SCORE 1]])</f>
        <v>9</v>
      </c>
      <c r="O2" s="13">
        <f>IF(Games_11[[#This Row],[SCORE 2]]="","",Games_11[[#This Row],[SCORE 2]])</f>
        <v>18</v>
      </c>
      <c r="P2" s="13" t="str">
        <f>IF(OR(Games_11[[#This Row],[SCORE 1]]="",Games_11[[#This Row],[SCORE 2]]=""),"",IF(Games_11[[#This Row],[SALDO 12]]&gt;0, "WIN","LOSE"))</f>
        <v>LOSE</v>
      </c>
      <c r="Q2" s="13" t="str">
        <f>IF(OR(Games_11[[#This Row],[SCORE 1]]="",Games_11[[#This Row],[SCORE 2]]=""),"",IF(Games_11[[#This Row],[SALDO 34]]&gt;0, "WIN","LOSE"))</f>
        <v>WIN</v>
      </c>
      <c r="S2" s="21" t="s">
        <v>179</v>
      </c>
      <c r="T2" s="21" t="s">
        <v>8</v>
      </c>
    </row>
    <row r="3" spans="1:20">
      <c r="A3" s="550"/>
      <c r="B3" s="13" t="s">
        <v>180</v>
      </c>
      <c r="C3" s="433" t="str">
        <f>B27</f>
        <v>Gabriel Velloso</v>
      </c>
      <c r="D3" s="25" t="str">
        <f>B30</f>
        <v>David Aitkens</v>
      </c>
      <c r="E3" s="26">
        <v>18</v>
      </c>
      <c r="F3" s="27">
        <v>20</v>
      </c>
      <c r="G3" s="15" t="str">
        <f>B28</f>
        <v>Alex Abrantes</v>
      </c>
      <c r="H3" s="15"/>
      <c r="I3" s="15"/>
      <c r="J3" s="15"/>
      <c r="K3" s="16" t="str">
        <f>B29</f>
        <v>Pedro Nagib</v>
      </c>
      <c r="L3" s="13">
        <f>IF(OR(Games_11[[#This Row],[SCORE 1]]="",Games_11[[#This Row],[SCORE 2]]=""),"",Games_11[[#This Row],[SCORE 1]]-Games_11[[#This Row],[SCORE 2]])</f>
        <v>-2</v>
      </c>
      <c r="M3" s="13">
        <f>IF(OR(Games_11[[#This Row],[SCORE 1]]="",Games_11[[#This Row],[SCORE 2]]=""),"",Games_11[[#This Row],[SCORE 2]]-Games_11[[#This Row],[SCORE 1]])</f>
        <v>2</v>
      </c>
      <c r="N3" s="13">
        <f>IF(Games_11[[#This Row],[SCORE 1]]="","",Games_11[[#This Row],[SCORE 1]])</f>
        <v>18</v>
      </c>
      <c r="O3" s="13">
        <f>IF(Games_11[[#This Row],[SCORE 2]]="","",Games_11[[#This Row],[SCORE 2]])</f>
        <v>20</v>
      </c>
      <c r="P3" s="13" t="str">
        <f>IF(OR(Games_11[[#This Row],[SCORE 1]]="",Games_11[[#This Row],[SCORE 2]]=""),"",IF(Games_11[[#This Row],[SALDO 12]]&gt;0, "WIN","LOSE"))</f>
        <v>LOSE</v>
      </c>
      <c r="Q3" s="13" t="str">
        <f>IF(OR(Games_11[[#This Row],[SCORE 1]]="",Games_11[[#This Row],[SCORE 2]]=""),"",IF(Games_11[[#This Row],[SALDO 34]]&gt;0, "WIN","LOSE"))</f>
        <v>WIN</v>
      </c>
      <c r="S3" s="2" t="str">
        <f>IFERROR(_xlfn.XLOOKUP(Table15722354466784681112[[#This Row],[Rank]],$L$39:$Q$39,$L$38:$Q$38),"")</f>
        <v>Bruno Soares</v>
      </c>
      <c r="T3" s="2" t="s">
        <v>19</v>
      </c>
    </row>
    <row r="4" spans="1:20">
      <c r="A4" s="550"/>
      <c r="B4" s="13" t="s">
        <v>181</v>
      </c>
      <c r="C4" s="433" t="str">
        <f>B34</f>
        <v>Thomas Zahn</v>
      </c>
      <c r="D4" s="25" t="str">
        <f>B37</f>
        <v>Eduardo Ferreira</v>
      </c>
      <c r="E4" s="26">
        <v>18</v>
      </c>
      <c r="F4" s="27">
        <v>9</v>
      </c>
      <c r="G4" s="15" t="str">
        <f>B35</f>
        <v>Daniel Gaspar</v>
      </c>
      <c r="H4" s="15"/>
      <c r="I4" s="15"/>
      <c r="J4" s="15"/>
      <c r="K4" s="16" t="str">
        <f>B36</f>
        <v>Bernardo Trotta</v>
      </c>
      <c r="L4" s="13">
        <f>IF(OR(Games_11[[#This Row],[SCORE 1]]="",Games_11[[#This Row],[SCORE 2]]=""),"",Games_11[[#This Row],[SCORE 1]]-Games_11[[#This Row],[SCORE 2]])</f>
        <v>9</v>
      </c>
      <c r="M4" s="13">
        <f>IF(OR(Games_11[[#This Row],[SCORE 1]]="",Games_11[[#This Row],[SCORE 2]]=""),"",Games_11[[#This Row],[SCORE 2]]-Games_11[[#This Row],[SCORE 1]])</f>
        <v>-9</v>
      </c>
      <c r="N4" s="13">
        <f>IF(Games_11[[#This Row],[SCORE 1]]="","",Games_11[[#This Row],[SCORE 1]])</f>
        <v>18</v>
      </c>
      <c r="O4" s="13">
        <f>IF(Games_11[[#This Row],[SCORE 2]]="","",Games_11[[#This Row],[SCORE 2]])</f>
        <v>9</v>
      </c>
      <c r="P4" s="13" t="str">
        <f>IF(OR(Games_11[[#This Row],[SCORE 1]]="",Games_11[[#This Row],[SCORE 2]]=""),"",IF(Games_11[[#This Row],[SALDO 12]]&gt;0, "WIN","LOSE"))</f>
        <v>WIN</v>
      </c>
      <c r="Q4" s="13" t="str">
        <f>IF(OR(Games_11[[#This Row],[SCORE 1]]="",Games_11[[#This Row],[SCORE 2]]=""),"",IF(Games_11[[#This Row],[SALDO 34]]&gt;0, "WIN","LOSE"))</f>
        <v>LOSE</v>
      </c>
      <c r="S4" s="2" t="str">
        <f>IFERROR(_xlfn.XLOOKUP(Table15722354466784681112[[#This Row],[Rank]],$L$39:$Q$39,$L$38:$Q$38),"")</f>
        <v>Pedro Nagib</v>
      </c>
      <c r="T4" s="2" t="s">
        <v>22</v>
      </c>
    </row>
    <row r="5" spans="1:20">
      <c r="A5" s="550"/>
      <c r="B5" s="13" t="s">
        <v>178</v>
      </c>
      <c r="C5" s="433" t="str">
        <f>B20</f>
        <v>Guilherme Nascimento</v>
      </c>
      <c r="D5" s="25" t="str">
        <f>B22</f>
        <v>Gabriel Bugao</v>
      </c>
      <c r="E5" s="26">
        <v>14</v>
      </c>
      <c r="F5" s="27">
        <v>18</v>
      </c>
      <c r="G5" s="15" t="str">
        <f>B21</f>
        <v>Renan Guiot</v>
      </c>
      <c r="H5" s="15"/>
      <c r="I5" s="15"/>
      <c r="J5" s="15"/>
      <c r="K5" s="16" t="str">
        <f>B24</f>
        <v>Bruno Montini</v>
      </c>
      <c r="L5" s="13">
        <f>IF(OR(Games_11[[#This Row],[SCORE 1]]="",Games_11[[#This Row],[SCORE 2]]=""),"",Games_11[[#This Row],[SCORE 1]]-Games_11[[#This Row],[SCORE 2]])</f>
        <v>-4</v>
      </c>
      <c r="M5" s="13">
        <f>IF(OR(Games_11[[#This Row],[SCORE 1]]="",Games_11[[#This Row],[SCORE 2]]=""),"",Games_11[[#This Row],[SCORE 2]]-Games_11[[#This Row],[SCORE 1]])</f>
        <v>4</v>
      </c>
      <c r="N5" s="13">
        <f>IF(Games_11[[#This Row],[SCORE 1]]="","",Games_11[[#This Row],[SCORE 1]])</f>
        <v>14</v>
      </c>
      <c r="O5" s="13">
        <f>IF(Games_11[[#This Row],[SCORE 2]]="","",Games_11[[#This Row],[SCORE 2]])</f>
        <v>18</v>
      </c>
      <c r="P5" s="13" t="str">
        <f>IF(OR(Games_11[[#This Row],[SCORE 1]]="",Games_11[[#This Row],[SCORE 2]]=""),"",IF(Games_11[[#This Row],[SALDO 12]]&gt;0, "WIN","LOSE"))</f>
        <v>LOSE</v>
      </c>
      <c r="Q5" s="13" t="str">
        <f>IF(OR(Games_11[[#This Row],[SCORE 1]]="",Games_11[[#This Row],[SCORE 2]]=""),"",IF(Games_11[[#This Row],[SALDO 34]]&gt;0, "WIN","LOSE"))</f>
        <v>WIN</v>
      </c>
      <c r="S5" s="2" t="str">
        <f>IFERROR(_xlfn.XLOOKUP(Table15722354466784681112[[#This Row],[Rank]],$L$32:$Q$32,$L$31:$Q$31),"")</f>
        <v>Eduardo Ferreira</v>
      </c>
      <c r="T5" s="2" t="s">
        <v>25</v>
      </c>
    </row>
    <row r="6" spans="1:20">
      <c r="A6" s="550"/>
      <c r="B6" s="13" t="s">
        <v>180</v>
      </c>
      <c r="C6" s="433" t="str">
        <f>B27</f>
        <v>Gabriel Velloso</v>
      </c>
      <c r="D6" s="25" t="str">
        <f>B29</f>
        <v>Pedro Nagib</v>
      </c>
      <c r="E6" s="26">
        <v>14</v>
      </c>
      <c r="F6" s="27">
        <v>18</v>
      </c>
      <c r="G6" s="15" t="str">
        <f>B28</f>
        <v>Alex Abrantes</v>
      </c>
      <c r="H6" s="15"/>
      <c r="I6" s="15"/>
      <c r="J6" s="15"/>
      <c r="K6" s="16" t="str">
        <f>B31</f>
        <v>Bruno Soares</v>
      </c>
      <c r="L6" s="13">
        <f>IF(OR(Games_11[[#This Row],[SCORE 1]]="",Games_11[[#This Row],[SCORE 2]]=""),"",Games_11[[#This Row],[SCORE 1]]-Games_11[[#This Row],[SCORE 2]])</f>
        <v>-4</v>
      </c>
      <c r="M6" s="13">
        <f>IF(OR(Games_11[[#This Row],[SCORE 1]]="",Games_11[[#This Row],[SCORE 2]]=""),"",Games_11[[#This Row],[SCORE 2]]-Games_11[[#This Row],[SCORE 1]])</f>
        <v>4</v>
      </c>
      <c r="N6" s="13">
        <f>IF(Games_11[[#This Row],[SCORE 1]]="","",Games_11[[#This Row],[SCORE 1]])</f>
        <v>14</v>
      </c>
      <c r="O6" s="13">
        <f>IF(Games_11[[#This Row],[SCORE 2]]="","",Games_11[[#This Row],[SCORE 2]])</f>
        <v>18</v>
      </c>
      <c r="P6" s="13" t="str">
        <f>IF(OR(Games_11[[#This Row],[SCORE 1]]="",Games_11[[#This Row],[SCORE 2]]=""),"",IF(Games_11[[#This Row],[SALDO 12]]&gt;0, "WIN","LOSE"))</f>
        <v>LOSE</v>
      </c>
      <c r="Q6" s="13" t="str">
        <f>IF(OR(Games_11[[#This Row],[SCORE 1]]="",Games_11[[#This Row],[SCORE 2]]=""),"",IF(Games_11[[#This Row],[SALDO 34]]&gt;0, "WIN","LOSE"))</f>
        <v>WIN</v>
      </c>
      <c r="S6" s="2" t="str">
        <f>IFERROR(_xlfn.XLOOKUP(Table15722354466784681112[[#This Row],[Rank]],$L$32:$Q$32,$L$31:$Q$31),"")</f>
        <v>João Barreto</v>
      </c>
      <c r="T6" s="2" t="s">
        <v>28</v>
      </c>
    </row>
    <row r="7" spans="1:20">
      <c r="A7" s="550"/>
      <c r="B7" s="13" t="s">
        <v>181</v>
      </c>
      <c r="C7" s="433" t="str">
        <f>B34</f>
        <v>Thomas Zahn</v>
      </c>
      <c r="D7" s="25" t="str">
        <f>B36</f>
        <v>Bernardo Trotta</v>
      </c>
      <c r="E7" s="26">
        <v>18</v>
      </c>
      <c r="F7" s="27">
        <v>20</v>
      </c>
      <c r="G7" s="15" t="str">
        <f>B35</f>
        <v>Daniel Gaspar</v>
      </c>
      <c r="H7" s="15"/>
      <c r="I7" s="15"/>
      <c r="J7" s="15"/>
      <c r="K7" s="16" t="str">
        <f>B38</f>
        <v>João Barreto</v>
      </c>
      <c r="L7" s="13">
        <f>IF(OR(Games_11[[#This Row],[SCORE 1]]="",Games_11[[#This Row],[SCORE 2]]=""),"",Games_11[[#This Row],[SCORE 1]]-Games_11[[#This Row],[SCORE 2]])</f>
        <v>-2</v>
      </c>
      <c r="M7" s="13">
        <f>IF(OR(Games_11[[#This Row],[SCORE 1]]="",Games_11[[#This Row],[SCORE 2]]=""),"",Games_11[[#This Row],[SCORE 2]]-Games_11[[#This Row],[SCORE 1]])</f>
        <v>2</v>
      </c>
      <c r="N7" s="13">
        <f>IF(Games_11[[#This Row],[SCORE 1]]="","",Games_11[[#This Row],[SCORE 1]])</f>
        <v>18</v>
      </c>
      <c r="O7" s="13">
        <f>IF(Games_11[[#This Row],[SCORE 2]]="","",Games_11[[#This Row],[SCORE 2]])</f>
        <v>20</v>
      </c>
      <c r="P7" s="13" t="str">
        <f>IF(OR(Games_11[[#This Row],[SCORE 1]]="",Games_11[[#This Row],[SCORE 2]]=""),"",IF(Games_11[[#This Row],[SALDO 12]]&gt;0, "WIN","LOSE"))</f>
        <v>LOSE</v>
      </c>
      <c r="Q7" s="13" t="str">
        <f>IF(OR(Games_11[[#This Row],[SCORE 1]]="",Games_11[[#This Row],[SCORE 2]]=""),"",IF(Games_11[[#This Row],[SALDO 34]]&gt;0, "WIN","LOSE"))</f>
        <v>WIN</v>
      </c>
      <c r="S7" s="142" t="str">
        <f>P25</f>
        <v>Bruno Montini</v>
      </c>
      <c r="T7" s="67" t="s">
        <v>31</v>
      </c>
    </row>
    <row r="8" spans="1:20">
      <c r="A8" s="550"/>
      <c r="B8" s="13" t="s">
        <v>178</v>
      </c>
      <c r="C8" s="433" t="str">
        <f>B20</f>
        <v>Guilherme Nascimento</v>
      </c>
      <c r="D8" s="25" t="str">
        <f>B21</f>
        <v>Renan Guiot</v>
      </c>
      <c r="E8" s="26">
        <v>11</v>
      </c>
      <c r="F8" s="27">
        <v>18</v>
      </c>
      <c r="G8" s="15" t="str">
        <f>B23</f>
        <v>Thyago Henrique</v>
      </c>
      <c r="H8" s="15"/>
      <c r="I8" s="15"/>
      <c r="J8" s="15"/>
      <c r="K8" s="16" t="str">
        <f>B24</f>
        <v>Bruno Montini</v>
      </c>
      <c r="L8" s="13">
        <f>IF(OR(Games_11[[#This Row],[SCORE 1]]="",Games_11[[#This Row],[SCORE 2]]=""),"",Games_11[[#This Row],[SCORE 1]]-Games_11[[#This Row],[SCORE 2]])</f>
        <v>-7</v>
      </c>
      <c r="M8" s="13">
        <f>IF(OR(Games_11[[#This Row],[SCORE 1]]="",Games_11[[#This Row],[SCORE 2]]=""),"",Games_11[[#This Row],[SCORE 2]]-Games_11[[#This Row],[SCORE 1]])</f>
        <v>7</v>
      </c>
      <c r="N8" s="13">
        <f>IF(Games_11[[#This Row],[SCORE 1]]="","",Games_11[[#This Row],[SCORE 1]])</f>
        <v>11</v>
      </c>
      <c r="O8" s="13">
        <f>IF(Games_11[[#This Row],[SCORE 2]]="","",Games_11[[#This Row],[SCORE 2]])</f>
        <v>18</v>
      </c>
      <c r="P8" s="13" t="str">
        <f>IF(OR(Games_11[[#This Row],[SCORE 1]]="",Games_11[[#This Row],[SCORE 2]]=""),"",IF(Games_11[[#This Row],[SALDO 12]]&gt;0, "WIN","LOSE"))</f>
        <v>LOSE</v>
      </c>
      <c r="Q8" s="13" t="str">
        <f>IF(OR(Games_11[[#This Row],[SCORE 1]]="",Games_11[[#This Row],[SCORE 2]]=""),"",IF(Games_11[[#This Row],[SALDO 34]]&gt;0, "WIN","LOSE"))</f>
        <v>WIN</v>
      </c>
      <c r="S8" s="142" t="str">
        <f>P20</f>
        <v>Gabriel Bugao</v>
      </c>
      <c r="T8" s="67" t="s">
        <v>34</v>
      </c>
    </row>
    <row r="9" spans="1:20">
      <c r="A9" s="550"/>
      <c r="B9" s="13" t="s">
        <v>180</v>
      </c>
      <c r="C9" s="433" t="str">
        <f>B27</f>
        <v>Gabriel Velloso</v>
      </c>
      <c r="D9" s="25" t="str">
        <f>B28</f>
        <v>Alex Abrantes</v>
      </c>
      <c r="E9" s="26">
        <v>10</v>
      </c>
      <c r="F9" s="27">
        <v>18</v>
      </c>
      <c r="G9" s="15" t="str">
        <f>B30</f>
        <v>David Aitkens</v>
      </c>
      <c r="H9" s="15"/>
      <c r="I9" s="15"/>
      <c r="J9" s="15"/>
      <c r="K9" s="16" t="str">
        <f>B31</f>
        <v>Bruno Soares</v>
      </c>
      <c r="L9" s="13">
        <f>IF(OR(Games_11[[#This Row],[SCORE 1]]="",Games_11[[#This Row],[SCORE 2]]=""),"",Games_11[[#This Row],[SCORE 1]]-Games_11[[#This Row],[SCORE 2]])</f>
        <v>-8</v>
      </c>
      <c r="M9" s="13">
        <f>IF(OR(Games_11[[#This Row],[SCORE 1]]="",Games_11[[#This Row],[SCORE 2]]=""),"",Games_11[[#This Row],[SCORE 2]]-Games_11[[#This Row],[SCORE 1]])</f>
        <v>8</v>
      </c>
      <c r="N9" s="13">
        <f>IF(Games_11[[#This Row],[SCORE 1]]="","",Games_11[[#This Row],[SCORE 1]])</f>
        <v>10</v>
      </c>
      <c r="O9" s="13">
        <f>IF(Games_11[[#This Row],[SCORE 2]]="","",Games_11[[#This Row],[SCORE 2]])</f>
        <v>18</v>
      </c>
      <c r="P9" s="13" t="str">
        <f>IF(OR(Games_11[[#This Row],[SCORE 1]]="",Games_11[[#This Row],[SCORE 2]]=""),"",IF(Games_11[[#This Row],[SALDO 12]]&gt;0, "WIN","LOSE"))</f>
        <v>LOSE</v>
      </c>
      <c r="Q9" s="13" t="str">
        <f>IF(OR(Games_11[[#This Row],[SCORE 1]]="",Games_11[[#This Row],[SCORE 2]]=""),"",IF(Games_11[[#This Row],[SALDO 34]]&gt;0, "WIN","LOSE"))</f>
        <v>WIN</v>
      </c>
      <c r="S9" s="2" t="str">
        <f>IF($L$31="","",_xlfn.XLOOKUP(Table15722354466784681112[[#This Row],[Rank]],$K$20:$K$38,$J$20:$J$38))</f>
        <v>Renan Guiot</v>
      </c>
      <c r="T9" s="2" t="s">
        <v>37</v>
      </c>
    </row>
    <row r="10" spans="1:20">
      <c r="A10" s="550"/>
      <c r="B10" s="13" t="s">
        <v>181</v>
      </c>
      <c r="C10" s="433" t="str">
        <f>B34</f>
        <v>Thomas Zahn</v>
      </c>
      <c r="D10" s="25" t="str">
        <f>B35</f>
        <v>Daniel Gaspar</v>
      </c>
      <c r="E10" s="26">
        <v>8</v>
      </c>
      <c r="F10" s="27">
        <v>18</v>
      </c>
      <c r="G10" s="15" t="str">
        <f>B37</f>
        <v>Eduardo Ferreira</v>
      </c>
      <c r="H10" s="15"/>
      <c r="I10" s="15"/>
      <c r="J10" s="15"/>
      <c r="K10" s="16" t="str">
        <f>B38</f>
        <v>João Barreto</v>
      </c>
      <c r="L10" s="13">
        <f>IF(OR(Games_11[[#This Row],[SCORE 1]]="",Games_11[[#This Row],[SCORE 2]]=""),"",Games_11[[#This Row],[SCORE 1]]-Games_11[[#This Row],[SCORE 2]])</f>
        <v>-10</v>
      </c>
      <c r="M10" s="13">
        <f>IF(OR(Games_11[[#This Row],[SCORE 1]]="",Games_11[[#This Row],[SCORE 2]]=""),"",Games_11[[#This Row],[SCORE 2]]-Games_11[[#This Row],[SCORE 1]])</f>
        <v>10</v>
      </c>
      <c r="N10" s="13">
        <f>IF(Games_11[[#This Row],[SCORE 1]]="","",Games_11[[#This Row],[SCORE 1]])</f>
        <v>8</v>
      </c>
      <c r="O10" s="13">
        <f>IF(Games_11[[#This Row],[SCORE 2]]="","",Games_11[[#This Row],[SCORE 2]])</f>
        <v>18</v>
      </c>
      <c r="P10" s="13" t="str">
        <f>IF(OR(Games_11[[#This Row],[SCORE 1]]="",Games_11[[#This Row],[SCORE 2]]=""),"",IF(Games_11[[#This Row],[SALDO 12]]&gt;0, "WIN","LOSE"))</f>
        <v>LOSE</v>
      </c>
      <c r="Q10" s="13" t="str">
        <f>IF(OR(Games_11[[#This Row],[SCORE 1]]="",Games_11[[#This Row],[SCORE 2]]=""),"",IF(Games_11[[#This Row],[SALDO 34]]&gt;0, "WIN","LOSE"))</f>
        <v>WIN</v>
      </c>
      <c r="S10" s="2" t="str">
        <f>IF($L$31="","",_xlfn.XLOOKUP(Table15722354466784681112[[#This Row],[Rank]],$K$20:$K$38,$J$20:$J$38))</f>
        <v>David Aitkens</v>
      </c>
      <c r="T10" s="2" t="s">
        <v>41</v>
      </c>
    </row>
    <row r="11" spans="1:20">
      <c r="A11" s="550"/>
      <c r="B11" s="13" t="s">
        <v>178</v>
      </c>
      <c r="C11" s="433" t="str">
        <f>B20</f>
        <v>Guilherme Nascimento</v>
      </c>
      <c r="D11" s="25" t="str">
        <f>B24</f>
        <v>Bruno Montini</v>
      </c>
      <c r="E11" s="26">
        <v>20</v>
      </c>
      <c r="F11" s="27">
        <v>22</v>
      </c>
      <c r="G11" s="15" t="str">
        <f>B22</f>
        <v>Gabriel Bugao</v>
      </c>
      <c r="H11" s="15"/>
      <c r="I11" s="15"/>
      <c r="J11" s="15"/>
      <c r="K11" s="16" t="str">
        <f>B23</f>
        <v>Thyago Henrique</v>
      </c>
      <c r="L11" s="13">
        <f>IF(OR(Games_11[[#This Row],[SCORE 1]]="",Games_11[[#This Row],[SCORE 2]]=""),"",Games_11[[#This Row],[SCORE 1]]-Games_11[[#This Row],[SCORE 2]])</f>
        <v>-2</v>
      </c>
      <c r="M11" s="13">
        <f>IF(OR(Games_11[[#This Row],[SCORE 1]]="",Games_11[[#This Row],[SCORE 2]]=""),"",Games_11[[#This Row],[SCORE 2]]-Games_11[[#This Row],[SCORE 1]])</f>
        <v>2</v>
      </c>
      <c r="N11" s="13">
        <f>IF(Games_11[[#This Row],[SCORE 1]]="","",Games_11[[#This Row],[SCORE 1]])</f>
        <v>20</v>
      </c>
      <c r="O11" s="13">
        <f>IF(Games_11[[#This Row],[SCORE 2]]="","",Games_11[[#This Row],[SCORE 2]])</f>
        <v>22</v>
      </c>
      <c r="P11" s="13" t="str">
        <f>IF(OR(Games_11[[#This Row],[SCORE 1]]="",Games_11[[#This Row],[SCORE 2]]=""),"",IF(Games_11[[#This Row],[SALDO 12]]&gt;0, "WIN","LOSE"))</f>
        <v>LOSE</v>
      </c>
      <c r="Q11" s="13" t="str">
        <f>IF(OR(Games_11[[#This Row],[SCORE 1]]="",Games_11[[#This Row],[SCORE 2]]=""),"",IF(Games_11[[#This Row],[SALDO 34]]&gt;0, "WIN","LOSE"))</f>
        <v>WIN</v>
      </c>
      <c r="S11" s="2" t="str" cm="1">
        <f t="array" ref="S11">IF(COUNTBLANK(Games_11[[SCORE 1]:[SCORE 2]])=0,_xlfn.TEXTJOIN(", ", TRUE, _xlfn._xlws.FILTER($J$20:$J$38, $K$20:$K$38=T11, "")),"")</f>
        <v>Thyago Henrique</v>
      </c>
      <c r="T11" s="2" t="s">
        <v>44</v>
      </c>
    </row>
    <row r="12" spans="1:20">
      <c r="A12" s="550"/>
      <c r="B12" s="13" t="s">
        <v>180</v>
      </c>
      <c r="C12" s="433" t="str">
        <f>B27</f>
        <v>Gabriel Velloso</v>
      </c>
      <c r="D12" s="25" t="str">
        <f>B31</f>
        <v>Bruno Soares</v>
      </c>
      <c r="E12" s="26">
        <v>9</v>
      </c>
      <c r="F12" s="27">
        <v>18</v>
      </c>
      <c r="G12" s="15" t="str">
        <f>B29</f>
        <v>Pedro Nagib</v>
      </c>
      <c r="H12" s="15"/>
      <c r="I12" s="15"/>
      <c r="J12" s="15"/>
      <c r="K12" s="16" t="str">
        <f>B30</f>
        <v>David Aitkens</v>
      </c>
      <c r="L12" s="13">
        <f>IF(OR(Games_11[[#This Row],[SCORE 1]]="",Games_11[[#This Row],[SCORE 2]]=""),"",Games_11[[#This Row],[SCORE 1]]-Games_11[[#This Row],[SCORE 2]])</f>
        <v>-9</v>
      </c>
      <c r="M12" s="13">
        <f>IF(OR(Games_11[[#This Row],[SCORE 1]]="",Games_11[[#This Row],[SCORE 2]]=""),"",Games_11[[#This Row],[SCORE 2]]-Games_11[[#This Row],[SCORE 1]])</f>
        <v>9</v>
      </c>
      <c r="N12" s="13">
        <f>IF(Games_11[[#This Row],[SCORE 1]]="","",Games_11[[#This Row],[SCORE 1]])</f>
        <v>9</v>
      </c>
      <c r="O12" s="13">
        <f>IF(Games_11[[#This Row],[SCORE 2]]="","",Games_11[[#This Row],[SCORE 2]])</f>
        <v>18</v>
      </c>
      <c r="P12" s="13" t="str">
        <f>IF(OR(Games_11[[#This Row],[SCORE 1]]="",Games_11[[#This Row],[SCORE 2]]=""),"",IF(Games_11[[#This Row],[SALDO 12]]&gt;0, "WIN","LOSE"))</f>
        <v>LOSE</v>
      </c>
      <c r="Q12" s="13" t="str">
        <f>IF(OR(Games_11[[#This Row],[SCORE 1]]="",Games_11[[#This Row],[SCORE 2]]=""),"",IF(Games_11[[#This Row],[SALDO 34]]&gt;0, "WIN","LOSE"))</f>
        <v>WIN</v>
      </c>
      <c r="S12" s="2" t="str" cm="1">
        <f t="array" ref="S12">IF(COUNTBLANK(Games_11[[SCORE 1]:[SCORE 2]])=0,_xlfn.TEXTJOIN(", ", TRUE, _xlfn._xlws.FILTER($J$20:$J$38, $K$20:$K$38=T12, "")),"")</f>
        <v>Daniel Gaspar</v>
      </c>
      <c r="T12" s="2" t="s">
        <v>39</v>
      </c>
    </row>
    <row r="13" spans="1:20">
      <c r="A13" s="550"/>
      <c r="B13" s="13" t="s">
        <v>181</v>
      </c>
      <c r="C13" s="433" t="str">
        <f>B34</f>
        <v>Thomas Zahn</v>
      </c>
      <c r="D13" s="25" t="str">
        <f>B38</f>
        <v>João Barreto</v>
      </c>
      <c r="E13" s="26">
        <v>18</v>
      </c>
      <c r="F13" s="27">
        <v>20</v>
      </c>
      <c r="G13" s="15" t="str">
        <f>B36</f>
        <v>Bernardo Trotta</v>
      </c>
      <c r="H13" s="15"/>
      <c r="I13" s="15"/>
      <c r="J13" s="15"/>
      <c r="K13" s="16" t="str">
        <f>B37</f>
        <v>Eduardo Ferreira</v>
      </c>
      <c r="L13" s="13">
        <f>IF(OR(Games_11[[#This Row],[SCORE 1]]="",Games_11[[#This Row],[SCORE 2]]=""),"",Games_11[[#This Row],[SCORE 1]]-Games_11[[#This Row],[SCORE 2]])</f>
        <v>-2</v>
      </c>
      <c r="M13" s="13">
        <f>IF(OR(Games_11[[#This Row],[SCORE 1]]="",Games_11[[#This Row],[SCORE 2]]=""),"",Games_11[[#This Row],[SCORE 2]]-Games_11[[#This Row],[SCORE 1]])</f>
        <v>2</v>
      </c>
      <c r="N13" s="13">
        <f>IF(Games_11[[#This Row],[SCORE 1]]="","",Games_11[[#This Row],[SCORE 1]])</f>
        <v>18</v>
      </c>
      <c r="O13" s="13">
        <f>IF(Games_11[[#This Row],[SCORE 2]]="","",Games_11[[#This Row],[SCORE 2]])</f>
        <v>20</v>
      </c>
      <c r="P13" s="13" t="str">
        <f>IF(OR(Games_11[[#This Row],[SCORE 1]]="",Games_11[[#This Row],[SCORE 2]]=""),"",IF(Games_11[[#This Row],[SALDO 12]]&gt;0, "WIN","LOSE"))</f>
        <v>LOSE</v>
      </c>
      <c r="Q13" s="13" t="str">
        <f>IF(OR(Games_11[[#This Row],[SCORE 1]]="",Games_11[[#This Row],[SCORE 2]]=""),"",IF(Games_11[[#This Row],[SALDO 34]]&gt;0, "WIN","LOSE"))</f>
        <v>WIN</v>
      </c>
      <c r="S13" s="2" t="str" cm="1">
        <f t="array" ref="S13">IF(COUNTBLANK(Games_11[[SCORE 1]:[SCORE 2]])=0,_xlfn.TEXTJOIN(", ", TRUE, _xlfn._xlws.FILTER($J$20:$J$38, $K$20:$K$38=T13, "")),"")</f>
        <v>Alex Abrantes</v>
      </c>
      <c r="T13" s="2" t="s">
        <v>49</v>
      </c>
    </row>
    <row r="14" spans="1:20">
      <c r="A14" s="550"/>
      <c r="B14" s="13" t="s">
        <v>178</v>
      </c>
      <c r="C14" s="433" t="str">
        <f>B22</f>
        <v>Gabriel Bugao</v>
      </c>
      <c r="D14" s="25" t="str">
        <f>B24</f>
        <v>Bruno Montini</v>
      </c>
      <c r="E14" s="26">
        <v>18</v>
      </c>
      <c r="F14" s="27">
        <v>16</v>
      </c>
      <c r="G14" s="15" t="str">
        <f>B21</f>
        <v>Renan Guiot</v>
      </c>
      <c r="H14" s="15"/>
      <c r="I14" s="15"/>
      <c r="J14" s="15"/>
      <c r="K14" s="16" t="str">
        <f>B23</f>
        <v>Thyago Henrique</v>
      </c>
      <c r="L14" s="13">
        <f>IF(OR(Games_11[[#This Row],[SCORE 1]]="",Games_11[[#This Row],[SCORE 2]]=""),"",Games_11[[#This Row],[SCORE 1]]-Games_11[[#This Row],[SCORE 2]])</f>
        <v>2</v>
      </c>
      <c r="M14" s="13">
        <f>IF(OR(Games_11[[#This Row],[SCORE 1]]="",Games_11[[#This Row],[SCORE 2]]=""),"",Games_11[[#This Row],[SCORE 2]]-Games_11[[#This Row],[SCORE 1]])</f>
        <v>-2</v>
      </c>
      <c r="N14" s="13">
        <f>IF(Games_11[[#This Row],[SCORE 1]]="","",Games_11[[#This Row],[SCORE 1]])</f>
        <v>18</v>
      </c>
      <c r="O14" s="13">
        <f>IF(Games_11[[#This Row],[SCORE 2]]="","",Games_11[[#This Row],[SCORE 2]])</f>
        <v>16</v>
      </c>
      <c r="P14" s="13" t="str">
        <f>IF(OR(Games_11[[#This Row],[SCORE 1]]="",Games_11[[#This Row],[SCORE 2]]=""),"",IF(Games_11[[#This Row],[SALDO 12]]&gt;0, "WIN","LOSE"))</f>
        <v>WIN</v>
      </c>
      <c r="Q14" s="13" t="str">
        <f>IF(OR(Games_11[[#This Row],[SCORE 1]]="",Games_11[[#This Row],[SCORE 2]]=""),"",IF(Games_11[[#This Row],[SALDO 34]]&gt;0, "WIN","LOSE"))</f>
        <v>LOSE</v>
      </c>
      <c r="S14" s="2" t="str" cm="1">
        <f t="array" ref="S14">IF(COUNTBLANK(Games_11[[SCORE 1]:[SCORE 2]])=0,_xlfn.TEXTJOIN(", ", TRUE, _xlfn._xlws.FILTER($J$20:$J$38, $K$20:$K$38=T14, "")),"")</f>
        <v>Thomas Zahn</v>
      </c>
      <c r="T14" s="2" t="s">
        <v>51</v>
      </c>
    </row>
    <row r="15" spans="1:20">
      <c r="A15" s="550"/>
      <c r="B15" s="13" t="s">
        <v>180</v>
      </c>
      <c r="C15" s="433" t="str">
        <f>B29</f>
        <v>Pedro Nagib</v>
      </c>
      <c r="D15" s="25" t="str">
        <f>B31</f>
        <v>Bruno Soares</v>
      </c>
      <c r="E15" s="26">
        <v>18</v>
      </c>
      <c r="F15" s="27">
        <v>5</v>
      </c>
      <c r="G15" s="15" t="str">
        <f>B28</f>
        <v>Alex Abrantes</v>
      </c>
      <c r="H15" s="15"/>
      <c r="I15" s="15"/>
      <c r="J15" s="15"/>
      <c r="K15" s="16" t="str">
        <f>B30</f>
        <v>David Aitkens</v>
      </c>
      <c r="L15" s="13">
        <f>IF(OR(Games_11[[#This Row],[SCORE 1]]="",Games_11[[#This Row],[SCORE 2]]=""),"",Games_11[[#This Row],[SCORE 1]]-Games_11[[#This Row],[SCORE 2]])</f>
        <v>13</v>
      </c>
      <c r="M15" s="13">
        <f>IF(OR(Games_11[[#This Row],[SCORE 1]]="",Games_11[[#This Row],[SCORE 2]]=""),"",Games_11[[#This Row],[SCORE 2]]-Games_11[[#This Row],[SCORE 1]])</f>
        <v>-13</v>
      </c>
      <c r="N15" s="13">
        <f>IF(Games_11[[#This Row],[SCORE 1]]="","",Games_11[[#This Row],[SCORE 1]])</f>
        <v>18</v>
      </c>
      <c r="O15" s="13">
        <f>IF(Games_11[[#This Row],[SCORE 2]]="","",Games_11[[#This Row],[SCORE 2]])</f>
        <v>5</v>
      </c>
      <c r="P15" s="13" t="str">
        <f>IF(OR(Games_11[[#This Row],[SCORE 1]]="",Games_11[[#This Row],[SCORE 2]]=""),"",IF(Games_11[[#This Row],[SALDO 12]]&gt;0, "WIN","LOSE"))</f>
        <v>WIN</v>
      </c>
      <c r="Q15" s="13" t="str">
        <f>IF(OR(Games_11[[#This Row],[SCORE 1]]="",Games_11[[#This Row],[SCORE 2]]=""),"",IF(Games_11[[#This Row],[SALDO 34]]&gt;0, "WIN","LOSE"))</f>
        <v>LOSE</v>
      </c>
      <c r="S15" s="2" t="str" cm="1">
        <f t="array" ref="S15">IF(COUNTBLANK(Games_11[[SCORE 1]:[SCORE 2]])=0,_xlfn.TEXTJOIN(", ", TRUE, _xlfn._xlws.FILTER($J$20:$J$38, $K$20:$K$38=T15, "")),"")</f>
        <v>Bernardo Trotta</v>
      </c>
      <c r="T15" s="2" t="s">
        <v>47</v>
      </c>
    </row>
    <row r="16" spans="1:20">
      <c r="A16" s="550"/>
      <c r="B16" s="429" t="s">
        <v>181</v>
      </c>
      <c r="C16" s="433" t="str">
        <f>B36</f>
        <v>Bernardo Trotta</v>
      </c>
      <c r="D16" s="25" t="str">
        <f>B38</f>
        <v>João Barreto</v>
      </c>
      <c r="E16" s="82">
        <v>14</v>
      </c>
      <c r="F16" s="83">
        <v>18</v>
      </c>
      <c r="G16" s="84" t="str">
        <f>B35</f>
        <v>Daniel Gaspar</v>
      </c>
      <c r="H16" s="84"/>
      <c r="I16" s="84"/>
      <c r="J16" s="84"/>
      <c r="K16" s="22" t="str">
        <f>B37</f>
        <v>Eduardo Ferreira</v>
      </c>
      <c r="L16" s="429">
        <f>IF(OR(Games_11[[#This Row],[SCORE 1]]="",Games_11[[#This Row],[SCORE 2]]=""),"",Games_11[[#This Row],[SCORE 1]]-Games_11[[#This Row],[SCORE 2]])</f>
        <v>-4</v>
      </c>
      <c r="M16" s="429">
        <f>IF(OR(Games_11[[#This Row],[SCORE 1]]="",Games_11[[#This Row],[SCORE 2]]=""),"",Games_11[[#This Row],[SCORE 2]]-Games_11[[#This Row],[SCORE 1]])</f>
        <v>4</v>
      </c>
      <c r="N16" s="429">
        <f>IF(Games_11[[#This Row],[SCORE 1]]="","",Games_11[[#This Row],[SCORE 1]])</f>
        <v>14</v>
      </c>
      <c r="O16" s="429">
        <f>IF(Games_11[[#This Row],[SCORE 2]]="","",Games_11[[#This Row],[SCORE 2]])</f>
        <v>18</v>
      </c>
      <c r="P16" s="429" t="str">
        <f>IF(OR(Games_11[[#This Row],[SCORE 1]]="",Games_11[[#This Row],[SCORE 2]]=""),"",IF(Games_11[[#This Row],[SALDO 12]]&gt;0, "WIN","LOSE"))</f>
        <v>LOSE</v>
      </c>
      <c r="Q16" s="429" t="str">
        <f>IF(OR(Games_11[[#This Row],[SCORE 1]]="",Games_11[[#This Row],[SCORE 2]]=""),"",IF(Games_11[[#This Row],[SALDO 34]]&gt;0, "WIN","LOSE"))</f>
        <v>WIN</v>
      </c>
      <c r="S16" s="2" t="str" cm="1">
        <f t="array" ref="S16">IF(COUNTBLANK(Games_11[[SCORE 1]:[SCORE 2]])=0,_xlfn.TEXTJOIN(", ", TRUE, _xlfn._xlws.FILTER($J$20:$J$38, $K$20:$K$38=T16, "")),"")</f>
        <v>Guilherme Nascimento</v>
      </c>
      <c r="T16" s="2" t="s">
        <v>57</v>
      </c>
    </row>
    <row r="17" spans="1:20" ht="30" customHeight="1">
      <c r="S17" s="2" t="str" cm="1">
        <f t="array" ref="S17">IF(COUNTBLANK(Games_11[[SCORE 1]:[SCORE 2]])=0,_xlfn.TEXTJOIN(", ", TRUE, _xlfn._xlws.FILTER($J$20:$J$38, $K$20:$K$38=T17, "")),"")</f>
        <v>Gabriel Velloso</v>
      </c>
      <c r="T17" s="2" t="s">
        <v>60</v>
      </c>
    </row>
    <row r="18" spans="1:20" ht="30" customHeight="1">
      <c r="A18" s="546" t="s">
        <v>182</v>
      </c>
      <c r="B18" s="547"/>
      <c r="C18" s="547"/>
      <c r="D18" s="547"/>
      <c r="E18" s="547"/>
      <c r="F18" s="547"/>
      <c r="G18" s="547"/>
      <c r="H18" s="420"/>
      <c r="I18" s="420"/>
      <c r="J18" s="420"/>
      <c r="L18" s="548" t="s">
        <v>183</v>
      </c>
      <c r="M18" s="549"/>
      <c r="N18" s="549"/>
      <c r="O18" s="549"/>
      <c r="P18" s="549"/>
      <c r="Q18" s="549"/>
    </row>
    <row r="19" spans="1:20" ht="15.95">
      <c r="A19" s="6" t="s">
        <v>184</v>
      </c>
      <c r="B19" s="7" t="s">
        <v>185</v>
      </c>
      <c r="C19" s="7" t="s">
        <v>186</v>
      </c>
      <c r="D19" s="7" t="s">
        <v>187</v>
      </c>
      <c r="E19" s="7" t="s">
        <v>188</v>
      </c>
      <c r="F19" s="7" t="s">
        <v>189</v>
      </c>
      <c r="G19" s="7" t="s">
        <v>8</v>
      </c>
      <c r="H19" s="80" t="s">
        <v>190</v>
      </c>
      <c r="I19" s="20" t="s">
        <v>191</v>
      </c>
      <c r="J19" s="20" t="s">
        <v>1</v>
      </c>
      <c r="K19" s="20" t="s">
        <v>192</v>
      </c>
      <c r="L19" s="418" t="s">
        <v>193</v>
      </c>
      <c r="M19" s="418" t="s">
        <v>194</v>
      </c>
      <c r="N19" s="542" t="s">
        <v>195</v>
      </c>
      <c r="O19" s="543"/>
      <c r="P19" s="418" t="s">
        <v>196</v>
      </c>
      <c r="Q19" s="418" t="s">
        <v>197</v>
      </c>
    </row>
    <row r="20" spans="1:20">
      <c r="A20" s="4" t="s">
        <v>178</v>
      </c>
      <c r="B20" s="29" t="s">
        <v>50</v>
      </c>
      <c r="C20" s="14">
        <f>SUM(COUNTIFS(Games_11[ATHLETE 1],Analysis_22[[#This Row],[Atheletes ]],Games_11[RESULT 12],"win"),COUNTIFS(Games_11[ATHLETE 2],Analysis_22[[#This Row],[Atheletes ]],Games_11[RESULT 12],"win"),COUNTIFS(Games_11[ATHLETE 3],Analysis_22[[#This Row],[Atheletes ]],Games_11[RESULT 34],"win"),COUNTIFS(Games_11[ATHLETE 4],Analysis_22[[#This Row],[Atheletes ]],Games_11[RESULT 34],"win"))</f>
        <v>0</v>
      </c>
      <c r="D20" s="14">
        <f>SUM(COUNTIFS(Games_11[ATHLETE 1],Analysis_22[[#This Row],[Atheletes ]],Games_11[RESULT 12],"lose"),COUNTIFS(Games_11[ATHLETE 2],Analysis_22[[#This Row],[Atheletes ]],Games_11[RESULT 12],"lose"),COUNTIFS(Games_11[ATHLETE 3],Analysis_22[[#This Row],[Atheletes ]],Games_11[RESULT 34],"lose"),COUNTIFS(Games_11[ATHLETE 4],Analysis_22[[#This Row],[Atheletes ]],Games_11[RESULT 34],"lose"))</f>
        <v>4</v>
      </c>
      <c r="E20" s="19">
        <f>SUM(SUMIF(Games_11[ATHLETE 1],Analysis_22[[#This Row],[Atheletes ]],Games_11[SALDO 12]),SUMIF(Games_11[ATHLETE 2],Analysis_22[[#This Row],[Atheletes ]],Games_11[SALDO 12]),SUMIF(Games_11[ATHLETE 3],Analysis_22[[#This Row],[Atheletes ]],Games_11[SALDO 34]),SUMIF(Games_11[ATHLETE 4],Analysis_22[[#This Row],[Atheletes ]],Games_11[SALDO 34]))</f>
        <v>-22</v>
      </c>
      <c r="F20" s="19">
        <f>SUM(SUMIF(Games_11[ATHLETE 1],Analysis_22[[#This Row],[Atheletes ]],Games_11[PM 12]),SUMIF(Games_11[ATHLETE 2],Analysis_22[[#This Row],[Atheletes ]],Games_11[PM 12]),SUMIF(Games_11[ATHLETE 3],Analysis_22[[#This Row],[Atheletes ]],Games_11[PM 34]),SUMIF(Games_11[ATHLETE 4],Analysis_22[[#This Row],[Atheletes ]],Games_11[PM 34]))</f>
        <v>54</v>
      </c>
      <c r="G20" s="14" t="str">
        <f>IF(COUNTBLANK(Games_11[[SCORE 1]:[SCORE 2]])=0,IF(RANK(H20,$H$20:$H$24)=1,RANK(H20,$H$20:$H$24)&amp;"st",IF(RANK(H20,$H$20:$H$24)=2,RANK(H20,$H$20:$H$24)&amp;"nd",IF(RANK(H20,$H$20:$H$24)=3,RANK(H20,$H$20:$H$24)&amp;"rd",RANK(H20,$H$20:$H$24)&amp;"th"))),"")</f>
        <v>5th</v>
      </c>
      <c r="H20" s="51">
        <f>Analysis_22[[#This Row],[WIN]]*1000000+Analysis_22[[#This Row],[Saldo]]*1000+Analysis_22[[#This Row],[PM]]</f>
        <v>-21946</v>
      </c>
      <c r="I20" s="56">
        <f>H20</f>
        <v>-21946</v>
      </c>
      <c r="J20" s="56" t="str">
        <f>Analysis_22[[#This Row],[Atheletes ]]</f>
        <v>Guilherme Nascimento</v>
      </c>
      <c r="K20" s="56" t="str">
        <f>IF(RANK(I20,$I$20:$I$38)=1,RANK(I20,$I$20:$I$38)&amp;"st",IF(RANK(I20,$I$20:$I$38)=2,RANK(I20,$I$20:$I$38)&amp;"nd",IF(RANK(I20,$I$20:$I$38)=3,RANK(I20,$I$20:$I$38)&amp;"rd",RANK(I20,$I$20:$I$38)&amp;"th")))</f>
        <v>14th</v>
      </c>
      <c r="L20" s="8" t="str" cm="1">
        <f t="array" ref="L20">IF(COUNTBLANK(Games_11[[SCORE 1]:[SCORE 2]])=0,_xlfn.TEXTJOIN(", ", TRUE, _xlfn._xlws.FILTER($J$20:$J$38, $K$20:$K$38=T3,"")),"")</f>
        <v>Eduardo Ferreira</v>
      </c>
      <c r="M20" s="131" t="str">
        <f>B38</f>
        <v>João Barreto</v>
      </c>
      <c r="N20" s="98">
        <v>18</v>
      </c>
      <c r="O20" s="132">
        <v>11</v>
      </c>
      <c r="P20" s="131" t="str">
        <f>B22</f>
        <v>Gabriel Bugao</v>
      </c>
      <c r="Q20" s="131" t="str">
        <f>B21</f>
        <v>Renan Guiot</v>
      </c>
    </row>
    <row r="21" spans="1:20">
      <c r="A21" s="3" t="s">
        <v>178</v>
      </c>
      <c r="B21" s="29" t="s">
        <v>38</v>
      </c>
      <c r="C21" s="14">
        <f>SUM(COUNTIFS(Games_11[ATHLETE 1],Analysis_22[[#This Row],[Atheletes ]],Games_11[RESULT 12],"win"),COUNTIFS(Games_11[ATHLETE 2],Analysis_22[[#This Row],[Atheletes ]],Games_11[RESULT 12],"win"),COUNTIFS(Games_11[ATHLETE 3],Analysis_22[[#This Row],[Atheletes ]],Games_11[RESULT 34],"win"),COUNTIFS(Games_11[ATHLETE 4],Analysis_22[[#This Row],[Atheletes ]],Games_11[RESULT 34],"win"))</f>
        <v>2</v>
      </c>
      <c r="D21" s="14">
        <f>SUM(COUNTIFS(Games_11[ATHLETE 1],Analysis_22[[#This Row],[Atheletes ]],Games_11[RESULT 12],"lose"),COUNTIFS(Games_11[ATHLETE 2],Analysis_22[[#This Row],[Atheletes ]],Games_11[RESULT 12],"lose"),COUNTIFS(Games_11[ATHLETE 3],Analysis_22[[#This Row],[Atheletes ]],Games_11[RESULT 34],"lose"),COUNTIFS(Games_11[ATHLETE 4],Analysis_22[[#This Row],[Atheletes ]],Games_11[RESULT 34],"lose"))</f>
        <v>2</v>
      </c>
      <c r="E21" s="19">
        <f>SUM(SUMIF(Games_11[ATHLETE 1],Analysis_22[[#This Row],[Atheletes ]],Games_11[SALDO 12]),SUMIF(Games_11[ATHLETE 2],Analysis_22[[#This Row],[Atheletes ]],Games_11[SALDO 12]),SUMIF(Games_11[ATHLETE 3],Analysis_22[[#This Row],[Atheletes ]],Games_11[SALDO 34]),SUMIF(Games_11[ATHLETE 4],Analysis_22[[#This Row],[Atheletes ]],Games_11[SALDO 34]))</f>
        <v>4</v>
      </c>
      <c r="F21" s="19">
        <f>SUM(SUMIF(Games_11[ATHLETE 1],Analysis_22[[#This Row],[Atheletes ]],Games_11[PM 12]),SUMIF(Games_11[ATHLETE 2],Analysis_22[[#This Row],[Atheletes ]],Games_11[PM 12]),SUMIF(Games_11[ATHLETE 3],Analysis_22[[#This Row],[Atheletes ]],Games_11[PM 34]),SUMIF(Games_11[ATHLETE 4],Analysis_22[[#This Row],[Atheletes ]],Games_11[PM 34]))</f>
        <v>63</v>
      </c>
      <c r="G21" s="14" t="str">
        <f>IF(COUNTBLANK(Games_11[[SCORE 1]:[SCORE 2]])=0,IF(RANK(H21,$H$20:$H$24)=1,RANK(H21,$H$20:$H$24)&amp;"st",IF(RANK(H21,$H$20:$H$24)=2,RANK(H21,$H$20:$H$24)&amp;"nd",IF(RANK(H21,$H$20:$H$24)=3,RANK(H21,$H$20:$H$24)&amp;"rd",RANK(H21,$H$20:$H$24)&amp;"th"))),"")</f>
        <v>3rd</v>
      </c>
      <c r="H21" s="51">
        <f>Analysis_22[[#This Row],[WIN]]*1000000+Analysis_22[[#This Row],[Saldo]]*1000+Analysis_22[[#This Row],[PM]]</f>
        <v>2004063</v>
      </c>
      <c r="I21" s="56">
        <f t="shared" ref="I21:I24" si="0">H21</f>
        <v>2004063</v>
      </c>
      <c r="J21" s="56" t="str">
        <f>Analysis_22[[#This Row],[Atheletes ]]</f>
        <v>Renan Guiot</v>
      </c>
      <c r="K21" s="56" t="str">
        <f>IF(RANK(I21,$I$20:$I$38)=1,RANK(I21,$I$20:$I$38)&amp;"st",IF(RANK(I21,$I$20:$I$38)=2,RANK(I21,$I$20:$I$38)&amp;"nd",IF(RANK(I21,$I$20:$I$38)=3,RANK(I21,$I$20:$I$38)&amp;"rd",RANK(I21,$I$20:$I$38)&amp;"th")))</f>
        <v>7th</v>
      </c>
      <c r="R21" s="17"/>
    </row>
    <row r="22" spans="1:20">
      <c r="A22" s="3" t="s">
        <v>178</v>
      </c>
      <c r="B22" s="29" t="s">
        <v>42</v>
      </c>
      <c r="C22" s="14">
        <f>SUM(COUNTIFS(Games_11[ATHLETE 1],Analysis_22[[#This Row],[Atheletes ]],Games_11[RESULT 12],"win"),COUNTIFS(Games_11[ATHLETE 2],Analysis_22[[#This Row],[Atheletes ]],Games_11[RESULT 12],"win"),COUNTIFS(Games_11[ATHLETE 3],Analysis_22[[#This Row],[Atheletes ]],Games_11[RESULT 34],"win"),COUNTIFS(Games_11[ATHLETE 4],Analysis_22[[#This Row],[Atheletes ]],Games_11[RESULT 34],"win"))</f>
        <v>3</v>
      </c>
      <c r="D22" s="14">
        <f>SUM(COUNTIFS(Games_11[ATHLETE 1],Analysis_22[[#This Row],[Atheletes ]],Games_11[RESULT 12],"lose"),COUNTIFS(Games_11[ATHLETE 2],Analysis_22[[#This Row],[Atheletes ]],Games_11[RESULT 12],"lose"),COUNTIFS(Games_11[ATHLETE 3],Analysis_22[[#This Row],[Atheletes ]],Games_11[RESULT 34],"lose"),COUNTIFS(Games_11[ATHLETE 4],Analysis_22[[#This Row],[Atheletes ]],Games_11[RESULT 34],"lose"))</f>
        <v>1</v>
      </c>
      <c r="E22" s="19">
        <f>SUM(SUMIF(Games_11[ATHLETE 1],Analysis_22[[#This Row],[Atheletes ]],Games_11[SALDO 12]),SUMIF(Games_11[ATHLETE 2],Analysis_22[[#This Row],[Atheletes ]],Games_11[SALDO 12]),SUMIF(Games_11[ATHLETE 3],Analysis_22[[#This Row],[Atheletes ]],Games_11[SALDO 34]),SUMIF(Games_11[ATHLETE 4],Analysis_22[[#This Row],[Atheletes ]],Games_11[SALDO 34]))</f>
        <v>9</v>
      </c>
      <c r="F22" s="19">
        <f>SUM(SUMIF(Games_11[ATHLETE 1],Analysis_22[[#This Row],[Atheletes ]],Games_11[PM 12]),SUMIF(Games_11[ATHLETE 2],Analysis_22[[#This Row],[Atheletes ]],Games_11[PM 12]),SUMIF(Games_11[ATHLETE 3],Analysis_22[[#This Row],[Atheletes ]],Games_11[PM 34]),SUMIF(Games_11[ATHLETE 4],Analysis_22[[#This Row],[Atheletes ]],Games_11[PM 34]))</f>
        <v>72</v>
      </c>
      <c r="G22" s="14" t="str">
        <f>IF(COUNTBLANK(Games_11[[SCORE 1]:[SCORE 2]])=0,IF(RANK(H22,$H$20:$H$24)=1,RANK(H22,$H$20:$H$24)&amp;"st",IF(RANK(H22,$H$20:$H$24)=2,RANK(H22,$H$20:$H$24)&amp;"nd",IF(RANK(H22,$H$20:$H$24)=3,RANK(H22,$H$20:$H$24)&amp;"rd",RANK(H22,$H$20:$H$24)&amp;"th"))),"")</f>
        <v>2nd</v>
      </c>
      <c r="H22" s="51">
        <f>Analysis_22[[#This Row],[WIN]]*1000000+Analysis_22[[#This Row],[Saldo]]*1000+Analysis_22[[#This Row],[PM]]</f>
        <v>3009072</v>
      </c>
      <c r="I22" s="56">
        <f t="shared" si="0"/>
        <v>3009072</v>
      </c>
      <c r="J22" s="56" t="str">
        <f>Analysis_22[[#This Row],[Atheletes ]]</f>
        <v>Gabriel Bugao</v>
      </c>
      <c r="K22" s="56" t="str">
        <f>IF(RANK(I22,$I$20:$I$38)=1,RANK(I22,$I$20:$I$38)&amp;"st",IF(RANK(I22,$I$20:$I$38)=2,RANK(I22,$I$20:$I$38)&amp;"nd",IF(RANK(I22,$I$20:$I$38)=3,RANK(I22,$I$20:$I$38)&amp;"rd",RANK(I22,$I$20:$I$38)&amp;"th")))</f>
        <v>5th</v>
      </c>
    </row>
    <row r="23" spans="1:20" ht="15.95">
      <c r="A23" s="5" t="s">
        <v>178</v>
      </c>
      <c r="B23" s="29" t="s">
        <v>20</v>
      </c>
      <c r="C23" s="14">
        <f>SUM(COUNTIFS(Games_11[ATHLETE 1],Analysis_22[[#This Row],[Atheletes ]],Games_11[RESULT 12],"win"),COUNTIFS(Games_11[ATHLETE 2],Analysis_22[[#This Row],[Atheletes ]],Games_11[RESULT 12],"win"),COUNTIFS(Games_11[ATHLETE 3],Analysis_22[[#This Row],[Atheletes ]],Games_11[RESULT 34],"win"),COUNTIFS(Games_11[ATHLETE 4],Analysis_22[[#This Row],[Atheletes ]],Games_11[RESULT 34],"win"))</f>
        <v>2</v>
      </c>
      <c r="D23" s="14">
        <f>SUM(COUNTIFS(Games_11[ATHLETE 1],Analysis_22[[#This Row],[Atheletes ]],Games_11[RESULT 12],"lose"),COUNTIFS(Games_11[ATHLETE 2],Analysis_22[[#This Row],[Atheletes ]],Games_11[RESULT 12],"lose"),COUNTIFS(Games_11[ATHLETE 3],Analysis_22[[#This Row],[Atheletes ]],Games_11[RESULT 34],"lose"),COUNTIFS(Games_11[ATHLETE 4],Analysis_22[[#This Row],[Atheletes ]],Games_11[RESULT 34],"lose"))</f>
        <v>2</v>
      </c>
      <c r="E23" s="19">
        <f>SUM(SUMIF(Games_11[ATHLETE 1],Analysis_22[[#This Row],[Atheletes ]],Games_11[SALDO 12]),SUMIF(Games_11[ATHLETE 2],Analysis_22[[#This Row],[Atheletes ]],Games_11[SALDO 12]),SUMIF(Games_11[ATHLETE 3],Analysis_22[[#This Row],[Atheletes ]],Games_11[SALDO 34]),SUMIF(Games_11[ATHLETE 4],Analysis_22[[#This Row],[Atheletes ]],Games_11[SALDO 34]))</f>
        <v>-2</v>
      </c>
      <c r="F23" s="19">
        <f>SUM(SUMIF(Games_11[ATHLETE 1],Analysis_22[[#This Row],[Atheletes ]],Games_11[PM 12]),SUMIF(Games_11[ATHLETE 2],Analysis_22[[#This Row],[Atheletes ]],Games_11[PM 12]),SUMIF(Games_11[ATHLETE 3],Analysis_22[[#This Row],[Atheletes ]],Games_11[PM 34]),SUMIF(Games_11[ATHLETE 4],Analysis_22[[#This Row],[Atheletes ]],Games_11[PM 34]))</f>
        <v>65</v>
      </c>
      <c r="G23" s="14" t="str">
        <f>IF(COUNTBLANK(Games_11[[SCORE 1]:[SCORE 2]])=0,IF(RANK(H23,$H$20:$H$24)=1,RANK(H23,$H$20:$H$24)&amp;"st",IF(RANK(H23,$H$20:$H$24)=2,RANK(H23,$H$20:$H$24)&amp;"nd",IF(RANK(H23,$H$20:$H$24)=3,RANK(H23,$H$20:$H$24)&amp;"rd",RANK(H23,$H$20:$H$24)&amp;"th"))),"")</f>
        <v>4th</v>
      </c>
      <c r="H23" s="51">
        <f>Analysis_22[[#This Row],[WIN]]*1000000+Analysis_22[[#This Row],[Saldo]]*1000+Analysis_22[[#This Row],[PM]]</f>
        <v>1998065</v>
      </c>
      <c r="I23" s="56">
        <f t="shared" si="0"/>
        <v>1998065</v>
      </c>
      <c r="J23" s="56" t="str">
        <f>Analysis_22[[#This Row],[Atheletes ]]</f>
        <v>Thyago Henrique</v>
      </c>
      <c r="K23" s="56" t="str">
        <f>IF(RANK(I23,$I$20:$I$38)=1,RANK(I23,$I$20:$I$38)&amp;"st",IF(RANK(I23,$I$20:$I$38)=2,RANK(I23,$I$20:$I$38)&amp;"nd",IF(RANK(I23,$I$20:$I$38)=3,RANK(I23,$I$20:$I$38)&amp;"rd",RANK(I23,$I$20:$I$38)&amp;"th")))</f>
        <v>9th</v>
      </c>
    </row>
    <row r="24" spans="1:20">
      <c r="A24" s="3" t="s">
        <v>178</v>
      </c>
      <c r="B24" s="29" t="s">
        <v>17</v>
      </c>
      <c r="C24" s="14">
        <f>SUM(COUNTIFS(Games_11[ATHLETE 1],Analysis_22[[#This Row],[Atheletes ]],Games_11[RESULT 12],"win"),COUNTIFS(Games_11[ATHLETE 2],Analysis_22[[#This Row],[Atheletes ]],Games_11[RESULT 12],"win"),COUNTIFS(Games_11[ATHLETE 3],Analysis_22[[#This Row],[Atheletes ]],Games_11[RESULT 34],"win"),COUNTIFS(Games_11[ATHLETE 4],Analysis_22[[#This Row],[Atheletes ]],Games_11[RESULT 34],"win"))</f>
        <v>3</v>
      </c>
      <c r="D24" s="14">
        <f>SUM(COUNTIFS(Games_11[ATHLETE 1],Analysis_22[[#This Row],[Atheletes ]],Games_11[RESULT 12],"lose"),COUNTIFS(Games_11[ATHLETE 2],Analysis_22[[#This Row],[Atheletes ]],Games_11[RESULT 12],"lose"),COUNTIFS(Games_11[ATHLETE 3],Analysis_22[[#This Row],[Atheletes ]],Games_11[RESULT 34],"lose"),COUNTIFS(Games_11[ATHLETE 4],Analysis_22[[#This Row],[Atheletes ]],Games_11[RESULT 34],"lose"))</f>
        <v>1</v>
      </c>
      <c r="E24" s="19">
        <f>SUM(SUMIF(Games_11[ATHLETE 1],Analysis_22[[#This Row],[Atheletes ]],Games_11[SALDO 12]),SUMIF(Games_11[ATHLETE 2],Analysis_22[[#This Row],[Atheletes ]],Games_11[SALDO 12]),SUMIF(Games_11[ATHLETE 3],Analysis_22[[#This Row],[Atheletes ]],Games_11[SALDO 34]),SUMIF(Games_11[ATHLETE 4],Analysis_22[[#This Row],[Atheletes ]],Games_11[SALDO 34]))</f>
        <v>11</v>
      </c>
      <c r="F24" s="19">
        <f>SUM(SUMIF(Games_11[ATHLETE 1],Analysis_22[[#This Row],[Atheletes ]],Games_11[PM 12]),SUMIF(Games_11[ATHLETE 2],Analysis_22[[#This Row],[Atheletes ]],Games_11[PM 12]),SUMIF(Games_11[ATHLETE 3],Analysis_22[[#This Row],[Atheletes ]],Games_11[PM 34]),SUMIF(Games_11[ATHLETE 4],Analysis_22[[#This Row],[Atheletes ]],Games_11[PM 34]))</f>
        <v>74</v>
      </c>
      <c r="G24" s="14" t="str">
        <f>IF(COUNTBLANK(Games_11[[SCORE 1]:[SCORE 2]])=0,IF(RANK(H24,$H$20:$H$24)=1,RANK(H24,$H$20:$H$24)&amp;"st",IF(RANK(H24,$H$20:$H$24)=2,RANK(H24,$H$20:$H$24)&amp;"nd",IF(RANK(H24,$H$20:$H$24)=3,RANK(H24,$H$20:$H$24)&amp;"rd",RANK(H24,$H$20:$H$24)&amp;"th"))),"")</f>
        <v>1st</v>
      </c>
      <c r="H24" s="51">
        <f>Analysis_22[[#This Row],[WIN]]*1000000+Analysis_22[[#This Row],[Saldo]]*1000+Analysis_22[[#This Row],[PM]]</f>
        <v>3011074</v>
      </c>
      <c r="I24" s="56">
        <f t="shared" si="0"/>
        <v>3011074</v>
      </c>
      <c r="J24" s="56" t="str">
        <f>Analysis_22[[#This Row],[Atheletes ]]</f>
        <v>Bruno Montini</v>
      </c>
      <c r="K24" s="56" t="str">
        <f>IF(RANK(I24,$I$20:$I$38)=1,RANK(I24,$I$20:$I$38)&amp;"st",IF(RANK(I24,$I$20:$I$38)=2,RANK(I24,$I$20:$I$38)&amp;"nd",IF(RANK(I24,$I$20:$I$38)=3,RANK(I24,$I$20:$I$38)&amp;"rd",RANK(I24,$I$20:$I$38)&amp;"th")))</f>
        <v>4th</v>
      </c>
      <c r="L24" s="418" t="s">
        <v>193</v>
      </c>
      <c r="M24" s="418" t="s">
        <v>194</v>
      </c>
      <c r="N24" s="542" t="s">
        <v>195</v>
      </c>
      <c r="O24" s="543"/>
      <c r="P24" s="418" t="s">
        <v>196</v>
      </c>
      <c r="Q24" s="418" t="s">
        <v>197</v>
      </c>
      <c r="S24" s="90" t="s">
        <v>198</v>
      </c>
    </row>
    <row r="25" spans="1:20" ht="28.5" customHeight="1">
      <c r="L25" s="131" t="str">
        <f>B29</f>
        <v>Pedro Nagib</v>
      </c>
      <c r="M25" s="131" t="str">
        <f>B31</f>
        <v>Bruno Soares</v>
      </c>
      <c r="N25" s="98">
        <v>18</v>
      </c>
      <c r="O25" s="132">
        <v>12</v>
      </c>
      <c r="P25" s="131" t="str">
        <f>B24</f>
        <v>Bruno Montini</v>
      </c>
      <c r="Q25" s="131" t="str">
        <f>B30</f>
        <v>David Aitkens</v>
      </c>
    </row>
    <row r="26" spans="1:20" ht="15.95">
      <c r="A26" s="9" t="s">
        <v>184</v>
      </c>
      <c r="B26" s="10" t="s">
        <v>185</v>
      </c>
      <c r="C26" s="10" t="s">
        <v>186</v>
      </c>
      <c r="D26" s="10" t="s">
        <v>187</v>
      </c>
      <c r="E26" s="10" t="s">
        <v>188</v>
      </c>
      <c r="F26" s="10" t="s">
        <v>189</v>
      </c>
      <c r="G26" s="7" t="s">
        <v>8</v>
      </c>
      <c r="H26" s="78" t="s">
        <v>190</v>
      </c>
    </row>
    <row r="27" spans="1:20">
      <c r="A27" s="430" t="s">
        <v>180</v>
      </c>
      <c r="B27" s="29" t="s">
        <v>52</v>
      </c>
      <c r="C27" s="14">
        <f>SUM(COUNTIFS(Games_11[ATHLETE 1],Analsyis_23[[#This Row],[Atheletes ]],Games_11[RESULT 12],"win"),COUNTIFS(Games_11[ATHLETE 2],Analsyis_23[[#This Row],[Atheletes ]],Games_11[RESULT 12],"win"),COUNTIFS(Games_11[ATHLETE 3],Analsyis_23[[#This Row],[Atheletes ]],Games_11[RESULT 34],"win"),COUNTIFS(Games_11[ATHLETE 4],Analsyis_23[[#This Row],[Atheletes ]],Games_11[RESULT 34],"win"))</f>
        <v>0</v>
      </c>
      <c r="D27" s="14">
        <f>SUM(COUNTIFS(Games_11[ATHLETE 1],Analsyis_23[[#This Row],[Atheletes ]],Games_11[RESULT 12],"lose"),COUNTIFS(Games_11[ATHLETE 2],Analsyis_23[[#This Row],[Atheletes ]],Games_11[RESULT 12],"lose"),COUNTIFS(Games_11[ATHLETE 3],Analsyis_23[[#This Row],[Atheletes ]],Games_11[RESULT 34],"lose"),COUNTIFS(Games_11[ATHLETE 4],Analsyis_23[[#This Row],[Atheletes ]],Games_11[RESULT 34],"lose"))</f>
        <v>4</v>
      </c>
      <c r="E27" s="19">
        <f>SUM(SUMIF(Games_11[ATHLETE 1],Analsyis_23[[#This Row],[Atheletes ]],Games_11[SALDO 12]),SUMIF(Games_11[ATHLETE 2],Analsyis_23[[#This Row],[Atheletes ]],Games_11[SALDO 12]),SUMIF(Games_11[ATHLETE 3],Analsyis_23[[#This Row],[Atheletes ]],Games_11[SALDO 34]),SUMIF(Games_11[ATHLETE 4],Analsyis_23[[#This Row],[Atheletes ]],Games_11[SALDO 34]))</f>
        <v>-23</v>
      </c>
      <c r="F27" s="19">
        <f>SUM(SUMIF(Games_11[ATHLETE 1],Analsyis_23[[#This Row],[Atheletes ]],Games_11[PM 12]),SUMIF(Games_11[ATHLETE 2],Analsyis_23[[#This Row],[Atheletes ]],Games_11[PM 12]),SUMIF(Games_11[ATHLETE 3],Analsyis_23[[#This Row],[Atheletes ]],Games_11[PM 34]),SUMIF(Games_11[ATHLETE 4],Analsyis_23[[#This Row],[Atheletes ]],Games_11[PM 34]))</f>
        <v>51</v>
      </c>
      <c r="G27" s="14" t="str">
        <f>IF(COUNTBLANK(Games_11[[SCORE 1]:[SCORE 2]])=0,IF(RANK(H27,$H$27:$H$31)=1,RANK(H27,$H$27:$H$31)&amp;"st",IF(RANK(H27,$H$27:$H$31)=2,RANK(H27,$H$27:$H$31)&amp;"nd",IF(RANK(H27,$H$27:$H$31)=3,RANK(H27,$H$27:$H$31)&amp;"rd",RANK(H27,$H$27:$H$31)&amp;"th"))),"")</f>
        <v>5th</v>
      </c>
      <c r="H27" s="51">
        <f>Analsyis_23[[#This Row],[WIN]]*1000000+Analsyis_23[[#This Row],[Saldo]]*1000+Analsyis_23[[#This Row],[PM]]</f>
        <v>-22949</v>
      </c>
      <c r="I27" s="59">
        <f>H27</f>
        <v>-22949</v>
      </c>
      <c r="J27" s="59" t="str">
        <f>B27</f>
        <v>Gabriel Velloso</v>
      </c>
      <c r="K27" s="56" t="str">
        <f>IF(RANK(I27,$I$20:$I$38)=1,RANK(I27,$I$20:$I$38)&amp;"st",IF(RANK(I27,$I$20:$I$38)=2,RANK(I27,$I$20:$I$38)&amp;"nd",IF(RANK(I27,$I$20:$I$38)=3,RANK(I27,$I$20:$I$38)&amp;"rd",RANK(I27,$I$20:$I$38)&amp;"th")))</f>
        <v>15th</v>
      </c>
    </row>
    <row r="28" spans="1:20">
      <c r="A28" s="430" t="s">
        <v>180</v>
      </c>
      <c r="B28" s="29" t="s">
        <v>58</v>
      </c>
      <c r="C28" s="14">
        <f>SUM(COUNTIFS(Games_11[ATHLETE 1],Analsyis_23[[#This Row],[Atheletes ]],Games_11[RESULT 12],"win"),COUNTIFS(Games_11[ATHLETE 2],Analsyis_23[[#This Row],[Atheletes ]],Games_11[RESULT 12],"win"),COUNTIFS(Games_11[ATHLETE 3],Analsyis_23[[#This Row],[Atheletes ]],Games_11[RESULT 34],"win"),COUNTIFS(Games_11[ATHLETE 4],Analsyis_23[[#This Row],[Atheletes ]],Games_11[RESULT 34],"win"))</f>
        <v>2</v>
      </c>
      <c r="D28" s="14">
        <f>SUM(COUNTIFS(Games_11[ATHLETE 1],Analsyis_23[[#This Row],[Atheletes ]],Games_11[RESULT 12],"lose"),COUNTIFS(Games_11[ATHLETE 2],Analsyis_23[[#This Row],[Atheletes ]],Games_11[RESULT 12],"lose"),COUNTIFS(Games_11[ATHLETE 3],Analsyis_23[[#This Row],[Atheletes ]],Games_11[RESULT 34],"lose"),COUNTIFS(Games_11[ATHLETE 4],Analsyis_23[[#This Row],[Atheletes ]],Games_11[RESULT 34],"lose"))</f>
        <v>2</v>
      </c>
      <c r="E28" s="19">
        <f>SUM(SUMIF(Games_11[ATHLETE 1],Analsyis_23[[#This Row],[Atheletes ]],Games_11[SALDO 12]),SUMIF(Games_11[ATHLETE 2],Analsyis_23[[#This Row],[Atheletes ]],Games_11[SALDO 12]),SUMIF(Games_11[ATHLETE 3],Analsyis_23[[#This Row],[Atheletes ]],Games_11[SALDO 34]),SUMIF(Games_11[ATHLETE 4],Analsyis_23[[#This Row],[Atheletes ]],Games_11[SALDO 34]))</f>
        <v>-15</v>
      </c>
      <c r="F28" s="19">
        <f>SUM(SUMIF(Games_11[ATHLETE 1],Analsyis_23[[#This Row],[Atheletes ]],Games_11[PM 12]),SUMIF(Games_11[ATHLETE 2],Analsyis_23[[#This Row],[Atheletes ]],Games_11[PM 12]),SUMIF(Games_11[ATHLETE 3],Analsyis_23[[#This Row],[Atheletes ]],Games_11[PM 34]),SUMIF(Games_11[ATHLETE 4],Analsyis_23[[#This Row],[Atheletes ]],Games_11[PM 34]))</f>
        <v>53</v>
      </c>
      <c r="G28" s="14" t="str">
        <f>IF(COUNTBLANK(Games_11[[SCORE 1]:[SCORE 2]])=0,IF(RANK(H28,$H$27:$H$31)=1,RANK(H28,$H$27:$H$31)&amp;"st",IF(RANK(H28,$H$27:$H$31)=2,RANK(H28,$H$27:$H$31)&amp;"nd",IF(RANK(H28,$H$27:$H$31)=3,RANK(H28,$H$27:$H$31)&amp;"rd",RANK(H28,$H$27:$H$31)&amp;"th"))),"")</f>
        <v>4th</v>
      </c>
      <c r="H28" s="51">
        <f>Analsyis_23[[#This Row],[WIN]]*1000000+Analsyis_23[[#This Row],[Saldo]]*1000+Analsyis_23[[#This Row],[PM]]</f>
        <v>1985053</v>
      </c>
      <c r="I28" s="59">
        <f>H28</f>
        <v>1985053</v>
      </c>
      <c r="J28" s="59" t="str">
        <f>B28</f>
        <v>Alex Abrantes</v>
      </c>
      <c r="K28" s="56" t="str">
        <f>IF(RANK(I28,$I$20:$I$38)=1,RANK(I28,$I$20:$I$38)&amp;"st",IF(RANK(I28,$I$20:$I$38)=2,RANK(I28,$I$20:$I$38)&amp;"nd",IF(RANK(I28,$I$20:$I$38)=3,RANK(I28,$I$20:$I$38)&amp;"rd",RANK(I28,$I$20:$I$38)&amp;"th")))</f>
        <v>11th</v>
      </c>
    </row>
    <row r="29" spans="1:20" ht="15" customHeight="1">
      <c r="A29" s="430" t="s">
        <v>180</v>
      </c>
      <c r="B29" s="29" t="s">
        <v>23</v>
      </c>
      <c r="C29" s="14">
        <f>SUM(COUNTIFS(Games_11[ATHLETE 1],Analsyis_23[[#This Row],[Atheletes ]],Games_11[RESULT 12],"win"),COUNTIFS(Games_11[ATHLETE 2],Analsyis_23[[#This Row],[Atheletes ]],Games_11[RESULT 12],"win"),COUNTIFS(Games_11[ATHLETE 3],Analsyis_23[[#This Row],[Atheletes ]],Games_11[RESULT 34],"win"),COUNTIFS(Games_11[ATHLETE 4],Analsyis_23[[#This Row],[Atheletes ]],Games_11[RESULT 34],"win"))</f>
        <v>3</v>
      </c>
      <c r="D29" s="14">
        <f>SUM(COUNTIFS(Games_11[ATHLETE 1],Analsyis_23[[#This Row],[Atheletes ]],Games_11[RESULT 12],"lose"),COUNTIFS(Games_11[ATHLETE 2],Analsyis_23[[#This Row],[Atheletes ]],Games_11[RESULT 12],"lose"),COUNTIFS(Games_11[ATHLETE 3],Analsyis_23[[#This Row],[Atheletes ]],Games_11[RESULT 34],"lose"),COUNTIFS(Games_11[ATHLETE 4],Analsyis_23[[#This Row],[Atheletes ]],Games_11[RESULT 34],"lose"))</f>
        <v>1</v>
      </c>
      <c r="E29" s="19">
        <f>SUM(SUMIF(Games_11[ATHLETE 1],Analsyis_23[[#This Row],[Atheletes ]],Games_11[SALDO 12]),SUMIF(Games_11[ATHLETE 2],Analsyis_23[[#This Row],[Atheletes ]],Games_11[SALDO 12]),SUMIF(Games_11[ATHLETE 3],Analsyis_23[[#This Row],[Atheletes ]],Games_11[SALDO 34]),SUMIF(Games_11[ATHLETE 4],Analsyis_23[[#This Row],[Atheletes ]],Games_11[SALDO 34]))</f>
        <v>20</v>
      </c>
      <c r="F29" s="19">
        <f>SUM(SUMIF(Games_11[ATHLETE 1],Analsyis_23[[#This Row],[Atheletes ]],Games_11[PM 12]),SUMIF(Games_11[ATHLETE 2],Analsyis_23[[#This Row],[Atheletes ]],Games_11[PM 12]),SUMIF(Games_11[ATHLETE 3],Analsyis_23[[#This Row],[Atheletes ]],Games_11[PM 34]),SUMIF(Games_11[ATHLETE 4],Analsyis_23[[#This Row],[Atheletes ]],Games_11[PM 34]))</f>
        <v>70</v>
      </c>
      <c r="G29" s="14" t="str">
        <f>IF(COUNTBLANK(Games_11[[SCORE 1]:[SCORE 2]])=0,IF(RANK(H29,$H$27:$H$31)=1,RANK(H29,$H$27:$H$31)&amp;"st",IF(RANK(H29,$H$27:$H$31)=2,RANK(H29,$H$27:$H$31)&amp;"nd",IF(RANK(H29,$H$27:$H$31)=3,RANK(H29,$H$27:$H$31)&amp;"rd",RANK(H29,$H$27:$H$31)&amp;"th"))),"")</f>
        <v>1st</v>
      </c>
      <c r="H29" s="51">
        <f>Analsyis_23[[#This Row],[WIN]]*1000000+Analsyis_23[[#This Row],[Saldo]]*1000+Analsyis_23[[#This Row],[PM]]</f>
        <v>3020070</v>
      </c>
      <c r="I29" s="59">
        <f>H29</f>
        <v>3020070</v>
      </c>
      <c r="J29" s="59" t="str">
        <f>B29</f>
        <v>Pedro Nagib</v>
      </c>
      <c r="K29" s="56" t="str">
        <f>IF(RANK(I29,$I$20:$I$38)=1,RANK(I29,$I$20:$I$38)&amp;"st",IF(RANK(I29,$I$20:$I$38)=2,RANK(I29,$I$20:$I$38)&amp;"nd",IF(RANK(I29,$I$20:$I$38)=3,RANK(I29,$I$20:$I$38)&amp;"rd",RANK(I29,$I$20:$I$38)&amp;"th")))</f>
        <v>2nd</v>
      </c>
      <c r="L29" s="548" t="s">
        <v>199</v>
      </c>
      <c r="M29" s="549"/>
      <c r="N29" s="549"/>
      <c r="O29" s="549"/>
      <c r="P29" s="549"/>
      <c r="Q29" s="549"/>
    </row>
    <row r="30" spans="1:20">
      <c r="A30" s="430" t="s">
        <v>180</v>
      </c>
      <c r="B30" s="29" t="s">
        <v>45</v>
      </c>
      <c r="C30" s="14">
        <f>SUM(COUNTIFS(Games_11[ATHLETE 1],Analsyis_23[[#This Row],[Atheletes ]],Games_11[RESULT 12],"win"),COUNTIFS(Games_11[ATHLETE 2],Analsyis_23[[#This Row],[Atheletes ]],Games_11[RESULT 12],"win"),COUNTIFS(Games_11[ATHLETE 3],Analsyis_23[[#This Row],[Atheletes ]],Games_11[RESULT 34],"win"),COUNTIFS(Games_11[ATHLETE 4],Analsyis_23[[#This Row],[Atheletes ]],Games_11[RESULT 34],"win"))</f>
        <v>2</v>
      </c>
      <c r="D30" s="14">
        <f>SUM(COUNTIFS(Games_11[ATHLETE 1],Analsyis_23[[#This Row],[Atheletes ]],Games_11[RESULT 12],"lose"),COUNTIFS(Games_11[ATHLETE 2],Analsyis_23[[#This Row],[Atheletes ]],Games_11[RESULT 12],"lose"),COUNTIFS(Games_11[ATHLETE 3],Analsyis_23[[#This Row],[Atheletes ]],Games_11[RESULT 34],"lose"),COUNTIFS(Games_11[ATHLETE 4],Analsyis_23[[#This Row],[Atheletes ]],Games_11[RESULT 34],"lose"))</f>
        <v>2</v>
      </c>
      <c r="E30" s="19">
        <f>SUM(SUMIF(Games_11[ATHLETE 1],Analsyis_23[[#This Row],[Atheletes ]],Games_11[SALDO 12]),SUMIF(Games_11[ATHLETE 2],Analsyis_23[[#This Row],[Atheletes ]],Games_11[SALDO 12]),SUMIF(Games_11[ATHLETE 3],Analsyis_23[[#This Row],[Atheletes ]],Games_11[SALDO 34]),SUMIF(Games_11[ATHLETE 4],Analsyis_23[[#This Row],[Atheletes ]],Games_11[SALDO 34]))</f>
        <v>2</v>
      </c>
      <c r="F30" s="19">
        <f>SUM(SUMIF(Games_11[ATHLETE 1],Analsyis_23[[#This Row],[Atheletes ]],Games_11[PM 12]),SUMIF(Games_11[ATHLETE 2],Analsyis_23[[#This Row],[Atheletes ]],Games_11[PM 12]),SUMIF(Games_11[ATHLETE 3],Analsyis_23[[#This Row],[Atheletes ]],Games_11[PM 34]),SUMIF(Games_11[ATHLETE 4],Analsyis_23[[#This Row],[Atheletes ]],Games_11[PM 34]))</f>
        <v>59</v>
      </c>
      <c r="G30" s="14" t="str">
        <f>IF(COUNTBLANK(Games_11[[SCORE 1]:[SCORE 2]])=0,IF(RANK(H30,$H$27:$H$31)=1,RANK(H30,$H$27:$H$31)&amp;"st",IF(RANK(H30,$H$27:$H$31)=2,RANK(H30,$H$27:$H$31)&amp;"nd",IF(RANK(H30,$H$27:$H$31)=3,RANK(H30,$H$27:$H$31)&amp;"rd",RANK(H30,$H$27:$H$31)&amp;"th"))),"")</f>
        <v>3rd</v>
      </c>
      <c r="H30" s="51">
        <f>Analsyis_23[[#This Row],[WIN]]*1000000+Analsyis_23[[#This Row],[Saldo]]*1000+Analsyis_23[[#This Row],[PM]]</f>
        <v>2002059</v>
      </c>
      <c r="I30" s="59">
        <f>H30</f>
        <v>2002059</v>
      </c>
      <c r="J30" s="59" t="str">
        <f>B30</f>
        <v>David Aitkens</v>
      </c>
      <c r="K30" s="56" t="str">
        <f>IF(RANK(I30,$I$20:$I$38)=1,RANK(I30,$I$20:$I$38)&amp;"st",IF(RANK(I30,$I$20:$I$38)=2,RANK(I30,$I$20:$I$38)&amp;"nd",IF(RANK(I30,$I$20:$I$38)=3,RANK(I30,$I$20:$I$38)&amp;"rd",RANK(I30,$I$20:$I$38)&amp;"th")))</f>
        <v>8th</v>
      </c>
      <c r="L30" s="418" t="s">
        <v>193</v>
      </c>
      <c r="M30" s="418" t="s">
        <v>194</v>
      </c>
      <c r="N30" s="542" t="s">
        <v>195</v>
      </c>
      <c r="O30" s="543"/>
      <c r="P30" s="418" t="s">
        <v>196</v>
      </c>
      <c r="Q30" s="418" t="s">
        <v>197</v>
      </c>
    </row>
    <row r="31" spans="1:20">
      <c r="A31" s="11" t="s">
        <v>180</v>
      </c>
      <c r="B31" s="29" t="s">
        <v>15</v>
      </c>
      <c r="C31" s="14">
        <f>SUM(COUNTIFS(Games_11[ATHLETE 1],Analsyis_23[[#This Row],[Atheletes ]],Games_11[RESULT 12],"win"),COUNTIFS(Games_11[ATHLETE 2],Analsyis_23[[#This Row],[Atheletes ]],Games_11[RESULT 12],"win"),COUNTIFS(Games_11[ATHLETE 3],Analsyis_23[[#This Row],[Atheletes ]],Games_11[RESULT 34],"win"),COUNTIFS(Games_11[ATHLETE 4],Analsyis_23[[#This Row],[Atheletes ]],Games_11[RESULT 34],"win"))</f>
        <v>3</v>
      </c>
      <c r="D31" s="14">
        <f>SUM(COUNTIFS(Games_11[ATHLETE 1],Analsyis_23[[#This Row],[Atheletes ]],Games_11[RESULT 12],"lose"),COUNTIFS(Games_11[ATHLETE 2],Analsyis_23[[#This Row],[Atheletes ]],Games_11[RESULT 12],"lose"),COUNTIFS(Games_11[ATHLETE 3],Analsyis_23[[#This Row],[Atheletes ]],Games_11[RESULT 34],"lose"),COUNTIFS(Games_11[ATHLETE 4],Analsyis_23[[#This Row],[Atheletes ]],Games_11[RESULT 34],"lose"))</f>
        <v>1</v>
      </c>
      <c r="E31" s="19">
        <f>SUM(SUMIF(Games_11[ATHLETE 1],Analsyis_23[[#This Row],[Atheletes ]],Games_11[SALDO 12]),SUMIF(Games_11[ATHLETE 2],Analsyis_23[[#This Row],[Atheletes ]],Games_11[SALDO 12]),SUMIF(Games_11[ATHLETE 3],Analsyis_23[[#This Row],[Atheletes ]],Games_11[SALDO 34]),SUMIF(Games_11[ATHLETE 4],Analsyis_23[[#This Row],[Atheletes ]],Games_11[SALDO 34]))</f>
        <v>16</v>
      </c>
      <c r="F31" s="19">
        <f>SUM(SUMIF(Games_11[ATHLETE 1],Analsyis_23[[#This Row],[Atheletes ]],Games_11[PM 12]),SUMIF(Games_11[ATHLETE 2],Analsyis_23[[#This Row],[Atheletes ]],Games_11[PM 12]),SUMIF(Games_11[ATHLETE 3],Analsyis_23[[#This Row],[Atheletes ]],Games_11[PM 34]),SUMIF(Games_11[ATHLETE 4],Analsyis_23[[#This Row],[Atheletes ]],Games_11[PM 34]))</f>
        <v>63</v>
      </c>
      <c r="G31" s="14" t="str">
        <f>IF(COUNTBLANK(Games_11[[SCORE 1]:[SCORE 2]])=0,IF(RANK(H31,$H$27:$H$31)=1,RANK(H31,$H$27:$H$31)&amp;"st",IF(RANK(H31,$H$27:$H$31)=2,RANK(H31,$H$27:$H$31)&amp;"nd",IF(RANK(H31,$H$27:$H$31)=3,RANK(H31,$H$27:$H$31)&amp;"rd",RANK(H31,$H$27:$H$31)&amp;"th"))),"")</f>
        <v>2nd</v>
      </c>
      <c r="H31" s="51">
        <f>Analsyis_23[[#This Row],[WIN]]*1000000+Analsyis_23[[#This Row],[Saldo]]*1000+Analsyis_23[[#This Row],[PM]]</f>
        <v>3016063</v>
      </c>
      <c r="I31" s="59">
        <f>H31</f>
        <v>3016063</v>
      </c>
      <c r="J31" s="59" t="str">
        <f>B31</f>
        <v>Bruno Soares</v>
      </c>
      <c r="K31" s="56" t="str">
        <f>IF(RANK(I31,$I$20:$I$38)=1,RANK(I31,$I$20:$I$38)&amp;"st",IF(RANK(I31,$I$20:$I$38)=2,RANK(I31,$I$20:$I$38)&amp;"nd",IF(RANK(I31,$I$20:$I$38)=3,RANK(I31,$I$20:$I$38)&amp;"rd",RANK(I31,$I$20:$I$38)&amp;"th")))</f>
        <v>3rd</v>
      </c>
      <c r="L31" s="8" t="str">
        <f>L25</f>
        <v>Pedro Nagib</v>
      </c>
      <c r="M31" s="8" t="str">
        <f>M25</f>
        <v>Bruno Soares</v>
      </c>
      <c r="N31" s="86">
        <v>18</v>
      </c>
      <c r="O31" s="87">
        <v>9</v>
      </c>
      <c r="P31" s="8" t="str">
        <f>L20</f>
        <v>Eduardo Ferreira</v>
      </c>
      <c r="Q31" s="8" t="str">
        <f>M20</f>
        <v>João Barreto</v>
      </c>
    </row>
    <row r="32" spans="1:20">
      <c r="L32" s="62" t="str">
        <f>IF(OR($N$32="WIN",$N$31="",$O$31=""),"",IF(L33&gt;M33,$T$5,$T$6))</f>
        <v/>
      </c>
      <c r="M32" s="62" t="str">
        <f>IF(OR($N$31="",$O$31="",$N$32="WIN"),"",IF(L33&lt;M33,$T$5,$T$6))</f>
        <v/>
      </c>
      <c r="N32" s="433" t="str">
        <f>IF(OR($N$31="",$O$31=""),"",IF(($N$31&gt;$O$31),"WIN","LOSE"))</f>
        <v>WIN</v>
      </c>
      <c r="O32" s="433" t="str">
        <f>IF(OR($N$31="",$O$31=""),"",IF(($N$31&lt;$O$31),"WIN","LOSE"))</f>
        <v>LOSE</v>
      </c>
      <c r="P32" s="62" t="str">
        <f>IF(OR($O$32="WIN",$N$31="",$O$31=""),"",IF(P33&gt;Q33,$T$5,$T$6))</f>
        <v>3rd</v>
      </c>
      <c r="Q32" s="62" t="str">
        <f>IF(OR($N$31="",$O$31="",$O$32="WIN"),"",IF(P33&lt;Q33,$T$5,$T$6))</f>
        <v>4th</v>
      </c>
    </row>
    <row r="33" spans="1:17" ht="15.95">
      <c r="A33" s="9" t="s">
        <v>184</v>
      </c>
      <c r="B33" s="10" t="s">
        <v>185</v>
      </c>
      <c r="C33" s="10" t="s">
        <v>186</v>
      </c>
      <c r="D33" s="10" t="s">
        <v>187</v>
      </c>
      <c r="E33" s="10" t="s">
        <v>188</v>
      </c>
      <c r="F33" s="10" t="s">
        <v>189</v>
      </c>
      <c r="G33" s="7" t="s">
        <v>8</v>
      </c>
      <c r="H33" s="78" t="s">
        <v>190</v>
      </c>
      <c r="L33" s="61">
        <f>_xlfn.XLOOKUP(L31,$J$20:$J$38,$I$20:$I$38)</f>
        <v>3020070</v>
      </c>
      <c r="M33" s="61">
        <f>_xlfn.XLOOKUP(M31,$J$20:$J$38,$I$20:$I$38)</f>
        <v>3016063</v>
      </c>
      <c r="N33" s="61"/>
      <c r="O33" s="61"/>
      <c r="P33" s="61">
        <f>_xlfn.XLOOKUP(P31,$J$20:$J$38,$I$20:$I$38)</f>
        <v>4025074</v>
      </c>
      <c r="Q33" s="61">
        <f>_xlfn.XLOOKUP(Q31,$J$20:$J$38,$I$20:$I$38)</f>
        <v>2006070</v>
      </c>
    </row>
    <row r="34" spans="1:17">
      <c r="A34" s="430" t="s">
        <v>181</v>
      </c>
      <c r="B34" s="29" t="s">
        <v>35</v>
      </c>
      <c r="C34" s="14">
        <f>SUM(COUNTIFS(Games_11[ATHLETE 1],Analysis_24[[#This Row],[Atheletes ]],Games_11[RESULT 12],"win"),COUNTIFS(Games_11[ATHLETE 2],Analysis_24[[#This Row],[Atheletes ]],Games_11[RESULT 12],"win"),COUNTIFS(Games_11[ATHLETE 3],Analysis_24[[#This Row],[Atheletes ]],Games_11[RESULT 34],"win"),COUNTIFS(Games_11[ATHLETE 4],Analysis_24[[#This Row],[Atheletes ]],Games_11[RESULT 34],"win"))</f>
        <v>1</v>
      </c>
      <c r="D34" s="14">
        <f>SUM(COUNTIFS(Games_11[ATHLETE 1],Analysis_24[[#This Row],[Atheletes ]],Games_11[RESULT 12],"lose"),COUNTIFS(Games_11[ATHLETE 2],Analysis_24[[#This Row],[Atheletes ]],Games_11[RESULT 12],"lose"),COUNTIFS(Games_11[ATHLETE 3],Analysis_24[[#This Row],[Atheletes ]],Games_11[RESULT 34],"lose"),COUNTIFS(Games_11[ATHLETE 4],Analysis_24[[#This Row],[Atheletes ]],Games_11[RESULT 34],"lose"))</f>
        <v>3</v>
      </c>
      <c r="E34" s="19">
        <f>SUM(SUMIF(Games_11[ATHLETE 1],Analysis_24[[#This Row],[Atheletes ]],Games_11[SALDO 12]),SUMIF(Games_11[ATHLETE 2],Analysis_24[[#This Row],[Atheletes ]],Games_11[SALDO 12]),SUMIF(Games_11[ATHLETE 3],Analysis_24[[#This Row],[Atheletes ]],Games_11[SALDO 34]),SUMIF(Games_11[ATHLETE 4],Analysis_24[[#This Row],[Atheletes ]],Games_11[SALDO 34]))</f>
        <v>-5</v>
      </c>
      <c r="F34" s="19">
        <f>SUM(SUMIF(Games_11[ATHLETE 1],Analysis_24[[#This Row],[Atheletes ]],Games_11[PM 12]),SUMIF(Games_11[ATHLETE 2],Analysis_24[[#This Row],[Atheletes ]],Games_11[PM 12]),SUMIF(Games_11[ATHLETE 3],Analysis_24[[#This Row],[Atheletes ]],Games_11[PM 34]),SUMIF(Games_11[ATHLETE 4],Analysis_24[[#This Row],[Atheletes ]],Games_11[PM 34]))</f>
        <v>62</v>
      </c>
      <c r="G34" s="14" t="str">
        <f>IF(COUNTBLANK(Games_11[[SCORE 1]:[SCORE 2]])=0,IF(RANK(H34,$H$34:$H$38)=1,RANK(H34,$H$34:$H$38)&amp;"st",IF(RANK(H34,$H$34:$H$38)=2,RANK(H34,$H$34:$H$38)&amp;"nd",IF(RANK(H34,$H$34:$H$38)=3,RANK(H34,$H$34:$H$38)&amp;"rd",RANK(H34,$H$34:$H$38)&amp;"th"))),"")</f>
        <v>4th</v>
      </c>
      <c r="H34" s="85">
        <f>Analysis_24[[#This Row],[WIN]]*1000000+Analysis_24[[#This Row],[Saldo]]*1000+Analysis_24[[#This Row],[PM]]</f>
        <v>995062</v>
      </c>
      <c r="I34" s="57">
        <f>H34</f>
        <v>995062</v>
      </c>
      <c r="J34" s="57" t="str">
        <f>B34</f>
        <v>Thomas Zahn</v>
      </c>
      <c r="K34" s="56" t="str">
        <f>IF(RANK(I34,$I$20:$I$38)=1,RANK(I34,$I$20:$I$38)&amp;"st",IF(RANK(I34,$I$20:$I$38)=2,RANK(I34,$I$20:$I$38)&amp;"nd",IF(RANK(I34,$I$20:$I$38)=3,RANK(I34,$I$20:$I$38)&amp;"rd",RANK(I34,$I$20:$I$38)&amp;"th")))</f>
        <v>12th</v>
      </c>
    </row>
    <row r="35" spans="1:17">
      <c r="A35" s="430" t="s">
        <v>181</v>
      </c>
      <c r="B35" s="29" t="s">
        <v>54</v>
      </c>
      <c r="C35" s="14">
        <f>SUM(COUNTIFS(Games_11[ATHLETE 1],Analysis_24[[#This Row],[Atheletes ]],Games_11[RESULT 12],"win"),COUNTIFS(Games_11[ATHLETE 2],Analysis_24[[#This Row],[Atheletes ]],Games_11[RESULT 12],"win"),COUNTIFS(Games_11[ATHLETE 3],Analysis_24[[#This Row],[Atheletes ]],Games_11[RESULT 34],"win"),COUNTIFS(Games_11[ATHLETE 4],Analysis_24[[#This Row],[Atheletes ]],Games_11[RESULT 34],"win"))</f>
        <v>2</v>
      </c>
      <c r="D35" s="14">
        <f>SUM(COUNTIFS(Games_11[ATHLETE 1],Analysis_24[[#This Row],[Atheletes ]],Games_11[RESULT 12],"lose"),COUNTIFS(Games_11[ATHLETE 2],Analysis_24[[#This Row],[Atheletes ]],Games_11[RESULT 12],"lose"),COUNTIFS(Games_11[ATHLETE 3],Analysis_24[[#This Row],[Atheletes ]],Games_11[RESULT 34],"lose"),COUNTIFS(Games_11[ATHLETE 4],Analysis_24[[#This Row],[Atheletes ]],Games_11[RESULT 34],"lose"))</f>
        <v>2</v>
      </c>
      <c r="E35" s="19">
        <f>SUM(SUMIF(Games_11[ATHLETE 1],Analysis_24[[#This Row],[Atheletes ]],Games_11[SALDO 12]),SUMIF(Games_11[ATHLETE 2],Analysis_24[[#This Row],[Atheletes ]],Games_11[SALDO 12]),SUMIF(Games_11[ATHLETE 3],Analysis_24[[#This Row],[Atheletes ]],Games_11[SALDO 34]),SUMIF(Games_11[ATHLETE 4],Analysis_24[[#This Row],[Atheletes ]],Games_11[SALDO 34]))</f>
        <v>-13</v>
      </c>
      <c r="F35" s="19">
        <f>SUM(SUMIF(Games_11[ATHLETE 1],Analysis_24[[#This Row],[Atheletes ]],Games_11[PM 12]),SUMIF(Games_11[ATHLETE 2],Analysis_24[[#This Row],[Atheletes ]],Games_11[PM 12]),SUMIF(Games_11[ATHLETE 3],Analysis_24[[#This Row],[Atheletes ]],Games_11[PM 34]),SUMIF(Games_11[ATHLETE 4],Analysis_24[[#This Row],[Atheletes ]],Games_11[PM 34]))</f>
        <v>55</v>
      </c>
      <c r="G35" s="14" t="str">
        <f>IF(COUNTBLANK(Games_11[[SCORE 1]:[SCORE 2]])=0,IF(RANK(H35,$H$34:$H$38)=1,RANK(H35,$H$34:$H$38)&amp;"st",IF(RANK(H35,$H$34:$H$38)=2,RANK(H35,$H$34:$H$38)&amp;"nd",IF(RANK(H35,$H$34:$H$38)=3,RANK(H35,$H$34:$H$38)&amp;"rd",RANK(H35,$H$34:$H$38)&amp;"th"))),"")</f>
        <v>3rd</v>
      </c>
      <c r="H35" s="85">
        <f>Analysis_24[[#This Row],[WIN]]*1000000+Analysis_24[[#This Row],[Saldo]]*1000+Analysis_24[[#This Row],[PM]]</f>
        <v>1987055</v>
      </c>
      <c r="I35" s="57">
        <f>H35</f>
        <v>1987055</v>
      </c>
      <c r="J35" s="57" t="str">
        <f>B35</f>
        <v>Daniel Gaspar</v>
      </c>
      <c r="K35" s="56" t="str">
        <f>IF(RANK(I35,$I$20:$I$38)=1,RANK(I35,$I$20:$I$38)&amp;"st",IF(RANK(I35,$I$20:$I$38)=2,RANK(I35,$I$20:$I$38)&amp;"nd",IF(RANK(I35,$I$20:$I$38)=3,RANK(I35,$I$20:$I$38)&amp;"rd",RANK(I35,$I$20:$I$38)&amp;"th")))</f>
        <v>10th</v>
      </c>
    </row>
    <row r="36" spans="1:17" ht="15" customHeight="1">
      <c r="A36" s="430" t="s">
        <v>181</v>
      </c>
      <c r="B36" s="29" t="s">
        <v>61</v>
      </c>
      <c r="C36" s="14">
        <f>SUM(COUNTIFS(Games_11[ATHLETE 1],Analysis_24[[#This Row],[Atheletes ]],Games_11[RESULT 12],"win"),COUNTIFS(Games_11[ATHLETE 2],Analysis_24[[#This Row],[Atheletes ]],Games_11[RESULT 12],"win"),COUNTIFS(Games_11[ATHLETE 3],Analysis_24[[#This Row],[Atheletes ]],Games_11[RESULT 34],"win"),COUNTIFS(Games_11[ATHLETE 4],Analysis_24[[#This Row],[Atheletes ]],Games_11[RESULT 34],"win"))</f>
        <v>1</v>
      </c>
      <c r="D36" s="14">
        <f>SUM(COUNTIFS(Games_11[ATHLETE 1],Analysis_24[[#This Row],[Atheletes ]],Games_11[RESULT 12],"lose"),COUNTIFS(Games_11[ATHLETE 2],Analysis_24[[#This Row],[Atheletes ]],Games_11[RESULT 12],"lose"),COUNTIFS(Games_11[ATHLETE 3],Analysis_24[[#This Row],[Atheletes ]],Games_11[RESULT 34],"lose"),COUNTIFS(Games_11[ATHLETE 4],Analysis_24[[#This Row],[Atheletes ]],Games_11[RESULT 34],"lose"))</f>
        <v>3</v>
      </c>
      <c r="E36" s="19">
        <f>SUM(SUMIF(Games_11[ATHLETE 1],Analysis_24[[#This Row],[Atheletes ]],Games_11[SALDO 12]),SUMIF(Games_11[ATHLETE 2],Analysis_24[[#This Row],[Atheletes ]],Games_11[SALDO 12]),SUMIF(Games_11[ATHLETE 3],Analysis_24[[#This Row],[Atheletes ]],Games_11[SALDO 34]),SUMIF(Games_11[ATHLETE 4],Analysis_24[[#This Row],[Atheletes ]],Games_11[SALDO 34]))</f>
        <v>-13</v>
      </c>
      <c r="F36" s="19">
        <f>SUM(SUMIF(Games_11[ATHLETE 1],Analysis_24[[#This Row],[Atheletes ]],Games_11[PM 12]),SUMIF(Games_11[ATHLETE 2],Analysis_24[[#This Row],[Atheletes ]],Games_11[PM 12]),SUMIF(Games_11[ATHLETE 3],Analysis_24[[#This Row],[Atheletes ]],Games_11[PM 34]),SUMIF(Games_11[ATHLETE 4],Analysis_24[[#This Row],[Atheletes ]],Games_11[PM 34]))</f>
        <v>61</v>
      </c>
      <c r="G36" s="14" t="str">
        <f>IF(COUNTBLANK(Games_11[[SCORE 1]:[SCORE 2]])=0,IF(RANK(H36,$H$34:$H$38)=1,RANK(H36,$H$34:$H$38)&amp;"st",IF(RANK(H36,$H$34:$H$38)=2,RANK(H36,$H$34:$H$38)&amp;"nd",IF(RANK(H36,$H$34:$H$38)=3,RANK(H36,$H$34:$H$38)&amp;"rd",RANK(H36,$H$34:$H$38)&amp;"th"))),"")</f>
        <v>5th</v>
      </c>
      <c r="H36" s="85">
        <f>Analysis_24[[#This Row],[WIN]]*1000000+Analysis_24[[#This Row],[Saldo]]*1000+Analysis_24[[#This Row],[PM]]</f>
        <v>987061</v>
      </c>
      <c r="I36" s="57">
        <f>H36</f>
        <v>987061</v>
      </c>
      <c r="J36" s="57" t="str">
        <f>B36</f>
        <v>Bernardo Trotta</v>
      </c>
      <c r="K36" s="56" t="str">
        <f>IF(RANK(I36,$I$20:$I$38)=1,RANK(I36,$I$20:$I$38)&amp;"st",IF(RANK(I36,$I$20:$I$38)=2,RANK(I36,$I$20:$I$38)&amp;"nd",IF(RANK(I36,$I$20:$I$38)=3,RANK(I36,$I$20:$I$38)&amp;"rd",RANK(I36,$I$20:$I$38)&amp;"th")))</f>
        <v>13th</v>
      </c>
      <c r="L36" s="548" t="s">
        <v>200</v>
      </c>
      <c r="M36" s="549"/>
      <c r="N36" s="549"/>
      <c r="O36" s="549"/>
      <c r="P36" s="549"/>
      <c r="Q36" s="549"/>
    </row>
    <row r="37" spans="1:17">
      <c r="A37" s="430" t="s">
        <v>181</v>
      </c>
      <c r="B37" s="29" t="s">
        <v>26</v>
      </c>
      <c r="C37" s="14">
        <f>SUM(COUNTIFS(Games_11[ATHLETE 1],Analysis_24[[#This Row],[Atheletes ]],Games_11[RESULT 12],"win"),COUNTIFS(Games_11[ATHLETE 2],Analysis_24[[#This Row],[Atheletes ]],Games_11[RESULT 12],"win"),COUNTIFS(Games_11[ATHLETE 3],Analysis_24[[#This Row],[Atheletes ]],Games_11[RESULT 34],"win"),COUNTIFS(Games_11[ATHLETE 4],Analysis_24[[#This Row],[Atheletes ]],Games_11[RESULT 34],"win"))</f>
        <v>4</v>
      </c>
      <c r="D37" s="14">
        <f>SUM(COUNTIFS(Games_11[ATHLETE 1],Analysis_24[[#This Row],[Atheletes ]],Games_11[RESULT 12],"lose"),COUNTIFS(Games_11[ATHLETE 2],Analysis_24[[#This Row],[Atheletes ]],Games_11[RESULT 12],"lose"),COUNTIFS(Games_11[ATHLETE 3],Analysis_24[[#This Row],[Atheletes ]],Games_11[RESULT 34],"lose"),COUNTIFS(Games_11[ATHLETE 4],Analysis_24[[#This Row],[Atheletes ]],Games_11[RESULT 34],"lose"))</f>
        <v>0</v>
      </c>
      <c r="E37" s="19">
        <f>SUM(SUMIF(Games_11[ATHLETE 1],Analysis_24[[#This Row],[Atheletes ]],Games_11[SALDO 12]),SUMIF(Games_11[ATHLETE 2],Analysis_24[[#This Row],[Atheletes ]],Games_11[SALDO 12]),SUMIF(Games_11[ATHLETE 3],Analysis_24[[#This Row],[Atheletes ]],Games_11[SALDO 34]),SUMIF(Games_11[ATHLETE 4],Analysis_24[[#This Row],[Atheletes ]],Games_11[SALDO 34]))</f>
        <v>25</v>
      </c>
      <c r="F37" s="19">
        <f>SUM(SUMIF(Games_11[ATHLETE 1],Analysis_24[[#This Row],[Atheletes ]],Games_11[PM 12]),SUMIF(Games_11[ATHLETE 2],Analysis_24[[#This Row],[Atheletes ]],Games_11[PM 12]),SUMIF(Games_11[ATHLETE 3],Analysis_24[[#This Row],[Atheletes ]],Games_11[PM 34]),SUMIF(Games_11[ATHLETE 4],Analysis_24[[#This Row],[Atheletes ]],Games_11[PM 34]))</f>
        <v>74</v>
      </c>
      <c r="G37" s="14" t="str">
        <f>IF(COUNTBLANK(Games_11[[SCORE 1]:[SCORE 2]])=0,IF(RANK(H37,$H$34:$H$38)=1,RANK(H37,$H$34:$H$38)&amp;"st",IF(RANK(H37,$H$34:$H$38)=2,RANK(H37,$H$34:$H$38)&amp;"nd",IF(RANK(H37,$H$34:$H$38)=3,RANK(H37,$H$34:$H$38)&amp;"rd",RANK(H37,$H$34:$H$38)&amp;"th"))),"")</f>
        <v>1st</v>
      </c>
      <c r="H37" s="85">
        <f>Analysis_24[[#This Row],[WIN]]*1000000+Analysis_24[[#This Row],[Saldo]]*1000+Analysis_24[[#This Row],[PM]]</f>
        <v>4025074</v>
      </c>
      <c r="I37" s="57">
        <f>H37</f>
        <v>4025074</v>
      </c>
      <c r="J37" s="57" t="str">
        <f>B37</f>
        <v>Eduardo Ferreira</v>
      </c>
      <c r="K37" s="56" t="str">
        <f>IF(RANK(I37,$I$20:$I$38)=1,RANK(I37,$I$20:$I$38)&amp;"st",IF(RANK(I37,$I$20:$I$38)=2,RANK(I37,$I$20:$I$38)&amp;"nd",IF(RANK(I37,$I$20:$I$38)=3,RANK(I37,$I$20:$I$38)&amp;"rd",RANK(I37,$I$20:$I$38)&amp;"th")))</f>
        <v>1st</v>
      </c>
      <c r="L37" s="418" t="s">
        <v>193</v>
      </c>
      <c r="M37" s="418" t="s">
        <v>194</v>
      </c>
      <c r="N37" s="542" t="s">
        <v>195</v>
      </c>
      <c r="O37" s="543"/>
      <c r="P37" s="418" t="s">
        <v>196</v>
      </c>
      <c r="Q37" s="418" t="s">
        <v>197</v>
      </c>
    </row>
    <row r="38" spans="1:17">
      <c r="A38" s="11" t="s">
        <v>181</v>
      </c>
      <c r="B38" s="29" t="s">
        <v>12</v>
      </c>
      <c r="C38" s="14">
        <f>SUM(COUNTIFS(Games_11[ATHLETE 1],Analysis_24[[#This Row],[Atheletes ]],Games_11[RESULT 12],"win"),COUNTIFS(Games_11[ATHLETE 2],Analysis_24[[#This Row],[Atheletes ]],Games_11[RESULT 12],"win"),COUNTIFS(Games_11[ATHLETE 3],Analysis_24[[#This Row],[Atheletes ]],Games_11[RESULT 34],"win"),COUNTIFS(Games_11[ATHLETE 4],Analysis_24[[#This Row],[Atheletes ]],Games_11[RESULT 34],"win"))</f>
        <v>2</v>
      </c>
      <c r="D38" s="14">
        <f>SUM(COUNTIFS(Games_11[ATHLETE 1],Analysis_24[[#This Row],[Atheletes ]],Games_11[RESULT 12],"lose"),COUNTIFS(Games_11[ATHLETE 2],Analysis_24[[#This Row],[Atheletes ]],Games_11[RESULT 12],"lose"),COUNTIFS(Games_11[ATHLETE 3],Analysis_24[[#This Row],[Atheletes ]],Games_11[RESULT 34],"lose"),COUNTIFS(Games_11[ATHLETE 4],Analysis_24[[#This Row],[Atheletes ]],Games_11[RESULT 34],"lose"))</f>
        <v>2</v>
      </c>
      <c r="E38" s="19">
        <f>SUM(SUMIF(Games_11[ATHLETE 1],Analysis_24[[#This Row],[Atheletes ]],Games_11[SALDO 12]),SUMIF(Games_11[ATHLETE 2],Analysis_24[[#This Row],[Atheletes ]],Games_11[SALDO 12]),SUMIF(Games_11[ATHLETE 3],Analysis_24[[#This Row],[Atheletes ]],Games_11[SALDO 34]),SUMIF(Games_11[ATHLETE 4],Analysis_24[[#This Row],[Atheletes ]],Games_11[SALDO 34]))</f>
        <v>6</v>
      </c>
      <c r="F38" s="19">
        <f>SUM(SUMIF(Games_11[ATHLETE 1],Analysis_24[[#This Row],[Atheletes ]],Games_11[PM 12]),SUMIF(Games_11[ATHLETE 2],Analysis_24[[#This Row],[Atheletes ]],Games_11[PM 12]),SUMIF(Games_11[ATHLETE 3],Analysis_24[[#This Row],[Atheletes ]],Games_11[PM 34]),SUMIF(Games_11[ATHLETE 4],Analysis_24[[#This Row],[Atheletes ]],Games_11[PM 34]))</f>
        <v>70</v>
      </c>
      <c r="G38" s="14" t="str">
        <f>IF(COUNTBLANK(Games_11[[SCORE 1]:[SCORE 2]])=0,IF(RANK(H38,$H$34:$H$38)=1,RANK(H38,$H$34:$H$38)&amp;"st",IF(RANK(H38,$H$34:$H$38)=2,RANK(H38,$H$34:$H$38)&amp;"nd",IF(RANK(H38,$H$34:$H$38)=3,RANK(H38,$H$34:$H$38)&amp;"rd",RANK(H38,$H$34:$H$38)&amp;"th"))),"")</f>
        <v>2nd</v>
      </c>
      <c r="H38" s="85">
        <f>Analysis_24[[#This Row],[WIN]]*1000000+Analysis_24[[#This Row],[Saldo]]*1000+Analysis_24[[#This Row],[PM]]</f>
        <v>2006070</v>
      </c>
      <c r="I38" s="57">
        <f>H38</f>
        <v>2006070</v>
      </c>
      <c r="J38" s="57" t="str">
        <f>B38</f>
        <v>João Barreto</v>
      </c>
      <c r="K38" s="56" t="str">
        <f>IF(RANK(I38,$I$20:$I$38)=1,RANK(I38,$I$20:$I$38)&amp;"st",IF(RANK(I38,$I$20:$I$38)=2,RANK(I38,$I$20:$I$38)&amp;"nd",IF(RANK(I38,$I$20:$I$38)=3,RANK(I38,$I$20:$I$38)&amp;"rd",RANK(I38,$I$20:$I$38)&amp;"th")))</f>
        <v>6th</v>
      </c>
      <c r="L38" s="432" t="str">
        <f>IF(OR($N$31="",$O$31=""),"",IF($N$32="WIN",$L$31,$P$31))</f>
        <v>Pedro Nagib</v>
      </c>
      <c r="M38" s="30" t="str">
        <f>Analysis_24[[#This Row],[Atheletes ]]</f>
        <v>João Barreto</v>
      </c>
      <c r="N38" s="86">
        <v>16</v>
      </c>
      <c r="O38" s="86">
        <v>18</v>
      </c>
      <c r="P38" s="432" t="str">
        <f>IF(OR($N$31="",$O$31=""),"",IF($N$32="WIN",$M$31,$Q$31))</f>
        <v>Bruno Soares</v>
      </c>
      <c r="Q38" s="30" t="str">
        <f>B24</f>
        <v>Bruno Montini</v>
      </c>
    </row>
    <row r="39" spans="1:17">
      <c r="L39" s="18" t="str">
        <f>IF(OR($N$38="",O38=""),"",IF($N$39="win","1st","2nd"))</f>
        <v>2nd</v>
      </c>
      <c r="N39" s="433" t="str">
        <f>IF(OR($N$38="",$O$38=""),"",IF(($N$38&gt;$O$38),"WIN","LOSE"))</f>
        <v>LOSE</v>
      </c>
      <c r="O39" s="433" t="str">
        <f>IF(OR($N$38="",$O$38=""),"",IF(($N$38&lt;$O$38),"WIN","LOSE"))</f>
        <v>WIN</v>
      </c>
      <c r="P39" s="18" t="str">
        <f>IF(OR(N38="",O38=""),"",IF($O$39="win","1st","2nd"))</f>
        <v>1st</v>
      </c>
    </row>
  </sheetData>
  <sheetProtection algorithmName="SHA-512" hashValue="OADNc22bl3Xbl3AOVptQolCVBT+Kj/aEh3+x3H7/RBWqLZ7wz2/JKnmvlwmjFA43fS2YS/22Q7GY/22cnevvzA==" saltValue="2kgDPxmY/3FjjfMqaaETUg==" spinCount="100000" sheet="1" objects="1" scenarios="1"/>
  <mergeCells count="10">
    <mergeCell ref="N37:O37"/>
    <mergeCell ref="S1:T1"/>
    <mergeCell ref="A18:G18"/>
    <mergeCell ref="L29:Q29"/>
    <mergeCell ref="N30:O30"/>
    <mergeCell ref="L36:Q36"/>
    <mergeCell ref="A1:A16"/>
    <mergeCell ref="L18:Q18"/>
    <mergeCell ref="N19:O19"/>
    <mergeCell ref="N24:O24"/>
  </mergeCells>
  <phoneticPr fontId="1" type="noConversion"/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38AF-54C5-5C42-8C1C-5238DB34F648}">
  <sheetPr codeName="Sheet3"/>
  <dimension ref="A1:U33"/>
  <sheetViews>
    <sheetView workbookViewId="0">
      <selection activeCell="B22" sqref="B22"/>
    </sheetView>
    <sheetView workbookViewId="1">
      <selection sqref="A1:A10"/>
    </sheetView>
  </sheetViews>
  <sheetFormatPr defaultColWidth="8.85546875" defaultRowHeight="15"/>
  <cols>
    <col min="1" max="1" width="9.7109375" customWidth="1"/>
    <col min="2" max="2" width="12.28515625" bestFit="1" customWidth="1"/>
    <col min="3" max="4" width="20" customWidth="1"/>
    <col min="5" max="6" width="9.7109375" customWidth="1"/>
    <col min="7" max="7" width="14.140625" bestFit="1" customWidth="1"/>
    <col min="8" max="8" width="11.28515625" hidden="1" customWidth="1"/>
    <col min="9" max="9" width="12" hidden="1" customWidth="1"/>
    <col min="10" max="10" width="10.7109375" hidden="1" customWidth="1"/>
    <col min="11" max="11" width="8" hidden="1" customWidth="1"/>
    <col min="12" max="12" width="20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2.140625" bestFit="1" customWidth="1"/>
    <col min="21" max="22" width="9.7109375" bestFit="1" customWidth="1"/>
  </cols>
  <sheetData>
    <row r="1" spans="1:21" ht="15" customHeight="1">
      <c r="A1" s="551" t="s">
        <v>201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202</v>
      </c>
      <c r="U1" s="545"/>
    </row>
    <row r="2" spans="1:21" ht="15" customHeight="1">
      <c r="A2" s="551"/>
      <c r="B2" s="13" t="s">
        <v>178</v>
      </c>
      <c r="C2" s="1" t="str">
        <f>B14</f>
        <v>Gabriel Velloso</v>
      </c>
      <c r="D2" s="32" t="str">
        <f>B15</f>
        <v>Guilherme Nascimento</v>
      </c>
      <c r="E2" s="116">
        <v>6</v>
      </c>
      <c r="F2" s="116">
        <v>18</v>
      </c>
      <c r="G2" s="31" t="str">
        <f>B16</f>
        <v>Jose Hermano</v>
      </c>
      <c r="H2" s="63"/>
      <c r="I2" s="63"/>
      <c r="J2" s="63"/>
      <c r="K2" s="63"/>
      <c r="L2" s="16" t="str">
        <f>B17</f>
        <v>Bruno Soares</v>
      </c>
      <c r="M2" s="13">
        <f>IF(OR(Table41013172512475452986841158[[#This Row],[SCORE 1]]="",Table41013172512475452986841158[[#This Row],[SCORE 2]]=""),"",Table41013172512475452986841158[[#This Row],[SCORE 1]]-Table41013172512475452986841158[[#This Row],[SCORE 2]])</f>
        <v>-12</v>
      </c>
      <c r="N2" s="13">
        <f>IF(OR(Table41013172512475452986841158[[#This Row],[SCORE 1]]="",Table41013172512475452986841158[[#This Row],[SCORE 2]]=""),"",Table41013172512475452986841158[[#This Row],[SCORE 2]]-Table41013172512475452986841158[[#This Row],[SCORE 1]])</f>
        <v>12</v>
      </c>
      <c r="O2" s="13">
        <f>IF(Table41013172512475452986841158[[#This Row],[SCORE 1]]="","",Table41013172512475452986841158[[#This Row],[SCORE 1]])</f>
        <v>6</v>
      </c>
      <c r="P2" s="13">
        <f>IF(Table41013172512475452986841158[[#This Row],[SCORE 2]]="","",Table41013172512475452986841158[[#This Row],[SCORE 2]])</f>
        <v>18</v>
      </c>
      <c r="Q2" s="13" t="str">
        <f>IF(OR(Table41013172512475452986841158[[#This Row],[SCORE 1]]="",Table41013172512475452986841158[[#This Row],[SCORE 2]]=""),"",IF(Table41013172512475452986841158[[#This Row],[SALDO 12]]&gt;0, "WIN","LOSE"))</f>
        <v>LOSE</v>
      </c>
      <c r="R2" s="13" t="str">
        <f>IF(OR(Table41013172512475452986841158[[#This Row],[SCORE 1]]="",Table41013172512475452986841158[[#This Row],[SCORE 2]]=""),"",IF(Table41013172512475452986841158[[#This Row],[SALDO 34]]&gt;0, "WIN","LOSE"))</f>
        <v>WIN</v>
      </c>
      <c r="T2" s="35" t="s">
        <v>179</v>
      </c>
      <c r="U2" s="35" t="s">
        <v>8</v>
      </c>
    </row>
    <row r="3" spans="1:21">
      <c r="A3" s="551"/>
      <c r="B3" s="13" t="s">
        <v>180</v>
      </c>
      <c r="C3" s="1" t="str">
        <f>B20</f>
        <v>Thomas Zahn</v>
      </c>
      <c r="D3" s="32" t="str">
        <f>B21</f>
        <v>Renan Guiot</v>
      </c>
      <c r="E3" s="116">
        <v>12</v>
      </c>
      <c r="F3" s="116">
        <v>18</v>
      </c>
      <c r="G3" s="31" t="str">
        <f>B22</f>
        <v>Thyago Henrique</v>
      </c>
      <c r="H3" s="63"/>
      <c r="I3" s="63"/>
      <c r="J3" s="63"/>
      <c r="K3" s="63"/>
      <c r="L3" s="16" t="str">
        <f>B23</f>
        <v>João Barreto</v>
      </c>
      <c r="M3" s="13">
        <f>IF(OR(Table41013172512475452986841158[[#This Row],[SCORE 1]]="",Table41013172512475452986841158[[#This Row],[SCORE 2]]=""),"",Table41013172512475452986841158[[#This Row],[SCORE 1]]-Table41013172512475452986841158[[#This Row],[SCORE 2]])</f>
        <v>-6</v>
      </c>
      <c r="N3" s="13">
        <f>IF(OR(Table41013172512475452986841158[[#This Row],[SCORE 1]]="",Table41013172512475452986841158[[#This Row],[SCORE 2]]=""),"",Table41013172512475452986841158[[#This Row],[SCORE 2]]-Table41013172512475452986841158[[#This Row],[SCORE 1]])</f>
        <v>6</v>
      </c>
      <c r="O3" s="13">
        <f>IF(Table41013172512475452986841158[[#This Row],[SCORE 1]]="","",Table41013172512475452986841158[[#This Row],[SCORE 1]])</f>
        <v>12</v>
      </c>
      <c r="P3" s="13">
        <f>IF(Table41013172512475452986841158[[#This Row],[SCORE 2]]="","",Table41013172512475452986841158[[#This Row],[SCORE 2]])</f>
        <v>18</v>
      </c>
      <c r="Q3" s="13" t="str">
        <f>IF(OR(Table41013172512475452986841158[[#This Row],[SCORE 1]]="",Table41013172512475452986841158[[#This Row],[SCORE 2]]=""),"",IF(Table41013172512475452986841158[[#This Row],[SALDO 12]]&gt;0, "WIN","LOSE"))</f>
        <v>LOSE</v>
      </c>
      <c r="R3" s="13" t="str">
        <f>IF(OR(Table41013172512475452986841158[[#This Row],[SCORE 1]]="",Table41013172512475452986841158[[#This Row],[SCORE 2]]=""),"",IF(Table41013172512475452986841158[[#This Row],[SALDO 34]]&gt;0, "WIN","LOSE"))</f>
        <v>WIN</v>
      </c>
      <c r="T3" s="70" t="str">
        <f>IFERROR(_xlfn.XLOOKUP(Table152028325060721017145161[[#This Row],[Rank]],$M$33:$R$33,$M$32:$R$32),"")</f>
        <v>João Barreto</v>
      </c>
      <c r="U3" s="67" t="s">
        <v>19</v>
      </c>
    </row>
    <row r="4" spans="1:21">
      <c r="A4" s="551"/>
      <c r="B4" s="13" t="s">
        <v>181</v>
      </c>
      <c r="C4" s="1" t="str">
        <f>B26</f>
        <v>Gerardo Torres</v>
      </c>
      <c r="D4" s="32" t="str">
        <f>B27</f>
        <v>Arthur Minota</v>
      </c>
      <c r="E4" s="116">
        <v>11</v>
      </c>
      <c r="F4" s="116">
        <v>18</v>
      </c>
      <c r="G4" s="31" t="str">
        <f>B28</f>
        <v>Victor Alemão</v>
      </c>
      <c r="H4" s="63"/>
      <c r="I4" s="63"/>
      <c r="J4" s="63"/>
      <c r="K4" s="63"/>
      <c r="L4" s="16" t="str">
        <f>B29</f>
        <v>Bruno Montini</v>
      </c>
      <c r="M4" s="13">
        <f>IF(OR(Table41013172512475452986841158[[#This Row],[SCORE 1]]="",Table41013172512475452986841158[[#This Row],[SCORE 2]]=""),"",Table41013172512475452986841158[[#This Row],[SCORE 1]]-Table41013172512475452986841158[[#This Row],[SCORE 2]])</f>
        <v>-7</v>
      </c>
      <c r="N4" s="13">
        <f>IF(OR(Table41013172512475452986841158[[#This Row],[SCORE 1]]="",Table41013172512475452986841158[[#This Row],[SCORE 2]]=""),"",Table41013172512475452986841158[[#This Row],[SCORE 2]]-Table41013172512475452986841158[[#This Row],[SCORE 1]])</f>
        <v>7</v>
      </c>
      <c r="O4" s="13">
        <f>IF(Table41013172512475452986841158[[#This Row],[SCORE 1]]="","",Table41013172512475452986841158[[#This Row],[SCORE 1]])</f>
        <v>11</v>
      </c>
      <c r="P4" s="13">
        <f>IF(Table41013172512475452986841158[[#This Row],[SCORE 2]]="","",Table41013172512475452986841158[[#This Row],[SCORE 2]])</f>
        <v>18</v>
      </c>
      <c r="Q4" s="13" t="str">
        <f>IF(OR(Table41013172512475452986841158[[#This Row],[SCORE 1]]="",Table41013172512475452986841158[[#This Row],[SCORE 2]]=""),"",IF(Table41013172512475452986841158[[#This Row],[SALDO 12]]&gt;0, "WIN","LOSE"))</f>
        <v>LOSE</v>
      </c>
      <c r="R4" s="13" t="str">
        <f>IF(OR(Table41013172512475452986841158[[#This Row],[SCORE 1]]="",Table41013172512475452986841158[[#This Row],[SCORE 2]]=""),"",IF(Table41013172512475452986841158[[#This Row],[SALDO 34]]&gt;0, "WIN","LOSE"))</f>
        <v>WIN</v>
      </c>
      <c r="T4" s="70" t="str">
        <f>IFERROR(_xlfn.XLOOKUP(Table152028325060721017145161[[#This Row],[Rank]],$M$33:$R$33,$M$32:$R$32),"")</f>
        <v>Thyago Henrique</v>
      </c>
      <c r="U4" s="67" t="s">
        <v>22</v>
      </c>
    </row>
    <row r="5" spans="1:21">
      <c r="A5" s="551"/>
      <c r="B5" s="13" t="s">
        <v>178</v>
      </c>
      <c r="C5" s="1" t="str">
        <f>B14</f>
        <v>Gabriel Velloso</v>
      </c>
      <c r="D5" s="32" t="str">
        <f>B17</f>
        <v>Bruno Soares</v>
      </c>
      <c r="E5" s="116">
        <v>18</v>
      </c>
      <c r="F5" s="116">
        <v>16</v>
      </c>
      <c r="G5" s="31" t="str">
        <f>B15</f>
        <v>Guilherme Nascimento</v>
      </c>
      <c r="H5" s="63"/>
      <c r="I5" s="63"/>
      <c r="J5" s="63"/>
      <c r="K5" s="63"/>
      <c r="L5" s="16" t="str">
        <f>B16</f>
        <v>Jose Hermano</v>
      </c>
      <c r="M5" s="13">
        <f>IF(OR(Table41013172512475452986841158[[#This Row],[SCORE 1]]="",Table41013172512475452986841158[[#This Row],[SCORE 2]]=""),"",Table41013172512475452986841158[[#This Row],[SCORE 1]]-Table41013172512475452986841158[[#This Row],[SCORE 2]])</f>
        <v>2</v>
      </c>
      <c r="N5" s="13">
        <f>IF(OR(Table41013172512475452986841158[[#This Row],[SCORE 1]]="",Table41013172512475452986841158[[#This Row],[SCORE 2]]=""),"",Table41013172512475452986841158[[#This Row],[SCORE 2]]-Table41013172512475452986841158[[#This Row],[SCORE 1]])</f>
        <v>-2</v>
      </c>
      <c r="O5" s="13">
        <f>IF(Table41013172512475452986841158[[#This Row],[SCORE 1]]="","",Table41013172512475452986841158[[#This Row],[SCORE 1]])</f>
        <v>18</v>
      </c>
      <c r="P5" s="13">
        <f>IF(Table41013172512475452986841158[[#This Row],[SCORE 2]]="","",Table41013172512475452986841158[[#This Row],[SCORE 2]])</f>
        <v>16</v>
      </c>
      <c r="Q5" s="13" t="str">
        <f>IF(OR(Table41013172512475452986841158[[#This Row],[SCORE 1]]="",Table41013172512475452986841158[[#This Row],[SCORE 2]]=""),"",IF(Table41013172512475452986841158[[#This Row],[SALDO 12]]&gt;0, "WIN","LOSE"))</f>
        <v>WIN</v>
      </c>
      <c r="R5" s="13" t="str">
        <f>IF(OR(Table41013172512475452986841158[[#This Row],[SCORE 1]]="",Table41013172512475452986841158[[#This Row],[SCORE 2]]=""),"",IF(Table41013172512475452986841158[[#This Row],[SALDO 34]]&gt;0, "WIN","LOSE"))</f>
        <v>LOSE</v>
      </c>
      <c r="T5" s="70" t="str">
        <f>IFERROR(_xlfn.XLOOKUP(Table152028325060721017145161[[#This Row],[Rank]],$M$26:$R$26,$M$25:$R$25),"")</f>
        <v>Gerardo Torres</v>
      </c>
      <c r="U5" s="67" t="s">
        <v>25</v>
      </c>
    </row>
    <row r="6" spans="1:21">
      <c r="A6" s="551"/>
      <c r="B6" s="13" t="s">
        <v>180</v>
      </c>
      <c r="C6" s="1" t="str">
        <f>B20</f>
        <v>Thomas Zahn</v>
      </c>
      <c r="D6" s="32" t="str">
        <f>B23</f>
        <v>João Barreto</v>
      </c>
      <c r="E6" s="116">
        <v>18</v>
      </c>
      <c r="F6" s="116">
        <v>12</v>
      </c>
      <c r="G6" s="31" t="str">
        <f>B21</f>
        <v>Renan Guiot</v>
      </c>
      <c r="H6" s="63"/>
      <c r="I6" s="63"/>
      <c r="J6" s="63"/>
      <c r="K6" s="63"/>
      <c r="L6" s="16" t="str">
        <f>B22</f>
        <v>Thyago Henrique</v>
      </c>
      <c r="M6" s="13">
        <f>IF(OR(Table41013172512475452986841158[[#This Row],[SCORE 1]]="",Table41013172512475452986841158[[#This Row],[SCORE 2]]=""),"",Table41013172512475452986841158[[#This Row],[SCORE 1]]-Table41013172512475452986841158[[#This Row],[SCORE 2]])</f>
        <v>6</v>
      </c>
      <c r="N6" s="13">
        <f>IF(OR(Table41013172512475452986841158[[#This Row],[SCORE 1]]="",Table41013172512475452986841158[[#This Row],[SCORE 2]]=""),"",Table41013172512475452986841158[[#This Row],[SCORE 2]]-Table41013172512475452986841158[[#This Row],[SCORE 1]])</f>
        <v>-6</v>
      </c>
      <c r="O6" s="13">
        <f>IF(Table41013172512475452986841158[[#This Row],[SCORE 1]]="","",Table41013172512475452986841158[[#This Row],[SCORE 1]])</f>
        <v>18</v>
      </c>
      <c r="P6" s="13">
        <f>IF(Table41013172512475452986841158[[#This Row],[SCORE 2]]="","",Table41013172512475452986841158[[#This Row],[SCORE 2]])</f>
        <v>12</v>
      </c>
      <c r="Q6" s="13" t="str">
        <f>IF(OR(Table41013172512475452986841158[[#This Row],[SCORE 1]]="",Table41013172512475452986841158[[#This Row],[SCORE 2]]=""),"",IF(Table41013172512475452986841158[[#This Row],[SALDO 12]]&gt;0, "WIN","LOSE"))</f>
        <v>WIN</v>
      </c>
      <c r="R6" s="13" t="str">
        <f>IF(OR(Table41013172512475452986841158[[#This Row],[SCORE 1]]="",Table41013172512475452986841158[[#This Row],[SCORE 2]]=""),"",IF(Table41013172512475452986841158[[#This Row],[SALDO 34]]&gt;0, "WIN","LOSE"))</f>
        <v>LOSE</v>
      </c>
      <c r="T6" s="70" t="str">
        <f>IFERROR(_xlfn.XLOOKUP(Table152028325060721017145161[[#This Row],[Rank]],$M$26:$R$26,$M$25:$R$25),"")</f>
        <v>Victor Alemão</v>
      </c>
      <c r="U6" s="67" t="s">
        <v>28</v>
      </c>
    </row>
    <row r="7" spans="1:21">
      <c r="A7" s="551"/>
      <c r="B7" s="13" t="s">
        <v>181</v>
      </c>
      <c r="C7" s="1" t="str">
        <f>B26</f>
        <v>Gerardo Torres</v>
      </c>
      <c r="D7" s="32" t="str">
        <f>B29</f>
        <v>Bruno Montini</v>
      </c>
      <c r="E7" s="116">
        <v>18</v>
      </c>
      <c r="F7" s="116">
        <v>8</v>
      </c>
      <c r="G7" s="31" t="str">
        <f>B27</f>
        <v>Arthur Minota</v>
      </c>
      <c r="H7" s="63"/>
      <c r="I7" s="63"/>
      <c r="J7" s="63"/>
      <c r="K7" s="63"/>
      <c r="L7" s="16" t="str">
        <f>B28</f>
        <v>Victor Alemão</v>
      </c>
      <c r="M7" s="13">
        <f>IF(OR(Table41013172512475452986841158[[#This Row],[SCORE 1]]="",Table41013172512475452986841158[[#This Row],[SCORE 2]]=""),"",Table41013172512475452986841158[[#This Row],[SCORE 1]]-Table41013172512475452986841158[[#This Row],[SCORE 2]])</f>
        <v>10</v>
      </c>
      <c r="N7" s="13">
        <f>IF(OR(Table41013172512475452986841158[[#This Row],[SCORE 1]]="",Table41013172512475452986841158[[#This Row],[SCORE 2]]=""),"",Table41013172512475452986841158[[#This Row],[SCORE 2]]-Table41013172512475452986841158[[#This Row],[SCORE 1]])</f>
        <v>-10</v>
      </c>
      <c r="O7" s="13">
        <f>IF(Table41013172512475452986841158[[#This Row],[SCORE 1]]="","",Table41013172512475452986841158[[#This Row],[SCORE 1]])</f>
        <v>18</v>
      </c>
      <c r="P7" s="13">
        <f>IF(Table41013172512475452986841158[[#This Row],[SCORE 2]]="","",Table41013172512475452986841158[[#This Row],[SCORE 2]])</f>
        <v>8</v>
      </c>
      <c r="Q7" s="13" t="str">
        <f>IF(OR(Table41013172512475452986841158[[#This Row],[SCORE 1]]="",Table41013172512475452986841158[[#This Row],[SCORE 2]]=""),"",IF(Table41013172512475452986841158[[#This Row],[SALDO 12]]&gt;0, "WIN","LOSE"))</f>
        <v>WIN</v>
      </c>
      <c r="R7" s="13" t="str">
        <f>IF(OR(Table41013172512475452986841158[[#This Row],[SCORE 1]]="",Table41013172512475452986841158[[#This Row],[SCORE 2]]=""),"",IF(Table41013172512475452986841158[[#This Row],[SALDO 34]]&gt;0, "WIN","LOSE"))</f>
        <v>LOSE</v>
      </c>
      <c r="T7" s="70" t="str">
        <f>IF($O$15="lose",$M$14,_xlfn.XLOOKUP(Table152028325060721017145161[[#This Row],[Rank]],$M$20:$R$20,$M$19:$R$19,""))</f>
        <v>Bruno Montini</v>
      </c>
      <c r="U7" s="67" t="s">
        <v>31</v>
      </c>
    </row>
    <row r="8" spans="1:21">
      <c r="A8" s="551"/>
      <c r="B8" s="13" t="s">
        <v>178</v>
      </c>
      <c r="C8" s="1" t="str">
        <f>B14</f>
        <v>Gabriel Velloso</v>
      </c>
      <c r="D8" s="32" t="str">
        <f>B16</f>
        <v>Jose Hermano</v>
      </c>
      <c r="E8" s="116">
        <v>14</v>
      </c>
      <c r="F8" s="116">
        <v>18</v>
      </c>
      <c r="G8" s="31" t="str">
        <f>B17</f>
        <v>Bruno Soares</v>
      </c>
      <c r="H8" s="63"/>
      <c r="I8" s="63"/>
      <c r="J8" s="63"/>
      <c r="K8" s="63"/>
      <c r="L8" s="16" t="str">
        <f>B15</f>
        <v>Guilherme Nascimento</v>
      </c>
      <c r="M8" s="13">
        <f>IF(OR(Table41013172512475452986841158[[#This Row],[SCORE 1]]="",Table41013172512475452986841158[[#This Row],[SCORE 2]]=""),"",Table41013172512475452986841158[[#This Row],[SCORE 1]]-Table41013172512475452986841158[[#This Row],[SCORE 2]])</f>
        <v>-4</v>
      </c>
      <c r="N8" s="13">
        <f>IF(OR(Table41013172512475452986841158[[#This Row],[SCORE 1]]="",Table41013172512475452986841158[[#This Row],[SCORE 2]]=""),"",Table41013172512475452986841158[[#This Row],[SCORE 2]]-Table41013172512475452986841158[[#This Row],[SCORE 1]])</f>
        <v>4</v>
      </c>
      <c r="O8" s="13">
        <f>IF(Table41013172512475452986841158[[#This Row],[SCORE 1]]="","",Table41013172512475452986841158[[#This Row],[SCORE 1]])</f>
        <v>14</v>
      </c>
      <c r="P8" s="13">
        <f>IF(Table41013172512475452986841158[[#This Row],[SCORE 2]]="","",Table41013172512475452986841158[[#This Row],[SCORE 2]])</f>
        <v>18</v>
      </c>
      <c r="Q8" s="13" t="str">
        <f>IF(OR(Table41013172512475452986841158[[#This Row],[SCORE 1]]="",Table41013172512475452986841158[[#This Row],[SCORE 2]]=""),"",IF(Table41013172512475452986841158[[#This Row],[SALDO 12]]&gt;0, "WIN","LOSE"))</f>
        <v>LOSE</v>
      </c>
      <c r="R8" s="13" t="str">
        <f>IF(OR(Table41013172512475452986841158[[#This Row],[SCORE 1]]="",Table41013172512475452986841158[[#This Row],[SCORE 2]]=""),"",IF(Table41013172512475452986841158[[#This Row],[SALDO 34]]&gt;0, "WIN","LOSE"))</f>
        <v>WIN</v>
      </c>
      <c r="T8" s="70" t="str">
        <f>IF($O$15="lose",$N$14,_xlfn.XLOOKUP(Table152028325060721017145161[[#This Row],[Rank]],$M$20:$R$20,$M$19:$R$19,""))</f>
        <v>Bruno Soares</v>
      </c>
      <c r="U8" s="67" t="s">
        <v>34</v>
      </c>
    </row>
    <row r="9" spans="1:21">
      <c r="A9" s="551"/>
      <c r="B9" s="13" t="s">
        <v>180</v>
      </c>
      <c r="C9" s="1" t="str">
        <f>B20</f>
        <v>Thomas Zahn</v>
      </c>
      <c r="D9" s="32" t="str">
        <f>B22</f>
        <v>Thyago Henrique</v>
      </c>
      <c r="E9" s="116">
        <v>18</v>
      </c>
      <c r="F9" s="116">
        <v>16</v>
      </c>
      <c r="G9" s="31" t="str">
        <f>B23</f>
        <v>João Barreto</v>
      </c>
      <c r="H9" s="63"/>
      <c r="I9" s="63"/>
      <c r="J9" s="63"/>
      <c r="K9" s="63"/>
      <c r="L9" s="16" t="str">
        <f>B21</f>
        <v>Renan Guiot</v>
      </c>
      <c r="M9" s="13">
        <f>IF(OR(Table41013172512475452986841158[[#This Row],[SCORE 1]]="",Table41013172512475452986841158[[#This Row],[SCORE 2]]=""),"",Table41013172512475452986841158[[#This Row],[SCORE 1]]-Table41013172512475452986841158[[#This Row],[SCORE 2]])</f>
        <v>2</v>
      </c>
      <c r="N9" s="13">
        <f>IF(OR(Table41013172512475452986841158[[#This Row],[SCORE 1]]="",Table41013172512475452986841158[[#This Row],[SCORE 2]]=""),"",Table41013172512475452986841158[[#This Row],[SCORE 2]]-Table41013172512475452986841158[[#This Row],[SCORE 1]])</f>
        <v>-2</v>
      </c>
      <c r="O9" s="13">
        <f>IF(Table41013172512475452986841158[[#This Row],[SCORE 1]]="","",Table41013172512475452986841158[[#This Row],[SCORE 1]])</f>
        <v>18</v>
      </c>
      <c r="P9" s="13">
        <f>IF(Table41013172512475452986841158[[#This Row],[SCORE 2]]="","",Table41013172512475452986841158[[#This Row],[SCORE 2]])</f>
        <v>16</v>
      </c>
      <c r="Q9" s="13" t="str">
        <f>IF(OR(Table41013172512475452986841158[[#This Row],[SCORE 1]]="",Table41013172512475452986841158[[#This Row],[SCORE 2]]=""),"",IF(Table41013172512475452986841158[[#This Row],[SALDO 12]]&gt;0, "WIN","LOSE"))</f>
        <v>WIN</v>
      </c>
      <c r="R9" s="13" t="str">
        <f>IF(OR(Table41013172512475452986841158[[#This Row],[SCORE 1]]="",Table41013172512475452986841158[[#This Row],[SCORE 2]]=""),"",IF(Table41013172512475452986841158[[#This Row],[SALDO 34]]&gt;0, "WIN","LOSE"))</f>
        <v>LOSE</v>
      </c>
      <c r="T9" s="70" t="str">
        <f>IF($P$15="lose",$Q$14,_xlfn.XLOOKUP(Table152028325060721017145161[[#This Row],[Rank]],$M$20:$R$20,$M$19:$R$19,""))</f>
        <v>Thomas Zahn</v>
      </c>
      <c r="U9" s="67" t="s">
        <v>37</v>
      </c>
    </row>
    <row r="10" spans="1:21">
      <c r="A10" s="551"/>
      <c r="B10" s="13" t="s">
        <v>181</v>
      </c>
      <c r="C10" s="1" t="str">
        <f>B26</f>
        <v>Gerardo Torres</v>
      </c>
      <c r="D10" s="32" t="str">
        <f>B28</f>
        <v>Victor Alemão</v>
      </c>
      <c r="E10" s="116">
        <v>14</v>
      </c>
      <c r="F10" s="116">
        <v>18</v>
      </c>
      <c r="G10" s="31" t="str">
        <f>B29</f>
        <v>Bruno Montini</v>
      </c>
      <c r="H10" s="63"/>
      <c r="I10" s="63"/>
      <c r="J10" s="63"/>
      <c r="K10" s="63"/>
      <c r="L10" s="16" t="str">
        <f>B27</f>
        <v>Arthur Minota</v>
      </c>
      <c r="M10" s="13">
        <f>IF(OR(Table41013172512475452986841158[[#This Row],[SCORE 1]]="",Table41013172512475452986841158[[#This Row],[SCORE 2]]=""),"",Table41013172512475452986841158[[#This Row],[SCORE 1]]-Table41013172512475452986841158[[#This Row],[SCORE 2]])</f>
        <v>-4</v>
      </c>
      <c r="N10" s="13">
        <f>IF(OR(Table41013172512475452986841158[[#This Row],[SCORE 1]]="",Table41013172512475452986841158[[#This Row],[SCORE 2]]=""),"",Table41013172512475452986841158[[#This Row],[SCORE 2]]-Table41013172512475452986841158[[#This Row],[SCORE 1]])</f>
        <v>4</v>
      </c>
      <c r="O10" s="13">
        <f>IF(Table41013172512475452986841158[[#This Row],[SCORE 1]]="","",Table41013172512475452986841158[[#This Row],[SCORE 1]])</f>
        <v>14</v>
      </c>
      <c r="P10" s="13">
        <f>IF(Table41013172512475452986841158[[#This Row],[SCORE 2]]="","",Table41013172512475452986841158[[#This Row],[SCORE 2]])</f>
        <v>18</v>
      </c>
      <c r="Q10" s="13" t="str">
        <f>IF(OR(Table41013172512475452986841158[[#This Row],[SCORE 1]]="",Table41013172512475452986841158[[#This Row],[SCORE 2]]=""),"",IF(Table41013172512475452986841158[[#This Row],[SALDO 12]]&gt;0, "WIN","LOSE"))</f>
        <v>LOSE</v>
      </c>
      <c r="R10" s="13" t="str">
        <f>IF(OR(Table41013172512475452986841158[[#This Row],[SCORE 1]]="",Table41013172512475452986841158[[#This Row],[SCORE 2]]=""),"",IF(Table41013172512475452986841158[[#This Row],[SALDO 34]]&gt;0, "WIN","LOSE"))</f>
        <v>WIN</v>
      </c>
      <c r="T10" s="70" t="str">
        <f>IF($P$15="lose",$R$14,_xlfn.XLOOKUP(Table152028325060721017145161[[#This Row],[Rank]],$M$20:$R$20,$M$19:$R$19,""))</f>
        <v>Jose Hermano</v>
      </c>
      <c r="U10" s="67" t="s">
        <v>41</v>
      </c>
    </row>
    <row r="11" spans="1:21" ht="30" customHeight="1">
      <c r="T11" s="66" t="str" cm="1">
        <f t="array" ref="T11">IF(COUNTBLANK(Games_45056[[SCORE 1]:[SCORE 2]])=0,_xlfn.TEXTJOIN(", ", TRUE, _xlfn._xlws.FILTER($K$14:$K$25, $J$14:$J$25=U11, "")),"")</f>
        <v>Guilherme Nascimento</v>
      </c>
      <c r="U11" s="67" t="s">
        <v>44</v>
      </c>
    </row>
    <row r="12" spans="1:21" ht="30" customHeight="1">
      <c r="A12" s="546" t="s">
        <v>182</v>
      </c>
      <c r="B12" s="547"/>
      <c r="C12" s="547"/>
      <c r="D12" s="547"/>
      <c r="E12" s="547"/>
      <c r="F12" s="547"/>
      <c r="G12" s="547"/>
      <c r="H12" s="420"/>
      <c r="I12" s="420"/>
      <c r="J12" s="420"/>
      <c r="K12" s="420"/>
      <c r="M12" s="548" t="s">
        <v>183</v>
      </c>
      <c r="N12" s="549"/>
      <c r="O12" s="549"/>
      <c r="P12" s="549"/>
      <c r="Q12" s="549"/>
      <c r="R12" s="549"/>
      <c r="T12" s="66" t="str" cm="1">
        <f t="array" ref="T12">IF(COUNTBLANK(Games_45056[[SCORE 1]:[SCORE 2]])=0,_xlfn.TEXTJOIN(", ", TRUE, _xlfn._xlws.FILTER($K$14:$K$25, $J$14:$J$25=U12, "")),"")</f>
        <v>Arthur Minota</v>
      </c>
      <c r="U12" s="67" t="s">
        <v>39</v>
      </c>
    </row>
    <row r="13" spans="1:21" ht="15.95">
      <c r="A13" s="6" t="s">
        <v>184</v>
      </c>
      <c r="B13" s="7" t="s">
        <v>203</v>
      </c>
      <c r="C13" s="7" t="s">
        <v>186</v>
      </c>
      <c r="D13" s="7" t="s">
        <v>187</v>
      </c>
      <c r="E13" s="7" t="s">
        <v>188</v>
      </c>
      <c r="F13" s="7" t="s">
        <v>189</v>
      </c>
      <c r="G13" s="7" t="s">
        <v>8</v>
      </c>
      <c r="H13" s="80" t="s">
        <v>204</v>
      </c>
      <c r="I13" s="20" t="s">
        <v>191</v>
      </c>
      <c r="J13" s="20" t="s">
        <v>192</v>
      </c>
      <c r="K13" s="20" t="s">
        <v>1</v>
      </c>
      <c r="L13" s="20" t="s">
        <v>192</v>
      </c>
      <c r="M13" s="418" t="s">
        <v>193</v>
      </c>
      <c r="N13" s="418" t="s">
        <v>194</v>
      </c>
      <c r="O13" s="542" t="s">
        <v>195</v>
      </c>
      <c r="P13" s="543"/>
      <c r="Q13" s="418" t="s">
        <v>196</v>
      </c>
      <c r="R13" s="418" t="s">
        <v>197</v>
      </c>
      <c r="T13" s="66" t="str" cm="1">
        <f t="array" ref="T13">IF(COUNTBLANK(Games_45056[[SCORE 1]:[SCORE 2]])=0,_xlfn.TEXTJOIN(", ", TRUE, _xlfn._xlws.FILTER($K$14:$K$25, $J$14:$J$25=U13, "")),"")</f>
        <v>Gabriel Velloso</v>
      </c>
      <c r="U13" s="67" t="s">
        <v>49</v>
      </c>
    </row>
    <row r="14" spans="1:21">
      <c r="A14" s="4" t="s">
        <v>205</v>
      </c>
      <c r="B14" s="118" t="s">
        <v>52</v>
      </c>
      <c r="C14" s="14">
        <f>SUM(COUNTIFS(Table41013172512475452986841158[ATHLETE 1],Table361114182630485553996943159[[#This Row],[Athletes]],Table41013172512475452986841158[RESULT 12],Table361114182630485553996943159[[#Headers],[WIN]]),COUNTIFS(Table41013172512475452986841158[ATHLETE 2],Table361114182630485553996943159[[#This Row],[Athletes]],Table41013172512475452986841158[RESULT 12],Table361114182630485553996943159[[#Headers],[WIN]]),COUNTIFS(Table41013172512475452986841158[ATHLETE 3],Table361114182630485553996943159[[#This Row],[Athletes]],Table41013172512475452986841158[RESULT 34],Table361114182630485553996943159[[#Headers],[WIN]]),COUNTIFS(Table41013172512475452986841158[ATHLETE 4],Table361114182630485553996943159[[#This Row],[Athletes]],Table41013172512475452986841158[RESULT 34],Table361114182630485553996943159[[#Headers],[WIN]]))</f>
        <v>1</v>
      </c>
      <c r="D14" s="14">
        <f>SUM(COUNTIFS(Table41013172512475452986841158[ATHLETE 1],Table361114182630485553996943159[[#This Row],[Athletes]],Table41013172512475452986841158[RESULT 12],Table361114182630485553996943159[[#Headers],[LOSE]]),COUNTIFS(Table41013172512475452986841158[ATHLETE 2],Table361114182630485553996943159[[#This Row],[Athletes]],Table41013172512475452986841158[RESULT 12],Table361114182630485553996943159[[#Headers],[LOSE]]),COUNTIFS(Table41013172512475452986841158[ATHLETE 3],Table361114182630485553996943159[[#This Row],[Athletes]],Table41013172512475452986841158[RESULT 34],Table361114182630485553996943159[[#Headers],[LOSE]]),COUNTIFS(Table41013172512475452986841158[ATHLETE 4],Table361114182630485553996943159[[#This Row],[Athletes]],Table41013172512475452986841158[RESULT 34],Table361114182630485553996943159[[#Headers],[LOSE]]))</f>
        <v>2</v>
      </c>
      <c r="E14" s="19">
        <f>SUM(SUMIF(Table41013172512475452986841158[ATHLETE 1],Table361114182630485553996943159[[#This Row],[Athletes]],Table41013172512475452986841158[SALDO 12]),SUMIF(Table41013172512475452986841158[ATHLETE 2],Table361114182630485553996943159[[#This Row],[Athletes]],Table41013172512475452986841158[SALDO 12]),SUMIF(Table41013172512475452986841158[ATHLETE 3],Table361114182630485553996943159[[#This Row],[Athletes]],Table41013172512475452986841158[SALDO 34]),SUMIF(Table41013172512475452986841158[ATHLETE 4],Table361114182630485553996943159[[#This Row],[Athletes]],Table41013172512475452986841158[SALDO 34]))</f>
        <v>-14</v>
      </c>
      <c r="F14" s="19">
        <f>SUM(SUMIF(Table41013172512475452986841158[ATHLETE 1],Table361114182630485553996943159[[#This Row],[Athletes]],Table41013172512475452986841158[PM 12]),SUMIF(Table41013172512475452986841158[ATHLETE 2],Table361114182630485553996943159[[#This Row],[Athletes]],Table41013172512475452986841158[PM 12]),SUMIF(Table41013172512475452986841158[ATHLETE 3],Table361114182630485553996943159[[#This Row],[Athletes]],Table41013172512475452986841158[PM 34]),SUMIF(Table41013172512475452986841158[ATHLETE 4],Table361114182630485553996943159[[#This Row],[Athletes]],Table41013172512475452986841158[PM 34]))</f>
        <v>38</v>
      </c>
      <c r="G14" s="14" t="str">
        <f>IF(COUNTBLANK(Table41013172512475452986841158[[SCORE 1]:[SCORE 2]])=0,IF(RANK(H14,$H$14:$H$17)=1,RANK(H14,$H$14:$H$17)&amp;"st",IF(RANK(H14,$H$14:$H$17)=2,RANK(H14,$H$14:$H$17)&amp;"nd",RANK(H14,$H$14:$H$17)&amp;"th")),"")</f>
        <v>4th</v>
      </c>
      <c r="H14" s="51">
        <f>Table361114182630485553996943159[[#This Row],[WIN]]*1000000+Table361114182630485553996943159[[#This Row],[Saldo]]*1000+Table361114182630485553996943159[[#This Row],[PM]]</f>
        <v>986038</v>
      </c>
      <c r="I14" s="2">
        <f>H14</f>
        <v>986038</v>
      </c>
      <c r="J14" s="2" t="str">
        <f>IF(COUNTBLANK(Table41013172512475452986841158[[SCORE 1]:[SCORE 2]])=0,IF(RANK(I14,$I$14:$I$25)=1,RANK(I14,$I$14:$I$25)&amp;"st",IF(RANK(I14,$I$14:$I$25)=2,RANK(I14,$I$14:$I$25)&amp;"nd",IF(RANK(I14,$I$14:$I$25)=3,RANK(I14,$I$14:$I$25)&amp;"rd",RANK(I14,$I$14:$I$25)&amp;"th"))),"")</f>
        <v>11th</v>
      </c>
      <c r="K14" s="38" t="str">
        <f>Table361114182630485553996943159[[#This Row],[Athletes]]</f>
        <v>Gabriel Velloso</v>
      </c>
      <c r="L14" s="2" t="str">
        <f>J14</f>
        <v>11th</v>
      </c>
      <c r="M14" s="428" t="str" cm="1">
        <f t="array" ref="M14">_xlfn.TEXTJOIN(", ", TRUE, _xlfn._xlws.FILTER($K$14:$K$25, $J$14:$J$25=$U$3, ""))</f>
        <v>Bruno Montini</v>
      </c>
      <c r="N14" s="428" t="str" cm="1">
        <f t="array" ref="N14">_xlfn.TEXTJOIN(", ", TRUE, _xlfn._xlws.FILTER($K$14:$K$25, $J$14:$J$25=$U$4, ""))</f>
        <v>Bruno Soares</v>
      </c>
      <c r="O14" s="119">
        <v>0</v>
      </c>
      <c r="P14" s="120">
        <v>18</v>
      </c>
      <c r="Q14" s="428" t="str" cm="1">
        <f t="array" ref="Q14">_xlfn.TEXTJOIN(", ", TRUE, _xlfn._xlws.FILTER($K$14:$K$25, $J$14:$J$25=$U$9, ""))</f>
        <v>Gerardo Torres</v>
      </c>
      <c r="R14" s="428" t="str" cm="1">
        <f t="array" ref="R14">_xlfn.TEXTJOIN(", ", TRUE, _xlfn._xlws.FILTER($K$14:$K$25, $J$14:$J$25=$U$10, ""))</f>
        <v>Victor Alemão</v>
      </c>
      <c r="S14" s="68"/>
      <c r="T14" s="66" t="str" cm="1">
        <f t="array" ref="T14">IF(COUNTBLANK(Games_45056[[SCORE 1]:[SCORE 2]])=0,_xlfn.TEXTJOIN(", ", TRUE, _xlfn._xlws.FILTER($K$14:$K$25, $J$14:$J$25=U14, "")),"")</f>
        <v>Renan Guiot</v>
      </c>
      <c r="U14" s="67" t="s">
        <v>51</v>
      </c>
    </row>
    <row r="15" spans="1:21">
      <c r="A15" s="3" t="s">
        <v>206</v>
      </c>
      <c r="B15" s="118" t="s">
        <v>50</v>
      </c>
      <c r="C15" s="14">
        <f>SUM(COUNTIFS(Table41013172512475452986841158[ATHLETE 1],Table361114182630485553996943159[[#This Row],[Athletes]],Table41013172512475452986841158[RESULT 12],Table361114182630485553996943159[[#Headers],[WIN]]),COUNTIFS(Table41013172512475452986841158[ATHLETE 2],Table361114182630485553996943159[[#This Row],[Athletes]],Table41013172512475452986841158[RESULT 12],Table361114182630485553996943159[[#Headers],[WIN]]),COUNTIFS(Table41013172512475452986841158[ATHLETE 3],Table361114182630485553996943159[[#This Row],[Athletes]],Table41013172512475452986841158[RESULT 34],Table361114182630485553996943159[[#Headers],[WIN]]),COUNTIFS(Table41013172512475452986841158[ATHLETE 4],Table361114182630485553996943159[[#This Row],[Athletes]],Table41013172512475452986841158[RESULT 34],Table361114182630485553996943159[[#Headers],[WIN]]))</f>
        <v>1</v>
      </c>
      <c r="D15" s="14">
        <f>SUM(COUNTIFS(Table41013172512475452986841158[ATHLETE 1],Table361114182630485553996943159[[#This Row],[Athletes]],Table41013172512475452986841158[RESULT 12],Table361114182630485553996943159[[#Headers],[LOSE]]),COUNTIFS(Table41013172512475452986841158[ATHLETE 2],Table361114182630485553996943159[[#This Row],[Athletes]],Table41013172512475452986841158[RESULT 12],Table361114182630485553996943159[[#Headers],[LOSE]]),COUNTIFS(Table41013172512475452986841158[ATHLETE 3],Table361114182630485553996943159[[#This Row],[Athletes]],Table41013172512475452986841158[RESULT 34],Table361114182630485553996943159[[#Headers],[LOSE]]),COUNTIFS(Table41013172512475452986841158[ATHLETE 4],Table361114182630485553996943159[[#This Row],[Athletes]],Table41013172512475452986841158[RESULT 34],Table361114182630485553996943159[[#Headers],[LOSE]]))</f>
        <v>2</v>
      </c>
      <c r="E15" s="19">
        <f>SUM(SUMIF(Table41013172512475452986841158[ATHLETE 1],Table361114182630485553996943159[[#This Row],[Athletes]],Table41013172512475452986841158[SALDO 12]),SUMIF(Table41013172512475452986841158[ATHLETE 2],Table361114182630485553996943159[[#This Row],[Athletes]],Table41013172512475452986841158[SALDO 12]),SUMIF(Table41013172512475452986841158[ATHLETE 3],Table361114182630485553996943159[[#This Row],[Athletes]],Table41013172512475452986841158[SALDO 34]),SUMIF(Table41013172512475452986841158[ATHLETE 4],Table361114182630485553996943159[[#This Row],[Athletes]],Table41013172512475452986841158[SALDO 34]))</f>
        <v>-10</v>
      </c>
      <c r="F15" s="19">
        <f>SUM(SUMIF(Table41013172512475452986841158[ATHLETE 1],Table361114182630485553996943159[[#This Row],[Athletes]],Table41013172512475452986841158[PM 12]),SUMIF(Table41013172512475452986841158[ATHLETE 2],Table361114182630485553996943159[[#This Row],[Athletes]],Table41013172512475452986841158[PM 12]),SUMIF(Table41013172512475452986841158[ATHLETE 3],Table361114182630485553996943159[[#This Row],[Athletes]],Table41013172512475452986841158[PM 34]),SUMIF(Table41013172512475452986841158[ATHLETE 4],Table361114182630485553996943159[[#This Row],[Athletes]],Table41013172512475452986841158[PM 34]))</f>
        <v>40</v>
      </c>
      <c r="G15" s="14" t="str">
        <f>IF(COUNTBLANK(Table41013172512475452986841158[[SCORE 1]:[SCORE 2]])=0,IF(RANK(H15,$H$14:$H$17)=1,RANK(H15,$H$14:$H$17)&amp;"st",IF(RANK(H15,$H$14:$H$17)=2,RANK(H15,$H$14:$H$17)&amp;"nd",RANK(H15,$H$14:$H$17)&amp;"th")),"")</f>
        <v>3th</v>
      </c>
      <c r="H15" s="51">
        <f>Table361114182630485553996943159[[#This Row],[WIN]]*1000000+Table361114182630485553996943159[[#This Row],[Saldo]]*1000+Table361114182630485553996943159[[#This Row],[PM]]</f>
        <v>990040</v>
      </c>
      <c r="I15" s="2">
        <f t="shared" ref="I15:I17" si="0">H15</f>
        <v>990040</v>
      </c>
      <c r="J15" s="2" t="str">
        <f>IF(COUNTBLANK(Table41013172512475452986841158[[SCORE 1]:[SCORE 2]])=0,IF(RANK(I15,$I$14:$I$25)=1,RANK(I15,$I$14:$I$25)&amp;"st",IF(RANK(I15,$I$14:$I$25)=2,RANK(I15,$I$14:$I$25)&amp;"nd",IF(RANK(I15,$I$14:$I$25)=3,RANK(I15,$I$14:$I$25)&amp;"rd",RANK(I15,$I$14:$I$25)&amp;"th"))),"")</f>
        <v>9th</v>
      </c>
      <c r="K15" s="38" t="str">
        <f>Table361114182630485553996943159[[#This Row],[Athletes]]</f>
        <v>Guilherme Nascimento</v>
      </c>
      <c r="L15" s="2" t="str">
        <f t="shared" ref="L15:L17" si="1">J15</f>
        <v>9th</v>
      </c>
      <c r="M15" s="127" t="str">
        <f>IF($O$15="lose",$U$7,"")</f>
        <v>5th</v>
      </c>
      <c r="N15" s="127" t="str">
        <f>IF($O$15="lose",$U$8,"")</f>
        <v>6th</v>
      </c>
      <c r="O15" s="2" t="str">
        <f>IF(OR(O14="",P14=""),"",IF((O14&gt;P14),"WIN","LOSE"))</f>
        <v>LOSE</v>
      </c>
      <c r="P15" s="2" t="str">
        <f>IF(OR(O14="",P14=""),"",IF((O14&lt;P14),"WIN","LOSE"))</f>
        <v>WIN</v>
      </c>
      <c r="Q15" s="127" t="str">
        <f>IF($P$15="lose",$U$9,"")</f>
        <v/>
      </c>
      <c r="R15" s="127" t="str">
        <f>IF($P$15="lose",$U$10,"")</f>
        <v/>
      </c>
      <c r="S15" s="17"/>
    </row>
    <row r="16" spans="1:21">
      <c r="A16" s="3" t="s">
        <v>207</v>
      </c>
      <c r="B16" s="118" t="s">
        <v>46</v>
      </c>
      <c r="C16" s="14">
        <f>SUM(COUNTIFS(Table41013172512475452986841158[ATHLETE 1],Table361114182630485553996943159[[#This Row],[Athletes]],Table41013172512475452986841158[RESULT 12],Table361114182630485553996943159[[#Headers],[WIN]]),COUNTIFS(Table41013172512475452986841158[ATHLETE 2],Table361114182630485553996943159[[#This Row],[Athletes]],Table41013172512475452986841158[RESULT 12],Table361114182630485553996943159[[#Headers],[WIN]]),COUNTIFS(Table41013172512475452986841158[ATHLETE 3],Table361114182630485553996943159[[#This Row],[Athletes]],Table41013172512475452986841158[RESULT 34],Table361114182630485553996943159[[#Headers],[WIN]]),COUNTIFS(Table41013172512475452986841158[ATHLETE 4],Table361114182630485553996943159[[#This Row],[Athletes]],Table41013172512475452986841158[RESULT 34],Table361114182630485553996943159[[#Headers],[WIN]]))</f>
        <v>1</v>
      </c>
      <c r="D16" s="14">
        <f>SUM(COUNTIFS(Table41013172512475452986841158[ATHLETE 1],Table361114182630485553996943159[[#This Row],[Athletes]],Table41013172512475452986841158[RESULT 12],Table361114182630485553996943159[[#Headers],[LOSE]]),COUNTIFS(Table41013172512475452986841158[ATHLETE 2],Table361114182630485553996943159[[#This Row],[Athletes]],Table41013172512475452986841158[RESULT 12],Table361114182630485553996943159[[#Headers],[LOSE]]),COUNTIFS(Table41013172512475452986841158[ATHLETE 3],Table361114182630485553996943159[[#This Row],[Athletes]],Table41013172512475452986841158[RESULT 34],Table361114182630485553996943159[[#Headers],[LOSE]]),COUNTIFS(Table41013172512475452986841158[ATHLETE 4],Table361114182630485553996943159[[#This Row],[Athletes]],Table41013172512475452986841158[RESULT 34],Table361114182630485553996943159[[#Headers],[LOSE]]))</f>
        <v>2</v>
      </c>
      <c r="E16" s="19">
        <f>SUM(SUMIF(Table41013172512475452986841158[ATHLETE 1],Table361114182630485553996943159[[#This Row],[Athletes]],Table41013172512475452986841158[SALDO 12]),SUMIF(Table41013172512475452986841158[ATHLETE 2],Table361114182630485553996943159[[#This Row],[Athletes]],Table41013172512475452986841158[SALDO 12]),SUMIF(Table41013172512475452986841158[ATHLETE 3],Table361114182630485553996943159[[#This Row],[Athletes]],Table41013172512475452986841158[SALDO 34]),SUMIF(Table41013172512475452986841158[ATHLETE 4],Table361114182630485553996943159[[#This Row],[Athletes]],Table41013172512475452986841158[SALDO 34]))</f>
        <v>6</v>
      </c>
      <c r="F16" s="19">
        <f>SUM(SUMIF(Table41013172512475452986841158[ATHLETE 1],Table361114182630485553996943159[[#This Row],[Athletes]],Table41013172512475452986841158[PM 12]),SUMIF(Table41013172512475452986841158[ATHLETE 2],Table361114182630485553996943159[[#This Row],[Athletes]],Table41013172512475452986841158[PM 12]),SUMIF(Table41013172512475452986841158[ATHLETE 3],Table361114182630485553996943159[[#This Row],[Athletes]],Table41013172512475452986841158[PM 34]),SUMIF(Table41013172512475452986841158[ATHLETE 4],Table361114182630485553996943159[[#This Row],[Athletes]],Table41013172512475452986841158[PM 34]))</f>
        <v>48</v>
      </c>
      <c r="G16" s="14" t="str">
        <f>IF(COUNTBLANK(Table41013172512475452986841158[[SCORE 1]:[SCORE 2]])=0,IF(RANK(H16,$H$14:$H$17)=1,RANK(H16,$H$14:$H$17)&amp;"st",IF(RANK(H16,$H$14:$H$17)=2,RANK(H16,$H$14:$H$17)&amp;"nd",RANK(H16,$H$14:$H$17)&amp;"th")),"")</f>
        <v>2nd</v>
      </c>
      <c r="H16" s="51">
        <f>Table361114182630485553996943159[[#This Row],[WIN]]*1000000+Table361114182630485553996943159[[#This Row],[Saldo]]*1000+Table361114182630485553996943159[[#This Row],[PM]]</f>
        <v>1006048</v>
      </c>
      <c r="I16" s="2">
        <f t="shared" si="0"/>
        <v>1006048</v>
      </c>
      <c r="J16" s="2" t="str">
        <f>IF(COUNTBLANK(Table41013172512475452986841158[[SCORE 1]:[SCORE 2]])=0,IF(RANK(I16,$I$14:$I$25)=1,RANK(I16,$I$14:$I$25)&amp;"st",IF(RANK(I16,$I$14:$I$25)=2,RANK(I16,$I$14:$I$25)&amp;"nd",IF(RANK(I16,$I$14:$I$25)=3,RANK(I16,$I$14:$I$25)&amp;"rd",RANK(I16,$I$14:$I$25)&amp;"th"))),"")</f>
        <v>6th</v>
      </c>
      <c r="K16" s="38" t="str">
        <f>Table361114182630485553996943159[[#This Row],[Athletes]]</f>
        <v>Jose Hermano</v>
      </c>
      <c r="L16" s="2" t="str">
        <f t="shared" si="1"/>
        <v>6th</v>
      </c>
      <c r="M16" s="90">
        <v>1</v>
      </c>
      <c r="N16" s="90">
        <v>2</v>
      </c>
      <c r="O16" s="90"/>
      <c r="P16" s="90"/>
      <c r="Q16" s="90">
        <v>7</v>
      </c>
      <c r="R16" s="90">
        <v>8</v>
      </c>
    </row>
    <row r="17" spans="1:21" ht="15.95">
      <c r="A17" s="5" t="s">
        <v>208</v>
      </c>
      <c r="B17" s="118" t="s">
        <v>15</v>
      </c>
      <c r="C17" s="14">
        <f>SUM(COUNTIFS(Table41013172512475452986841158[ATHLETE 1],Table361114182630485553996943159[[#This Row],[Athletes]],Table41013172512475452986841158[RESULT 12],Table361114182630485553996943159[[#Headers],[WIN]]),COUNTIFS(Table41013172512475452986841158[ATHLETE 2],Table361114182630485553996943159[[#This Row],[Athletes]],Table41013172512475452986841158[RESULT 12],Table361114182630485553996943159[[#Headers],[WIN]]),COUNTIFS(Table41013172512475452986841158[ATHLETE 3],Table361114182630485553996943159[[#This Row],[Athletes]],Table41013172512475452986841158[RESULT 34],Table361114182630485553996943159[[#Headers],[WIN]]),COUNTIFS(Table41013172512475452986841158[ATHLETE 4],Table361114182630485553996943159[[#This Row],[Athletes]],Table41013172512475452986841158[RESULT 34],Table361114182630485553996943159[[#Headers],[WIN]]))</f>
        <v>3</v>
      </c>
      <c r="D17" s="14">
        <f>SUM(COUNTIFS(Table41013172512475452986841158[ATHLETE 1],Table361114182630485553996943159[[#This Row],[Athletes]],Table41013172512475452986841158[RESULT 12],Table361114182630485553996943159[[#Headers],[LOSE]]),COUNTIFS(Table41013172512475452986841158[ATHLETE 2],Table361114182630485553996943159[[#This Row],[Athletes]],Table41013172512475452986841158[RESULT 12],Table361114182630485553996943159[[#Headers],[LOSE]]),COUNTIFS(Table41013172512475452986841158[ATHLETE 3],Table361114182630485553996943159[[#This Row],[Athletes]],Table41013172512475452986841158[RESULT 34],Table361114182630485553996943159[[#Headers],[LOSE]]),COUNTIFS(Table41013172512475452986841158[ATHLETE 4],Table361114182630485553996943159[[#This Row],[Athletes]],Table41013172512475452986841158[RESULT 34],Table361114182630485553996943159[[#Headers],[LOSE]]))</f>
        <v>0</v>
      </c>
      <c r="E17" s="19">
        <f>SUM(SUMIF(Table41013172512475452986841158[ATHLETE 1],Table361114182630485553996943159[[#This Row],[Athletes]],Table41013172512475452986841158[SALDO 12]),SUMIF(Table41013172512475452986841158[ATHLETE 2],Table361114182630485553996943159[[#This Row],[Athletes]],Table41013172512475452986841158[SALDO 12]),SUMIF(Table41013172512475452986841158[ATHLETE 3],Table361114182630485553996943159[[#This Row],[Athletes]],Table41013172512475452986841158[SALDO 34]),SUMIF(Table41013172512475452986841158[ATHLETE 4],Table361114182630485553996943159[[#This Row],[Athletes]],Table41013172512475452986841158[SALDO 34]))</f>
        <v>18</v>
      </c>
      <c r="F17" s="19">
        <f>SUM(SUMIF(Table41013172512475452986841158[ATHLETE 1],Table361114182630485553996943159[[#This Row],[Athletes]],Table41013172512475452986841158[PM 12]),SUMIF(Table41013172512475452986841158[ATHLETE 2],Table361114182630485553996943159[[#This Row],[Athletes]],Table41013172512475452986841158[PM 12]),SUMIF(Table41013172512475452986841158[ATHLETE 3],Table361114182630485553996943159[[#This Row],[Athletes]],Table41013172512475452986841158[PM 34]),SUMIF(Table41013172512475452986841158[ATHLETE 4],Table361114182630485553996943159[[#This Row],[Athletes]],Table41013172512475452986841158[PM 34]))</f>
        <v>54</v>
      </c>
      <c r="G17" s="14" t="str">
        <f>IF(COUNTBLANK(Table41013172512475452986841158[[SCORE 1]:[SCORE 2]])=0,IF(RANK(H17,$H$14:$H$17)=1,RANK(H17,$H$14:$H$17)&amp;"st",IF(RANK(H17,$H$14:$H$17)=2,RANK(H17,$H$14:$H$17)&amp;"nd",RANK(H17,$H$14:$H$17)&amp;"th")),"")</f>
        <v>1st</v>
      </c>
      <c r="H17" s="51">
        <f>Table361114182630485553996943159[[#This Row],[WIN]]*1000000+Table361114182630485553996943159[[#This Row],[Saldo]]*1000+Table361114182630485553996943159[[#This Row],[PM]]</f>
        <v>3018054</v>
      </c>
      <c r="I17" s="2">
        <f t="shared" si="0"/>
        <v>3018054</v>
      </c>
      <c r="J17" s="2" t="str">
        <f>IF(COUNTBLANK(Table41013172512475452986841158[[SCORE 1]:[SCORE 2]])=0,IF(RANK(I17,$I$14:$I$25)=1,RANK(I17,$I$14:$I$25)&amp;"st",IF(RANK(I17,$I$14:$I$25)=2,RANK(I17,$I$14:$I$25)&amp;"nd",IF(RANK(I17,$I$14:$I$25)=3,RANK(I17,$I$14:$I$25)&amp;"rd",RANK(I17,$I$14:$I$25)&amp;"th"))),"")</f>
        <v>2nd</v>
      </c>
      <c r="K17" s="38" t="str">
        <f>Table361114182630485553996943159[[#This Row],[Athletes]]</f>
        <v>Bruno Soares</v>
      </c>
      <c r="L17" s="2" t="str">
        <f t="shared" si="1"/>
        <v>2nd</v>
      </c>
      <c r="M17" s="90"/>
      <c r="N17" s="90"/>
      <c r="O17" s="90"/>
      <c r="P17" s="90"/>
      <c r="Q17" s="90"/>
      <c r="R17" s="90"/>
      <c r="T17" s="44"/>
      <c r="U17" s="44"/>
    </row>
    <row r="18" spans="1:21">
      <c r="I18" s="2">
        <f>H20</f>
        <v>2002048</v>
      </c>
      <c r="J18" s="2" t="str">
        <f>IF(COUNTBLANK(Table41013172512475452986841158[[SCORE 1]:[SCORE 2]])=0,IF(RANK(I18,$I$14:$I$25)=1,RANK(I18,$I$14:$I$25)&amp;"st",IF(RANK(I18,$I$14:$I$25)=2,RANK(I18,$I$14:$I$25)&amp;"nd",IF(RANK(I18,$I$14:$I$25)=3,RANK(I18,$I$14:$I$25)&amp;"rd",RANK(I18,$I$14:$I$25)&amp;"th"))),"")</f>
        <v>4th</v>
      </c>
      <c r="K18" s="38" t="str">
        <f>B20</f>
        <v>Thomas Zahn</v>
      </c>
      <c r="L18" s="2"/>
      <c r="M18" s="418" t="s">
        <v>193</v>
      </c>
      <c r="N18" s="418" t="s">
        <v>194</v>
      </c>
      <c r="O18" s="542" t="s">
        <v>195</v>
      </c>
      <c r="P18" s="543"/>
      <c r="Q18" s="418" t="s">
        <v>196</v>
      </c>
      <c r="R18" s="418" t="s">
        <v>197</v>
      </c>
    </row>
    <row r="19" spans="1:21" s="44" customFormat="1" ht="28.5" customHeight="1">
      <c r="A19" s="9" t="s">
        <v>184</v>
      </c>
      <c r="B19" s="48" t="s">
        <v>203</v>
      </c>
      <c r="C19" s="48" t="s">
        <v>186</v>
      </c>
      <c r="D19" s="48" t="s">
        <v>187</v>
      </c>
      <c r="E19" s="48" t="s">
        <v>188</v>
      </c>
      <c r="F19" s="48" t="s">
        <v>189</v>
      </c>
      <c r="G19" s="43" t="s">
        <v>8</v>
      </c>
      <c r="H19" s="79" t="s">
        <v>204</v>
      </c>
      <c r="I19" s="2">
        <f>H21</f>
        <v>-13960</v>
      </c>
      <c r="J19" s="2" t="str">
        <f>IF(COUNTBLANK(Table41013172512475452986841158[[SCORE 1]:[SCORE 2]])=0,IF(RANK(I19,$I$14:$I$25)=1,RANK(I19,$I$14:$I$25)&amp;"st",IF(RANK(I19,$I$14:$I$25)=2,RANK(I19,$I$14:$I$25)&amp;"nd",IF(RANK(I19,$I$14:$I$25)=3,RANK(I19,$I$14:$I$25)&amp;"rd",RANK(I19,$I$14:$I$25)&amp;"th"))),"")</f>
        <v>12th</v>
      </c>
      <c r="K19" s="38" t="str">
        <f>B21</f>
        <v>Renan Guiot</v>
      </c>
      <c r="L19" s="419" t="s">
        <v>192</v>
      </c>
      <c r="M19" s="147" t="str" cm="1">
        <f t="array" ref="M19">_xlfn.TEXTJOIN(", ", TRUE, _xlfn._xlws.FILTER($K$14:$K$25, $J$14:$J$25=$U$5, ""))</f>
        <v>João Barreto</v>
      </c>
      <c r="N19" s="232" t="str">
        <f>B22</f>
        <v>Thyago Henrique</v>
      </c>
      <c r="O19" s="119">
        <v>18</v>
      </c>
      <c r="P19" s="119">
        <v>0</v>
      </c>
      <c r="Q19" s="232" t="str">
        <f>B20</f>
        <v>Thomas Zahn</v>
      </c>
      <c r="R19" s="428" t="str" cm="1">
        <f t="array" ref="R19">_xlfn.TEXTJOIN(", ", TRUE, _xlfn._xlws.FILTER($K$14:$K$25, $J$14:$J$25=$U$8, ""))</f>
        <v>Jose Hermano</v>
      </c>
      <c r="T19"/>
      <c r="U19"/>
    </row>
    <row r="20" spans="1:21">
      <c r="A20" s="430" t="s">
        <v>209</v>
      </c>
      <c r="B20" s="118" t="s">
        <v>35</v>
      </c>
      <c r="C20" s="14">
        <f>SUM(COUNTIFS(Table41013172512475452986841158[ATHLETE 1],Table612151927314956711007044160[[#This Row],[Athletes]],Table41013172512475452986841158[RESULT 12],Table361114182630485553996943159[[#Headers],[WIN]]),COUNTIFS(Table41013172512475452986841158[ATHLETE 2],Table612151927314956711007044160[[#This Row],[Athletes]],Table41013172512475452986841158[RESULT 12],Table361114182630485553996943159[[#Headers],[WIN]]),COUNTIFS(Table41013172512475452986841158[ATHLETE 3],Table612151927314956711007044160[[#This Row],[Athletes]],Table41013172512475452986841158[RESULT 34],Table361114182630485553996943159[[#Headers],[WIN]]),COUNTIFS(Table41013172512475452986841158[ATHLETE 4],Table612151927314956711007044160[[#This Row],[Athletes]],Table41013172512475452986841158[RESULT 34],Table361114182630485553996943159[[#Headers],[WIN]]))</f>
        <v>2</v>
      </c>
      <c r="D20" s="12">
        <f>SUM(COUNTIFS(Table41013172512475452986841158[ATHLETE 1],Table612151927314956711007044160[[#This Row],[Athletes]],Table41013172512475452986841158[RESULT 12],Table361114182630485553996943159[[#Headers],[LOSE]]),COUNTIFS(Table41013172512475452986841158[ATHLETE 2],Table612151927314956711007044160[[#This Row],[Athletes]],Table41013172512475452986841158[RESULT 12],Table361114182630485553996943159[[#Headers],[LOSE]]),COUNTIFS(Table41013172512475452986841158[ATHLETE 3],Table612151927314956711007044160[[#This Row],[Athletes]],Table41013172512475452986841158[RESULT 34],Table361114182630485553996943159[[#Headers],[LOSE]]),COUNTIFS(Table41013172512475452986841158[ATHLETE 4],Table612151927314956711007044160[[#This Row],[Athletes]],Table41013172512475452986841158[RESULT 34],Table361114182630485553996943159[[#Headers],[LOSE]]))</f>
        <v>1</v>
      </c>
      <c r="E20" s="19">
        <f>SUM(SUMIF(Table41013172512475452986841158[ATHLETE 1],Table612151927314956711007044160[[#This Row],[Athletes]],Table41013172512475452986841158[SALDO 12]),SUMIF(Table41013172512475452986841158[ATHLETE 2],Table612151927314956711007044160[[#This Row],[Athletes]],Table41013172512475452986841158[SALDO 12]),SUMIF(Table41013172512475452986841158[ATHLETE 3],Table612151927314956711007044160[[#This Row],[Athletes]],Table41013172512475452986841158[SALDO 34]),SUMIF(Table41013172512475452986841158[ATHLETE 4],Table612151927314956711007044160[[#This Row],[Athletes]],Table41013172512475452986841158[SALDO 34]))</f>
        <v>2</v>
      </c>
      <c r="F20" s="19">
        <f>SUM(SUMIF(Table41013172512475452986841158[ATHLETE 1],Table612151927314956711007044160[[#This Row],[Athletes]],Table41013172512475452986841158[PM 12]),SUMIF(Table41013172512475452986841158[ATHLETE 2],Table612151927314956711007044160[[#This Row],[Athletes]],Table41013172512475452986841158[PM 12]),SUMIF(Table41013172512475452986841158[ATHLETE 3],Table612151927314956711007044160[[#This Row],[Athletes]],Table41013172512475452986841158[PM 34]),SUMIF(Table41013172512475452986841158[ATHLETE 4],Table612151927314956711007044160[[#This Row],[Athletes]],Table41013172512475452986841158[PM 34]))</f>
        <v>48</v>
      </c>
      <c r="G20" s="14" t="str">
        <f>IF(COUNTBLANK(Table41013172512475452986841158[[SCORE 1]:[SCORE 2]])=0,IF(RANK(H20,$H$20:$H$23)=1,RANK(H20,$H$20:$H$23)&amp;"st",IF(RANK(H20,$H$20:$H$23)=2,RANK(H20,$H$20:$H$23)&amp;"nd",RANK(H20,$H$20:$H$23)&amp;"th")),"")</f>
        <v>2nd</v>
      </c>
      <c r="H20" s="51">
        <f>Table612151927314956711007044160[[#This Row],[WIN]]*1000000+Table612151927314956711007044160[[#This Row],[Saldo]]*1000+Table612151927314956711007044160[[#This Row],[PM]]</f>
        <v>2002048</v>
      </c>
      <c r="I20" s="2">
        <f>H22</f>
        <v>2002048</v>
      </c>
      <c r="J20" s="2" t="str">
        <f>IF(COUNTBLANK(Table41013172512475452986841158[[SCORE 1]:[SCORE 2]])=0,IF(RANK(I20,$I$14:$I$25)=1,RANK(I20,$I$14:$I$25)&amp;"st",IF(RANK(I20,$I$14:$I$25)=2,RANK(I20,$I$14:$I$25)&amp;"nd",IF(RANK(I20,$I$14:$I$25)=3,RANK(I20,$I$14:$I$25)&amp;"rd",RANK(I20,$I$14:$I$25)&amp;"th"))),"")</f>
        <v>4th</v>
      </c>
      <c r="K20" s="38" t="str">
        <f>B22</f>
        <v>Thyago Henrique</v>
      </c>
      <c r="L20" s="2" t="str">
        <f>J18</f>
        <v>4th</v>
      </c>
      <c r="M20" s="127" t="str">
        <f>IF(AND($O$20="lose",$O$15="lose"),$U$9,IF($O$20="lose",$U$7,""))</f>
        <v/>
      </c>
      <c r="N20" s="127" t="str">
        <f>IF(AND($O$20="lose",$O$15="lose"),$U$10,IF($O$20="lose",$U$8,""))</f>
        <v/>
      </c>
      <c r="O20" s="2" t="str">
        <f>IF(OR(O19="",P19=""),"",IF((O19&gt;P19),"WIN","LOSE"))</f>
        <v>WIN</v>
      </c>
      <c r="P20" s="2" t="str">
        <f>IF(OR(O19="",P19=""),"",IF((O19&lt;P19),"WIN","LOSE"))</f>
        <v>LOSE</v>
      </c>
      <c r="Q20" s="127" t="str">
        <f>IF(AND($P$20="lose",$O$15="lose"),$U$9,IF($P$20="lose",$U$7,""))</f>
        <v>7th</v>
      </c>
      <c r="R20" s="127" t="str">
        <f>IF(AND($P$20="lose",$O$15="lose"),$U$10,IF($P$20="lose",$U$8,""))</f>
        <v>8th</v>
      </c>
    </row>
    <row r="21" spans="1:21">
      <c r="A21" s="430" t="s">
        <v>210</v>
      </c>
      <c r="B21" s="118" t="s">
        <v>38</v>
      </c>
      <c r="C21" s="14">
        <f>SUM(COUNTIFS(Table41013172512475452986841158[ATHLETE 1],Table612151927314956711007044160[[#This Row],[Athletes]],Table41013172512475452986841158[RESULT 12],Table361114182630485553996943159[[#Headers],[WIN]]),COUNTIFS(Table41013172512475452986841158[ATHLETE 2],Table612151927314956711007044160[[#This Row],[Athletes]],Table41013172512475452986841158[RESULT 12],Table361114182630485553996943159[[#Headers],[WIN]]),COUNTIFS(Table41013172512475452986841158[ATHLETE 3],Table612151927314956711007044160[[#This Row],[Athletes]],Table41013172512475452986841158[RESULT 34],Table361114182630485553996943159[[#Headers],[WIN]]),COUNTIFS(Table41013172512475452986841158[ATHLETE 4],Table612151927314956711007044160[[#This Row],[Athletes]],Table41013172512475452986841158[RESULT 34],Table361114182630485553996943159[[#Headers],[WIN]]))</f>
        <v>0</v>
      </c>
      <c r="D21" s="12">
        <f>SUM(COUNTIFS(Table41013172512475452986841158[ATHLETE 1],Table612151927314956711007044160[[#This Row],[Athletes]],Table41013172512475452986841158[RESULT 12],Table361114182630485553996943159[[#Headers],[LOSE]]),COUNTIFS(Table41013172512475452986841158[ATHLETE 2],Table612151927314956711007044160[[#This Row],[Athletes]],Table41013172512475452986841158[RESULT 12],Table361114182630485553996943159[[#Headers],[LOSE]]),COUNTIFS(Table41013172512475452986841158[ATHLETE 3],Table612151927314956711007044160[[#This Row],[Athletes]],Table41013172512475452986841158[RESULT 34],Table361114182630485553996943159[[#Headers],[LOSE]]),COUNTIFS(Table41013172512475452986841158[ATHLETE 4],Table612151927314956711007044160[[#This Row],[Athletes]],Table41013172512475452986841158[RESULT 34],Table361114182630485553996943159[[#Headers],[LOSE]]))</f>
        <v>3</v>
      </c>
      <c r="E21" s="19">
        <f>SUM(SUMIF(Table41013172512475452986841158[ATHLETE 1],Table612151927314956711007044160[[#This Row],[Athletes]],Table41013172512475452986841158[SALDO 12]),SUMIF(Table41013172512475452986841158[ATHLETE 2],Table612151927314956711007044160[[#This Row],[Athletes]],Table41013172512475452986841158[SALDO 12]),SUMIF(Table41013172512475452986841158[ATHLETE 3],Table612151927314956711007044160[[#This Row],[Athletes]],Table41013172512475452986841158[SALDO 34]),SUMIF(Table41013172512475452986841158[ATHLETE 4],Table612151927314956711007044160[[#This Row],[Athletes]],Table41013172512475452986841158[SALDO 34]))</f>
        <v>-14</v>
      </c>
      <c r="F21" s="19">
        <f>SUM(SUMIF(Table41013172512475452986841158[ATHLETE 1],Table612151927314956711007044160[[#This Row],[Athletes]],Table41013172512475452986841158[PM 12]),SUMIF(Table41013172512475452986841158[ATHLETE 2],Table612151927314956711007044160[[#This Row],[Athletes]],Table41013172512475452986841158[PM 12]),SUMIF(Table41013172512475452986841158[ATHLETE 3],Table612151927314956711007044160[[#This Row],[Athletes]],Table41013172512475452986841158[PM 34]),SUMIF(Table41013172512475452986841158[ATHLETE 4],Table612151927314956711007044160[[#This Row],[Athletes]],Table41013172512475452986841158[PM 34]))</f>
        <v>40</v>
      </c>
      <c r="G21" s="14" t="str">
        <f>IF(COUNTBLANK(Table41013172512475452986841158[[SCORE 1]:[SCORE 2]])=0,IF(RANK(H21,$H$20:$H$23)=1,RANK(H21,$H$20:$H$23)&amp;"st",IF(RANK(H21,$H$20:$H$23)=2,RANK(H21,$H$20:$H$23)&amp;"nd",RANK(H21,$H$20:$H$23)&amp;"th")),"")</f>
        <v>4th</v>
      </c>
      <c r="H21" s="51">
        <f>Table612151927314956711007044160[[#This Row],[WIN]]*1000000+Table612151927314956711007044160[[#This Row],[Saldo]]*1000+Table612151927314956711007044160[[#This Row],[PM]]</f>
        <v>-13960</v>
      </c>
      <c r="I21" s="2">
        <f>H23</f>
        <v>2010052</v>
      </c>
      <c r="J21" s="2" t="str">
        <f>IF(COUNTBLANK(Table41013172512475452986841158[[SCORE 1]:[SCORE 2]])=0,IF(RANK(I21,$I$14:$I$25)=1,RANK(I21,$I$14:$I$25)&amp;"st",IF(RANK(I21,$I$14:$I$25)=2,RANK(I21,$I$14:$I$25)&amp;"nd",IF(RANK(I21,$I$14:$I$25)=3,RANK(I21,$I$14:$I$25)&amp;"rd",RANK(I21,$I$14:$I$25)&amp;"th"))),"")</f>
        <v>3rd</v>
      </c>
      <c r="K21" s="38" t="str">
        <f>B23</f>
        <v>João Barreto</v>
      </c>
      <c r="L21" s="2" t="str">
        <f t="shared" ref="L21:L23" si="2">J19</f>
        <v>12th</v>
      </c>
      <c r="M21" s="90">
        <v>3</v>
      </c>
      <c r="N21" s="90">
        <v>4</v>
      </c>
      <c r="O21" s="90"/>
      <c r="P21" s="90"/>
      <c r="Q21" s="90">
        <v>5</v>
      </c>
      <c r="R21" s="90">
        <v>6</v>
      </c>
    </row>
    <row r="22" spans="1:21">
      <c r="A22" s="430" t="s">
        <v>211</v>
      </c>
      <c r="B22" s="118" t="s">
        <v>20</v>
      </c>
      <c r="C22" s="14">
        <f>SUM(COUNTIFS(Table41013172512475452986841158[ATHLETE 1],Table612151927314956711007044160[[#This Row],[Athletes]],Table41013172512475452986841158[RESULT 12],Table361114182630485553996943159[[#Headers],[WIN]]),COUNTIFS(Table41013172512475452986841158[ATHLETE 2],Table612151927314956711007044160[[#This Row],[Athletes]],Table41013172512475452986841158[RESULT 12],Table361114182630485553996943159[[#Headers],[WIN]]),COUNTIFS(Table41013172512475452986841158[ATHLETE 3],Table612151927314956711007044160[[#This Row],[Athletes]],Table41013172512475452986841158[RESULT 34],Table361114182630485553996943159[[#Headers],[WIN]]),COUNTIFS(Table41013172512475452986841158[ATHLETE 4],Table612151927314956711007044160[[#This Row],[Athletes]],Table41013172512475452986841158[RESULT 34],Table361114182630485553996943159[[#Headers],[WIN]]))</f>
        <v>2</v>
      </c>
      <c r="D22" s="12">
        <f>SUM(COUNTIFS(Table41013172512475452986841158[ATHLETE 1],Table612151927314956711007044160[[#This Row],[Athletes]],Table41013172512475452986841158[RESULT 12],Table361114182630485553996943159[[#Headers],[LOSE]]),COUNTIFS(Table41013172512475452986841158[ATHLETE 2],Table612151927314956711007044160[[#This Row],[Athletes]],Table41013172512475452986841158[RESULT 12],Table361114182630485553996943159[[#Headers],[LOSE]]),COUNTIFS(Table41013172512475452986841158[ATHLETE 3],Table612151927314956711007044160[[#This Row],[Athletes]],Table41013172512475452986841158[RESULT 34],Table361114182630485553996943159[[#Headers],[LOSE]]),COUNTIFS(Table41013172512475452986841158[ATHLETE 4],Table612151927314956711007044160[[#This Row],[Athletes]],Table41013172512475452986841158[RESULT 34],Table361114182630485553996943159[[#Headers],[LOSE]]))</f>
        <v>1</v>
      </c>
      <c r="E22" s="19">
        <f>SUM(SUMIF(Table41013172512475452986841158[ATHLETE 1],Table612151927314956711007044160[[#This Row],[Athletes]],Table41013172512475452986841158[SALDO 12]),SUMIF(Table41013172512475452986841158[ATHLETE 2],Table612151927314956711007044160[[#This Row],[Athletes]],Table41013172512475452986841158[SALDO 12]),SUMIF(Table41013172512475452986841158[ATHLETE 3],Table612151927314956711007044160[[#This Row],[Athletes]],Table41013172512475452986841158[SALDO 34]),SUMIF(Table41013172512475452986841158[ATHLETE 4],Table612151927314956711007044160[[#This Row],[Athletes]],Table41013172512475452986841158[SALDO 34]))</f>
        <v>2</v>
      </c>
      <c r="F22" s="19">
        <f>SUM(SUMIF(Table41013172512475452986841158[ATHLETE 1],Table612151927314956711007044160[[#This Row],[Athletes]],Table41013172512475452986841158[PM 12]),SUMIF(Table41013172512475452986841158[ATHLETE 2],Table612151927314956711007044160[[#This Row],[Athletes]],Table41013172512475452986841158[PM 12]),SUMIF(Table41013172512475452986841158[ATHLETE 3],Table612151927314956711007044160[[#This Row],[Athletes]],Table41013172512475452986841158[PM 34]),SUMIF(Table41013172512475452986841158[ATHLETE 4],Table612151927314956711007044160[[#This Row],[Athletes]],Table41013172512475452986841158[PM 34]))</f>
        <v>48</v>
      </c>
      <c r="G22" s="14" t="str">
        <f>IF(COUNTBLANK(Table41013172512475452986841158[[SCORE 1]:[SCORE 2]])=0,IF(RANK(H22,$H$20:$H$23)=1,RANK(H22,$H$20:$H$23)&amp;"st",IF(RANK(H22,$H$20:$H$23)=2,RANK(H22,$H$20:$H$23)&amp;"nd",RANK(H22,$H$20:$H$23)&amp;"th")),"")</f>
        <v>2nd</v>
      </c>
      <c r="H22" s="51">
        <f>Table612151927314956711007044160[[#This Row],[WIN]]*1000000+Table612151927314956711007044160[[#This Row],[Saldo]]*1000+Table612151927314956711007044160[[#This Row],[PM]]</f>
        <v>2002048</v>
      </c>
      <c r="I22" s="2">
        <f>H26</f>
        <v>999043</v>
      </c>
      <c r="J22" s="2" t="str">
        <f>IF(COUNTBLANK(Table41013172512475452986841158[[SCORE 1]:[SCORE 2]])=0,IF(RANK(I22,$I$14:$I$25)=1,RANK(I22,$I$14:$I$25)&amp;"st",IF(RANK(I22,$I$14:$I$25)=2,RANK(I22,$I$14:$I$25)&amp;"nd",IF(RANK(I22,$I$14:$I$25)=3,RANK(I22,$I$14:$I$25)&amp;"rd",RANK(I22,$I$14:$I$25)&amp;"th"))),"")</f>
        <v>7th</v>
      </c>
      <c r="K22" s="38" t="str">
        <f>B26</f>
        <v>Gerardo Torres</v>
      </c>
      <c r="L22" s="2" t="str">
        <f t="shared" si="2"/>
        <v>4th</v>
      </c>
      <c r="M22" s="90"/>
      <c r="N22" s="90"/>
      <c r="O22" s="90"/>
      <c r="P22" s="90"/>
      <c r="Q22" s="90"/>
      <c r="R22" s="90"/>
    </row>
    <row r="23" spans="1:21" ht="29.1">
      <c r="A23" s="430" t="s">
        <v>212</v>
      </c>
      <c r="B23" s="118" t="s">
        <v>12</v>
      </c>
      <c r="C23" s="14">
        <f>SUM(COUNTIFS(Table41013172512475452986841158[ATHLETE 1],Table612151927314956711007044160[[#This Row],[Athletes]],Table41013172512475452986841158[RESULT 12],Table361114182630485553996943159[[#Headers],[WIN]]),COUNTIFS(Table41013172512475452986841158[ATHLETE 2],Table612151927314956711007044160[[#This Row],[Athletes]],Table41013172512475452986841158[RESULT 12],Table361114182630485553996943159[[#Headers],[WIN]]),COUNTIFS(Table41013172512475452986841158[ATHLETE 3],Table612151927314956711007044160[[#This Row],[Athletes]],Table41013172512475452986841158[RESULT 34],Table361114182630485553996943159[[#Headers],[WIN]]),COUNTIFS(Table41013172512475452986841158[ATHLETE 4],Table612151927314956711007044160[[#This Row],[Athletes]],Table41013172512475452986841158[RESULT 34],Table361114182630485553996943159[[#Headers],[WIN]]))</f>
        <v>2</v>
      </c>
      <c r="D23" s="12">
        <f>SUM(COUNTIFS(Table41013172512475452986841158[ATHLETE 1],Table612151927314956711007044160[[#This Row],[Athletes]],Table41013172512475452986841158[RESULT 12],Table361114182630485553996943159[[#Headers],[LOSE]]),COUNTIFS(Table41013172512475452986841158[ATHLETE 2],Table612151927314956711007044160[[#This Row],[Athletes]],Table41013172512475452986841158[RESULT 12],Table361114182630485553996943159[[#Headers],[LOSE]]),COUNTIFS(Table41013172512475452986841158[ATHLETE 3],Table612151927314956711007044160[[#This Row],[Athletes]],Table41013172512475452986841158[RESULT 34],Table361114182630485553996943159[[#Headers],[LOSE]]),COUNTIFS(Table41013172512475452986841158[ATHLETE 4],Table612151927314956711007044160[[#This Row],[Athletes]],Table41013172512475452986841158[RESULT 34],Table361114182630485553996943159[[#Headers],[LOSE]]))</f>
        <v>1</v>
      </c>
      <c r="E23" s="19">
        <f>SUM(SUMIF(Table41013172512475452986841158[ATHLETE 1],Table612151927314956711007044160[[#This Row],[Athletes]],Table41013172512475452986841158[SALDO 12]),SUMIF(Table41013172512475452986841158[ATHLETE 2],Table612151927314956711007044160[[#This Row],[Athletes]],Table41013172512475452986841158[SALDO 12]),SUMIF(Table41013172512475452986841158[ATHLETE 3],Table612151927314956711007044160[[#This Row],[Athletes]],Table41013172512475452986841158[SALDO 34]),SUMIF(Table41013172512475452986841158[ATHLETE 4],Table612151927314956711007044160[[#This Row],[Athletes]],Table41013172512475452986841158[SALDO 34]))</f>
        <v>10</v>
      </c>
      <c r="F23" s="19">
        <f>SUM(SUMIF(Table41013172512475452986841158[ATHLETE 1],Table612151927314956711007044160[[#This Row],[Athletes]],Table41013172512475452986841158[PM 12]),SUMIF(Table41013172512475452986841158[ATHLETE 2],Table612151927314956711007044160[[#This Row],[Athletes]],Table41013172512475452986841158[PM 12]),SUMIF(Table41013172512475452986841158[ATHLETE 3],Table612151927314956711007044160[[#This Row],[Athletes]],Table41013172512475452986841158[PM 34]),SUMIF(Table41013172512475452986841158[ATHLETE 4],Table612151927314956711007044160[[#This Row],[Athletes]],Table41013172512475452986841158[PM 34]))</f>
        <v>52</v>
      </c>
      <c r="G23" s="14" t="str">
        <f>IF(COUNTBLANK(Table41013172512475452986841158[[SCORE 1]:[SCORE 2]])=0,IF(RANK(H23,$H$20:$H$23)=1,RANK(H23,$H$20:$H$23)&amp;"st",IF(RANK(H23,$H$20:$H$23)=2,RANK(H23,$H$20:$H$23)&amp;"nd",RANK(H23,$H$20:$H$23)&amp;"th")),"")</f>
        <v>1st</v>
      </c>
      <c r="H23" s="51">
        <f>Table612151927314956711007044160[[#This Row],[WIN]]*1000000+Table612151927314956711007044160[[#This Row],[Saldo]]*1000+Table612151927314956711007044160[[#This Row],[PM]]</f>
        <v>2010052</v>
      </c>
      <c r="I23" s="2">
        <f>H27</f>
        <v>987037</v>
      </c>
      <c r="J23" s="2" t="str">
        <f>IF(COUNTBLANK(Table41013172512475452986841158[[SCORE 1]:[SCORE 2]])=0,IF(RANK(I23,$I$14:$I$25)=1,RANK(I23,$I$14:$I$25)&amp;"st",IF(RANK(I23,$I$14:$I$25)=2,RANK(I23,$I$14:$I$25)&amp;"nd",IF(RANK(I23,$I$14:$I$25)=3,RANK(I23,$I$14:$I$25)&amp;"rd",RANK(I23,$I$14:$I$25)&amp;"th"))),"")</f>
        <v>10th</v>
      </c>
      <c r="K23" s="38" t="str">
        <f>B27</f>
        <v>Arthur Minota</v>
      </c>
      <c r="L23" s="2" t="str">
        <f t="shared" si="2"/>
        <v>3rd</v>
      </c>
      <c r="M23" s="548" t="s">
        <v>199</v>
      </c>
      <c r="N23" s="549"/>
      <c r="O23" s="549"/>
      <c r="P23" s="549"/>
      <c r="Q23" s="549"/>
      <c r="R23" s="549"/>
    </row>
    <row r="24" spans="1:21">
      <c r="I24" s="2">
        <f>H28</f>
        <v>993040</v>
      </c>
      <c r="J24" s="2" t="str">
        <f>IF(COUNTBLANK(Table41013172512475452986841158[[SCORE 1]:[SCORE 2]])=0,IF(RANK(I24,$I$14:$I$25)=1,RANK(I24,$I$14:$I$25)&amp;"st",IF(RANK(I24,$I$14:$I$25)=2,RANK(I24,$I$14:$I$25)&amp;"nd",IF(RANK(I24,$I$14:$I$25)=3,RANK(I24,$I$14:$I$25)&amp;"rd",RANK(I24,$I$14:$I$25)&amp;"th"))),"")</f>
        <v>8th</v>
      </c>
      <c r="K24" s="38" t="str">
        <f>B28</f>
        <v>Victor Alemão</v>
      </c>
      <c r="L24" s="2"/>
      <c r="M24" s="418" t="s">
        <v>193</v>
      </c>
      <c r="N24" s="418" t="s">
        <v>194</v>
      </c>
      <c r="O24" s="542" t="s">
        <v>195</v>
      </c>
      <c r="P24" s="543"/>
      <c r="Q24" s="418" t="s">
        <v>196</v>
      </c>
      <c r="R24" s="418" t="s">
        <v>197</v>
      </c>
    </row>
    <row r="25" spans="1:21" ht="15.95">
      <c r="A25" s="9" t="s">
        <v>184</v>
      </c>
      <c r="B25" s="10" t="s">
        <v>203</v>
      </c>
      <c r="C25" s="10" t="s">
        <v>186</v>
      </c>
      <c r="D25" s="10" t="s">
        <v>187</v>
      </c>
      <c r="E25" s="10" t="s">
        <v>188</v>
      </c>
      <c r="F25" s="10" t="s">
        <v>189</v>
      </c>
      <c r="G25" s="7" t="s">
        <v>8</v>
      </c>
      <c r="H25" s="78" t="s">
        <v>204</v>
      </c>
      <c r="I25" s="2">
        <f>H29</f>
        <v>3021054</v>
      </c>
      <c r="J25" s="2" t="str">
        <f>IF(COUNTBLANK(Table41013172512475452986841158[[SCORE 1]:[SCORE 2]])=0,IF(RANK(I25,$I$14:$I$25)=1,RANK(I25,$I$14:$I$25)&amp;"st",IF(RANK(I25,$I$14:$I$25)=2,RANK(I25,$I$14:$I$25)&amp;"nd",IF(RANK(I25,$I$14:$I$25)=3,RANK(I25,$I$14:$I$25)&amp;"rd",RANK(I25,$I$14:$I$25)&amp;"th"))),"")</f>
        <v>1st</v>
      </c>
      <c r="K25" s="38" t="str">
        <f>B29</f>
        <v>Bruno Montini</v>
      </c>
      <c r="L25" s="20" t="s">
        <v>192</v>
      </c>
      <c r="M25" s="431" t="str">
        <f>IF(COUNTBLANK($O$14:$P$14),"",IF($O$15="lose",$Q$14,$M$14))</f>
        <v>Gerardo Torres</v>
      </c>
      <c r="N25" s="431" t="str">
        <f>IF(COUNTBLANK($O$14:$P$14),"",IF($O$15="lose",$R$14,$N$14))</f>
        <v>Victor Alemão</v>
      </c>
      <c r="O25" s="119">
        <v>0</v>
      </c>
      <c r="P25" s="120">
        <v>18</v>
      </c>
      <c r="Q25" s="431" t="str">
        <f>IF(COUNTBLANK($O$19:$P$19),"",IF($O$20="lose",$Q$19,$M$19))</f>
        <v>João Barreto</v>
      </c>
      <c r="R25" s="431" t="str">
        <f>IF(COUNTBLANK($O$19:$P$19),"",IF($O$20="lose",$R$19,$N$19))</f>
        <v>Thyago Henrique</v>
      </c>
    </row>
    <row r="26" spans="1:21">
      <c r="A26" s="430" t="s">
        <v>213</v>
      </c>
      <c r="B26" s="118" t="s">
        <v>29</v>
      </c>
      <c r="C26" s="14">
        <f>SUM(COUNTIFS(Table41013172512475452986841158[ATHLETE 1],Table61215192729335162731027262162[[#This Row],[Athletes]],Table41013172512475452986841158[RESULT 12],Table361114182630485553996943159[[#Headers],[WIN]]),COUNTIFS(Table41013172512475452986841158[ATHLETE 2],Table61215192729335162731027262162[[#This Row],[Athletes]],Table41013172512475452986841158[RESULT 12],Table361114182630485553996943159[[#Headers],[WIN]]),COUNTIFS(Table41013172512475452986841158[ATHLETE 3],Table61215192729335162731027262162[[#This Row],[Athletes]],Table41013172512475452986841158[RESULT 34],Table361114182630485553996943159[[#Headers],[WIN]]),COUNTIFS(Table41013172512475452986841158[ATHLETE 4],Table61215192729335162731027262162[[#This Row],[Athletes]],Table41013172512475452986841158[RESULT 34],Table361114182630485553996943159[[#Headers],[WIN]]))</f>
        <v>1</v>
      </c>
      <c r="D26" s="12">
        <f>SUM(COUNTIFS(Table41013172512475452986841158[ATHLETE 1],Table61215192729335162731027262162[[#This Row],[Athletes]],Table41013172512475452986841158[RESULT 12],Table361114182630485553996943159[[#Headers],[LOSE]]),COUNTIFS(Table41013172512475452986841158[ATHLETE 2],Table61215192729335162731027262162[[#This Row],[Athletes]],Table41013172512475452986841158[RESULT 12],Table361114182630485553996943159[[#Headers],[LOSE]]),COUNTIFS(Table41013172512475452986841158[ATHLETE 3],Table61215192729335162731027262162[[#This Row],[Athletes]],Table41013172512475452986841158[RESULT 34],Table361114182630485553996943159[[#Headers],[LOSE]]),COUNTIFS(Table41013172512475452986841158[ATHLETE 4],Table61215192729335162731027262162[[#This Row],[Athletes]],Table41013172512475452986841158[RESULT 34],Table361114182630485553996943159[[#Headers],[LOSE]]))</f>
        <v>2</v>
      </c>
      <c r="E26" s="19">
        <f>SUM(SUMIF(Table41013172512475452986841158[ATHLETE 1],Table61215192729335162731027262162[[#This Row],[Athletes]],Table41013172512475452986841158[SALDO 12]),SUMIF(Table41013172512475452986841158[ATHLETE 2],Table61215192729335162731027262162[[#This Row],[Athletes]],Table41013172512475452986841158[SALDO 12]),SUMIF(Table41013172512475452986841158[ATHLETE 3],Table61215192729335162731027262162[[#This Row],[Athletes]],Table41013172512475452986841158[SALDO 34]),SUMIF(Table41013172512475452986841158[ATHLETE 4],Table61215192729335162731027262162[[#This Row],[Athletes]],Table41013172512475452986841158[SALDO 34]))</f>
        <v>-1</v>
      </c>
      <c r="F26" s="19">
        <f>SUM(SUMIF(Table41013172512475452986841158[ATHLETE 1],Table61215192729335162731027262162[[#This Row],[Athletes]],Table41013172512475452986841158[PM 12]),SUMIF(Table41013172512475452986841158[ATHLETE 2],Table61215192729335162731027262162[[#This Row],[Athletes]],Table41013172512475452986841158[PM 12]),SUMIF(Table41013172512475452986841158[ATHLETE 3],Table61215192729335162731027262162[[#This Row],[Athletes]],Table41013172512475452986841158[PM 34]),SUMIF(Table41013172512475452986841158[ATHLETE 4],Table61215192729335162731027262162[[#This Row],[Athletes]],Table41013172512475452986841158[PM 34]))</f>
        <v>43</v>
      </c>
      <c r="G26" s="69" t="str">
        <f>IF(COUNTBLANK(Table41013172512475452986841158[[SCORE 1]:[SCORE 2]])=0,IF(RANK(H26,$H$26:$H$29)=1,RANK(H26,$H$26:$H$29)&amp;"st",IF(RANK(H26,$H$26:$H$29)=2,RANK(H26,$H$26:$H$29)&amp;"nd",RANK(H26,$H$26:$H$29)&amp;"th")),"")</f>
        <v>2nd</v>
      </c>
      <c r="H26" s="51">
        <f>Table61215192729335162731027262162[[#This Row],[WIN]]*1000000+Table61215192729335162731027262162[[#This Row],[Saldo]]*1000+Table61215192729335162731027262162[[#This Row],[PM]]</f>
        <v>999043</v>
      </c>
      <c r="I26" s="2"/>
      <c r="J26" s="2"/>
      <c r="K26" s="2"/>
      <c r="L26" s="2" t="str">
        <f>J22</f>
        <v>7th</v>
      </c>
      <c r="M26" s="62" t="str">
        <f>IF(OR($O$25="",$P$25="",$O$26="win"),"",IF($M$27&gt;$N$27,$U$5,$U$6))</f>
        <v>3rd</v>
      </c>
      <c r="N26" s="62" t="str">
        <f>IF(OR($O$25="",$P$25="",$O$26="win"),"",IF($M$27&lt;$N$27,$U$5,$U$6))</f>
        <v>4th</v>
      </c>
      <c r="O26" s="2" t="str">
        <f>IF(OR(O25="",P25=""),"",IF((O25&gt;P25),"WIN","LOSE"))</f>
        <v>LOSE</v>
      </c>
      <c r="P26" s="2" t="str">
        <f>IF(OR(O25="",P25=""),"",IF((O25&lt;P25),"WIN","LOSE"))</f>
        <v>WIN</v>
      </c>
      <c r="Q26" s="62" t="str">
        <f>IF($P$26="lose",$U$5,"")</f>
        <v/>
      </c>
      <c r="R26" s="62" t="str">
        <f>IF($P$26="lose",$U$6,"")</f>
        <v/>
      </c>
    </row>
    <row r="27" spans="1:21">
      <c r="A27" s="430" t="s">
        <v>214</v>
      </c>
      <c r="B27" s="118" t="s">
        <v>215</v>
      </c>
      <c r="C27" s="14">
        <f>SUM(COUNTIFS(Table41013172512475452986841158[ATHLETE 1],Table61215192729335162731027262162[[#This Row],[Athletes]],Table41013172512475452986841158[RESULT 12],Table361114182630485553996943159[[#Headers],[WIN]]),COUNTIFS(Table41013172512475452986841158[ATHLETE 2],Table61215192729335162731027262162[[#This Row],[Athletes]],Table41013172512475452986841158[RESULT 12],Table361114182630485553996943159[[#Headers],[WIN]]),COUNTIFS(Table41013172512475452986841158[ATHLETE 3],Table61215192729335162731027262162[[#This Row],[Athletes]],Table41013172512475452986841158[RESULT 34],Table361114182630485553996943159[[#Headers],[WIN]]),COUNTIFS(Table41013172512475452986841158[ATHLETE 4],Table61215192729335162731027262162[[#This Row],[Athletes]],Table41013172512475452986841158[RESULT 34],Table361114182630485553996943159[[#Headers],[WIN]]))</f>
        <v>1</v>
      </c>
      <c r="D27" s="12">
        <f>SUM(COUNTIFS(Table41013172512475452986841158[ATHLETE 1],Table61215192729335162731027262162[[#This Row],[Athletes]],Table41013172512475452986841158[RESULT 12],Table361114182630485553996943159[[#Headers],[LOSE]]),COUNTIFS(Table41013172512475452986841158[ATHLETE 2],Table61215192729335162731027262162[[#This Row],[Athletes]],Table41013172512475452986841158[RESULT 12],Table361114182630485553996943159[[#Headers],[LOSE]]),COUNTIFS(Table41013172512475452986841158[ATHLETE 3],Table61215192729335162731027262162[[#This Row],[Athletes]],Table41013172512475452986841158[RESULT 34],Table361114182630485553996943159[[#Headers],[LOSE]]),COUNTIFS(Table41013172512475452986841158[ATHLETE 4],Table61215192729335162731027262162[[#This Row],[Athletes]],Table41013172512475452986841158[RESULT 34],Table361114182630485553996943159[[#Headers],[LOSE]]))</f>
        <v>2</v>
      </c>
      <c r="E27" s="19">
        <f>SUM(SUMIF(Table41013172512475452986841158[ATHLETE 1],Table61215192729335162731027262162[[#This Row],[Athletes]],Table41013172512475452986841158[SALDO 12]),SUMIF(Table41013172512475452986841158[ATHLETE 2],Table61215192729335162731027262162[[#This Row],[Athletes]],Table41013172512475452986841158[SALDO 12]),SUMIF(Table41013172512475452986841158[ATHLETE 3],Table61215192729335162731027262162[[#This Row],[Athletes]],Table41013172512475452986841158[SALDO 34]),SUMIF(Table41013172512475452986841158[ATHLETE 4],Table61215192729335162731027262162[[#This Row],[Athletes]],Table41013172512475452986841158[SALDO 34]))</f>
        <v>-13</v>
      </c>
      <c r="F27" s="19">
        <f>SUM(SUMIF(Table41013172512475452986841158[ATHLETE 1],Table61215192729335162731027262162[[#This Row],[Athletes]],Table41013172512475452986841158[PM 12]),SUMIF(Table41013172512475452986841158[ATHLETE 2],Table61215192729335162731027262162[[#This Row],[Athletes]],Table41013172512475452986841158[PM 12]),SUMIF(Table41013172512475452986841158[ATHLETE 3],Table61215192729335162731027262162[[#This Row],[Athletes]],Table41013172512475452986841158[PM 34]),SUMIF(Table41013172512475452986841158[ATHLETE 4],Table61215192729335162731027262162[[#This Row],[Athletes]],Table41013172512475452986841158[PM 34]))</f>
        <v>37</v>
      </c>
      <c r="G27" s="69" t="str">
        <f>IF(COUNTBLANK(Table41013172512475452986841158[[SCORE 1]:[SCORE 2]])=0,IF(RANK(H27,$H$26:$H$29)=1,RANK(H27,$H$26:$H$29)&amp;"st",IF(RANK(H27,$H$26:$H$29)=2,RANK(H27,$H$26:$H$29)&amp;"nd",RANK(H27,$H$26:$H$29)&amp;"th")),"")</f>
        <v>4th</v>
      </c>
      <c r="H27" s="51">
        <f>Table61215192729335162731027262162[[#This Row],[WIN]]*1000000+Table61215192729335162731027262162[[#This Row],[Saldo]]*1000+Table61215192729335162731027262162[[#This Row],[PM]]</f>
        <v>987037</v>
      </c>
      <c r="I27" s="2"/>
      <c r="J27" s="2"/>
      <c r="K27" s="2"/>
      <c r="L27" s="2" t="str">
        <f t="shared" ref="L27:L29" si="3">J23</f>
        <v>10th</v>
      </c>
      <c r="M27" s="61">
        <f>IF(M25="","",_xlfn.XLOOKUP(M25,$K$14:$K$25,$I$14:$I$25))</f>
        <v>999043</v>
      </c>
      <c r="N27" s="61">
        <f>IF(N25="","",_xlfn.XLOOKUP(N25,$K$14:$K$25,$I$14:$I$25))</f>
        <v>993040</v>
      </c>
      <c r="Q27" s="61">
        <f>IF(Q25="","",_xlfn.XLOOKUP(Q25,$K$14:$K$25,$I$14:$I$25))</f>
        <v>2010052</v>
      </c>
      <c r="R27" s="61">
        <f>IF(R25="","",_xlfn.XLOOKUP(R25,$K$14:$K$25,$I$14:$I$25))</f>
        <v>2002048</v>
      </c>
    </row>
    <row r="28" spans="1:21">
      <c r="A28" s="430" t="s">
        <v>216</v>
      </c>
      <c r="B28" s="118" t="s">
        <v>32</v>
      </c>
      <c r="C28" s="14">
        <f>SUM(COUNTIFS(Table41013172512475452986841158[ATHLETE 1],Table61215192729335162731027262162[[#This Row],[Athletes]],Table41013172512475452986841158[RESULT 12],Table361114182630485553996943159[[#Headers],[WIN]]),COUNTIFS(Table41013172512475452986841158[ATHLETE 2],Table61215192729335162731027262162[[#This Row],[Athletes]],Table41013172512475452986841158[RESULT 12],Table361114182630485553996943159[[#Headers],[WIN]]),COUNTIFS(Table41013172512475452986841158[ATHLETE 3],Table61215192729335162731027262162[[#This Row],[Athletes]],Table41013172512475452986841158[RESULT 34],Table361114182630485553996943159[[#Headers],[WIN]]),COUNTIFS(Table41013172512475452986841158[ATHLETE 4],Table61215192729335162731027262162[[#This Row],[Athletes]],Table41013172512475452986841158[RESULT 34],Table361114182630485553996943159[[#Headers],[WIN]]))</f>
        <v>1</v>
      </c>
      <c r="D28" s="12">
        <f>SUM(COUNTIFS(Table41013172512475452986841158[ATHLETE 1],Table61215192729335162731027262162[[#This Row],[Athletes]],Table41013172512475452986841158[RESULT 12],Table361114182630485553996943159[[#Headers],[LOSE]]),COUNTIFS(Table41013172512475452986841158[ATHLETE 2],Table61215192729335162731027262162[[#This Row],[Athletes]],Table41013172512475452986841158[RESULT 12],Table361114182630485553996943159[[#Headers],[LOSE]]),COUNTIFS(Table41013172512475452986841158[ATHLETE 3],Table61215192729335162731027262162[[#This Row],[Athletes]],Table41013172512475452986841158[RESULT 34],Table361114182630485553996943159[[#Headers],[LOSE]]),COUNTIFS(Table41013172512475452986841158[ATHLETE 4],Table61215192729335162731027262162[[#This Row],[Athletes]],Table41013172512475452986841158[RESULT 34],Table361114182630485553996943159[[#Headers],[LOSE]]))</f>
        <v>2</v>
      </c>
      <c r="E28" s="19">
        <f>SUM(SUMIF(Table41013172512475452986841158[ATHLETE 1],Table61215192729335162731027262162[[#This Row],[Athletes]],Table41013172512475452986841158[SALDO 12]),SUMIF(Table41013172512475452986841158[ATHLETE 2],Table61215192729335162731027262162[[#This Row],[Athletes]],Table41013172512475452986841158[SALDO 12]),SUMIF(Table41013172512475452986841158[ATHLETE 3],Table61215192729335162731027262162[[#This Row],[Athletes]],Table41013172512475452986841158[SALDO 34]),SUMIF(Table41013172512475452986841158[ATHLETE 4],Table61215192729335162731027262162[[#This Row],[Athletes]],Table41013172512475452986841158[SALDO 34]))</f>
        <v>-7</v>
      </c>
      <c r="F28" s="19">
        <f>SUM(SUMIF(Table41013172512475452986841158[ATHLETE 1],Table61215192729335162731027262162[[#This Row],[Athletes]],Table41013172512475452986841158[PM 12]),SUMIF(Table41013172512475452986841158[ATHLETE 2],Table61215192729335162731027262162[[#This Row],[Athletes]],Table41013172512475452986841158[PM 12]),SUMIF(Table41013172512475452986841158[ATHLETE 3],Table61215192729335162731027262162[[#This Row],[Athletes]],Table41013172512475452986841158[PM 34]),SUMIF(Table41013172512475452986841158[ATHLETE 4],Table61215192729335162731027262162[[#This Row],[Athletes]],Table41013172512475452986841158[PM 34]))</f>
        <v>40</v>
      </c>
      <c r="G28" s="69" t="str">
        <f>IF(COUNTBLANK(Table41013172512475452986841158[[SCORE 1]:[SCORE 2]])=0,IF(RANK(H28,$H$26:$H$29)=1,RANK(H28,$H$26:$H$29)&amp;"st",IF(RANK(H28,$H$26:$H$29)=2,RANK(H28,$H$26:$H$29)&amp;"nd",RANK(H28,$H$26:$H$29)&amp;"th")),"")</f>
        <v>3th</v>
      </c>
      <c r="H28" s="51">
        <f>Table61215192729335162731027262162[[#This Row],[WIN]]*1000000+Table61215192729335162731027262162[[#This Row],[Saldo]]*1000+Table61215192729335162731027262162[[#This Row],[PM]]</f>
        <v>993040</v>
      </c>
      <c r="I28" s="2"/>
      <c r="J28" s="2"/>
      <c r="K28" s="2"/>
      <c r="L28" s="2" t="str">
        <f t="shared" si="3"/>
        <v>8th</v>
      </c>
    </row>
    <row r="29" spans="1:21">
      <c r="A29" s="430" t="s">
        <v>217</v>
      </c>
      <c r="B29" s="118" t="s">
        <v>17</v>
      </c>
      <c r="C29" s="14">
        <f>SUM(COUNTIFS(Table41013172512475452986841158[ATHLETE 1],Table61215192729335162731027262162[[#This Row],[Athletes]],Table41013172512475452986841158[RESULT 12],Table361114182630485553996943159[[#Headers],[WIN]]),COUNTIFS(Table41013172512475452986841158[ATHLETE 2],Table61215192729335162731027262162[[#This Row],[Athletes]],Table41013172512475452986841158[RESULT 12],Table361114182630485553996943159[[#Headers],[WIN]]),COUNTIFS(Table41013172512475452986841158[ATHLETE 3],Table61215192729335162731027262162[[#This Row],[Athletes]],Table41013172512475452986841158[RESULT 34],Table361114182630485553996943159[[#Headers],[WIN]]),COUNTIFS(Table41013172512475452986841158[ATHLETE 4],Table61215192729335162731027262162[[#This Row],[Athletes]],Table41013172512475452986841158[RESULT 34],Table361114182630485553996943159[[#Headers],[WIN]]))</f>
        <v>3</v>
      </c>
      <c r="D29" s="12">
        <f>SUM(COUNTIFS(Table41013172512475452986841158[ATHLETE 1],Table61215192729335162731027262162[[#This Row],[Athletes]],Table41013172512475452986841158[RESULT 12],Table361114182630485553996943159[[#Headers],[LOSE]]),COUNTIFS(Table41013172512475452986841158[ATHLETE 2],Table61215192729335162731027262162[[#This Row],[Athletes]],Table41013172512475452986841158[RESULT 12],Table361114182630485553996943159[[#Headers],[LOSE]]),COUNTIFS(Table41013172512475452986841158[ATHLETE 3],Table61215192729335162731027262162[[#This Row],[Athletes]],Table41013172512475452986841158[RESULT 34],Table361114182630485553996943159[[#Headers],[LOSE]]),COUNTIFS(Table41013172512475452986841158[ATHLETE 4],Table61215192729335162731027262162[[#This Row],[Athletes]],Table41013172512475452986841158[RESULT 34],Table361114182630485553996943159[[#Headers],[LOSE]]))</f>
        <v>0</v>
      </c>
      <c r="E29" s="19">
        <f>SUM(SUMIF(Table41013172512475452986841158[ATHLETE 1],Table61215192729335162731027262162[[#This Row],[Athletes]],Table41013172512475452986841158[SALDO 12]),SUMIF(Table41013172512475452986841158[ATHLETE 2],Table61215192729335162731027262162[[#This Row],[Athletes]],Table41013172512475452986841158[SALDO 12]),SUMIF(Table41013172512475452986841158[ATHLETE 3],Table61215192729335162731027262162[[#This Row],[Athletes]],Table41013172512475452986841158[SALDO 34]),SUMIF(Table41013172512475452986841158[ATHLETE 4],Table61215192729335162731027262162[[#This Row],[Athletes]],Table41013172512475452986841158[SALDO 34]))</f>
        <v>21</v>
      </c>
      <c r="F29" s="19">
        <f>SUM(SUMIF(Table41013172512475452986841158[ATHLETE 1],Table61215192729335162731027262162[[#This Row],[Athletes]],Table41013172512475452986841158[PM 12]),SUMIF(Table41013172512475452986841158[ATHLETE 2],Table61215192729335162731027262162[[#This Row],[Athletes]],Table41013172512475452986841158[PM 12]),SUMIF(Table41013172512475452986841158[ATHLETE 3],Table61215192729335162731027262162[[#This Row],[Athletes]],Table41013172512475452986841158[PM 34]),SUMIF(Table41013172512475452986841158[ATHLETE 4],Table61215192729335162731027262162[[#This Row],[Athletes]],Table41013172512475452986841158[PM 34]))</f>
        <v>54</v>
      </c>
      <c r="G29" s="69" t="str">
        <f>IF(COUNTBLANK(Table41013172512475452986841158[[SCORE 1]:[SCORE 2]])=0,IF(RANK(H29,$H$26:$H$29)=1,RANK(H29,$H$26:$H$29)&amp;"st",IF(RANK(H29,$H$26:$H$29)=2,RANK(H29,$H$26:$H$29)&amp;"nd",RANK(H29,$H$26:$H$29)&amp;"th")),"")</f>
        <v>1st</v>
      </c>
      <c r="H29" s="51">
        <f>Table61215192729335162731027262162[[#This Row],[WIN]]*1000000+Table61215192729335162731027262162[[#This Row],[Saldo]]*1000+Table61215192729335162731027262162[[#This Row],[PM]]</f>
        <v>3021054</v>
      </c>
      <c r="I29" s="2"/>
      <c r="J29" s="2"/>
      <c r="K29" s="2"/>
      <c r="L29" s="2" t="str">
        <f t="shared" si="3"/>
        <v>1st</v>
      </c>
    </row>
    <row r="30" spans="1:21" ht="30" thickBot="1">
      <c r="M30" s="548" t="s">
        <v>200</v>
      </c>
      <c r="N30" s="549"/>
      <c r="O30" s="549"/>
      <c r="P30" s="549"/>
      <c r="Q30" s="549"/>
      <c r="R30" s="549"/>
    </row>
    <row r="31" spans="1:21" ht="15.95" thickBot="1">
      <c r="A31" s="123" t="s">
        <v>218</v>
      </c>
      <c r="B31" s="124">
        <v>45814</v>
      </c>
      <c r="M31" s="418" t="s">
        <v>193</v>
      </c>
      <c r="N31" s="418" t="s">
        <v>194</v>
      </c>
      <c r="O31" s="542" t="s">
        <v>195</v>
      </c>
      <c r="P31" s="543"/>
      <c r="Q31" s="418" t="s">
        <v>196</v>
      </c>
      <c r="R31" s="418" t="s">
        <v>197</v>
      </c>
    </row>
    <row r="32" spans="1:21">
      <c r="M32" s="432" t="str">
        <f>IF(OR($O$25="",$P$25=""),"",IF($O$26="WIN",$M$25,$Q$25))</f>
        <v>João Barreto</v>
      </c>
      <c r="N32" s="121" t="str">
        <f>B28</f>
        <v>Victor Alemão</v>
      </c>
      <c r="O32" s="119">
        <v>18</v>
      </c>
      <c r="P32" s="119">
        <v>0</v>
      </c>
      <c r="Q32" s="432" t="str">
        <f>IF(OR($O$25="",$P$25=""),"",IF($O$26="WIN",$N$25,$R$25))</f>
        <v>Thyago Henrique</v>
      </c>
      <c r="R32" s="122" t="str">
        <f>B16</f>
        <v>Jose Hermano</v>
      </c>
    </row>
    <row r="33" spans="13:17">
      <c r="M33" s="18" t="str">
        <f>IF(OR($O$32="",$P$32=""),"",IF($O$33="win",$U$3,$U$4))</f>
        <v>1st</v>
      </c>
      <c r="O33" s="2" t="str">
        <f>IF(OR(O32="",P32=""),"",IF((O32&gt;P32),"WIN","LOSE"))</f>
        <v>WIN</v>
      </c>
      <c r="P33" s="2" t="str">
        <f>IF(OR(O32="",P32=""),"",IF((O32&lt;P32),"WIN","LOSE"))</f>
        <v>LOSE</v>
      </c>
      <c r="Q33" s="18" t="str">
        <f>IF(OR($O$32="",$P$32=""),"",IF($P$33="win",$U$3,$U$4))</f>
        <v>2nd</v>
      </c>
    </row>
  </sheetData>
  <sheetProtection algorithmName="SHA-512" hashValue="8NbN4cGw53FHzi27B5qgnq1cp1m5LOShxGnWjLNlR3YQQF3RHw4JVwLx+lzcVCz6q+YqWt1QavEc72bwxaZbOA==" saltValue="hl3ccqwkhHjUh0CVv7XL5g==" spinCount="100000" sheet="1" objects="1" scenarios="1"/>
  <mergeCells count="10">
    <mergeCell ref="T1:U1"/>
    <mergeCell ref="A12:G12"/>
    <mergeCell ref="M12:R12"/>
    <mergeCell ref="O13:P13"/>
    <mergeCell ref="O18:P18"/>
    <mergeCell ref="M23:R23"/>
    <mergeCell ref="O24:P24"/>
    <mergeCell ref="M30:R30"/>
    <mergeCell ref="O31:P31"/>
    <mergeCell ref="A1:A10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3592-1125-354E-B528-4ED35370637C}">
  <sheetPr codeName="Sheet4"/>
  <dimension ref="A1:U33"/>
  <sheetViews>
    <sheetView workbookViewId="0">
      <selection sqref="A1:A10"/>
    </sheetView>
    <sheetView workbookViewId="1">
      <selection sqref="A1:A10"/>
    </sheetView>
  </sheetViews>
  <sheetFormatPr defaultColWidth="8.85546875" defaultRowHeight="15"/>
  <cols>
    <col min="1" max="1" width="9.7109375" customWidth="1"/>
    <col min="2" max="2" width="12.28515625" bestFit="1" customWidth="1"/>
    <col min="3" max="4" width="20" customWidth="1"/>
    <col min="5" max="6" width="9.7109375" customWidth="1"/>
    <col min="7" max="7" width="9.140625" bestFit="1" customWidth="1"/>
    <col min="8" max="8" width="11.28515625" hidden="1" customWidth="1"/>
    <col min="9" max="9" width="12" hidden="1" customWidth="1"/>
    <col min="10" max="10" width="10.7109375" hidden="1" customWidth="1"/>
    <col min="11" max="11" width="9.140625" hidden="1" customWidth="1"/>
    <col min="12" max="12" width="10.7109375" bestFit="1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2.140625" bestFit="1" customWidth="1"/>
    <col min="21" max="22" width="9.7109375" bestFit="1" customWidth="1"/>
  </cols>
  <sheetData>
    <row r="1" spans="1:21" ht="15" customHeight="1">
      <c r="A1" s="551" t="s">
        <v>219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220</v>
      </c>
      <c r="U1" s="545"/>
    </row>
    <row r="2" spans="1:21" ht="15" customHeight="1">
      <c r="A2" s="551"/>
      <c r="B2" s="13" t="s">
        <v>178</v>
      </c>
      <c r="C2" s="1" t="str">
        <f>B14</f>
        <v>Beesan</v>
      </c>
      <c r="D2" s="32" t="str">
        <f>B15</f>
        <v>Giovanna</v>
      </c>
      <c r="E2" s="116">
        <v>13</v>
      </c>
      <c r="F2" s="116">
        <v>18</v>
      </c>
      <c r="G2" s="31" t="str">
        <f>B16</f>
        <v>Gabriela</v>
      </c>
      <c r="H2" s="63"/>
      <c r="I2" s="63"/>
      <c r="J2" s="63"/>
      <c r="K2" s="63"/>
      <c r="L2" s="16" t="str">
        <f>B17</f>
        <v>Roberta G.</v>
      </c>
      <c r="M2" s="13">
        <f>IF(OR(Table41013172512475452986878[[#This Row],[SCORE 1]]="",Table41013172512475452986878[[#This Row],[SCORE 2]]=""),"",Table41013172512475452986878[[#This Row],[SCORE 1]]-Table41013172512475452986878[[#This Row],[SCORE 2]])</f>
        <v>-5</v>
      </c>
      <c r="N2" s="13">
        <f>IF(OR(Table41013172512475452986878[[#This Row],[SCORE 1]]="",Table41013172512475452986878[[#This Row],[SCORE 2]]=""),"",Table41013172512475452986878[[#This Row],[SCORE 2]]-Table41013172512475452986878[[#This Row],[SCORE 1]])</f>
        <v>5</v>
      </c>
      <c r="O2" s="13">
        <f>IF(Table41013172512475452986878[[#This Row],[SCORE 1]]="","",Table41013172512475452986878[[#This Row],[SCORE 1]])</f>
        <v>13</v>
      </c>
      <c r="P2" s="13">
        <f>IF(Table41013172512475452986878[[#This Row],[SCORE 2]]="","",Table41013172512475452986878[[#This Row],[SCORE 2]])</f>
        <v>18</v>
      </c>
      <c r="Q2" s="13" t="str">
        <f>IF(OR(Table41013172512475452986878[[#This Row],[SCORE 1]]="",Table41013172512475452986878[[#This Row],[SCORE 2]]=""),"",IF(Table41013172512475452986878[[#This Row],[SALDO 12]]&gt;0, "WIN","LOSE"))</f>
        <v>LOSE</v>
      </c>
      <c r="R2" s="13" t="str">
        <f>IF(OR(Table41013172512475452986878[[#This Row],[SCORE 1]]="",Table41013172512475452986878[[#This Row],[SCORE 2]]=""),"",IF(Table41013172512475452986878[[#This Row],[SALDO 34]]&gt;0, "WIN","LOSE"))</f>
        <v>WIN</v>
      </c>
      <c r="T2" s="35" t="s">
        <v>179</v>
      </c>
      <c r="U2" s="35" t="s">
        <v>8</v>
      </c>
    </row>
    <row r="3" spans="1:21">
      <c r="A3" s="551"/>
      <c r="B3" s="13" t="s">
        <v>180</v>
      </c>
      <c r="C3" s="1" t="str">
        <f>B20</f>
        <v>Maria Luisa</v>
      </c>
      <c r="D3" s="32" t="str">
        <f>B21</f>
        <v>Talita</v>
      </c>
      <c r="E3" s="116">
        <v>8</v>
      </c>
      <c r="F3" s="116">
        <v>18</v>
      </c>
      <c r="G3" s="31" t="str">
        <f>B22</f>
        <v>Bella</v>
      </c>
      <c r="H3" s="63"/>
      <c r="I3" s="63"/>
      <c r="J3" s="63"/>
      <c r="K3" s="63"/>
      <c r="L3" s="16" t="str">
        <f>B23</f>
        <v>Fiorella</v>
      </c>
      <c r="M3" s="13">
        <f>IF(OR(Table41013172512475452986878[[#This Row],[SCORE 1]]="",Table41013172512475452986878[[#This Row],[SCORE 2]]=""),"",Table41013172512475452986878[[#This Row],[SCORE 1]]-Table41013172512475452986878[[#This Row],[SCORE 2]])</f>
        <v>-10</v>
      </c>
      <c r="N3" s="13">
        <f>IF(OR(Table41013172512475452986878[[#This Row],[SCORE 1]]="",Table41013172512475452986878[[#This Row],[SCORE 2]]=""),"",Table41013172512475452986878[[#This Row],[SCORE 2]]-Table41013172512475452986878[[#This Row],[SCORE 1]])</f>
        <v>10</v>
      </c>
      <c r="O3" s="13">
        <f>IF(Table41013172512475452986878[[#This Row],[SCORE 1]]="","",Table41013172512475452986878[[#This Row],[SCORE 1]])</f>
        <v>8</v>
      </c>
      <c r="P3" s="13">
        <f>IF(Table41013172512475452986878[[#This Row],[SCORE 2]]="","",Table41013172512475452986878[[#This Row],[SCORE 2]])</f>
        <v>18</v>
      </c>
      <c r="Q3" s="13" t="str">
        <f>IF(OR(Table41013172512475452986878[[#This Row],[SCORE 1]]="",Table41013172512475452986878[[#This Row],[SCORE 2]]=""),"",IF(Table41013172512475452986878[[#This Row],[SALDO 12]]&gt;0, "WIN","LOSE"))</f>
        <v>LOSE</v>
      </c>
      <c r="R3" s="13" t="str">
        <f>IF(OR(Table41013172512475452986878[[#This Row],[SCORE 1]]="",Table41013172512475452986878[[#This Row],[SCORE 2]]=""),"",IF(Table41013172512475452986878[[#This Row],[SALDO 34]]&gt;0, "WIN","LOSE"))</f>
        <v>WIN</v>
      </c>
      <c r="T3" s="70" t="str">
        <f>IFERROR(_xlfn.XLOOKUP(Table1520283250607210171105[[#This Row],[Rank]],$M$33:$R$33,$M$32:$R$32),"")</f>
        <v>Gabriela</v>
      </c>
      <c r="U3" s="67" t="s">
        <v>19</v>
      </c>
    </row>
    <row r="4" spans="1:21">
      <c r="A4" s="551"/>
      <c r="B4" s="13" t="s">
        <v>181</v>
      </c>
      <c r="C4" s="1" t="str">
        <f>B26</f>
        <v>Janelle</v>
      </c>
      <c r="D4" s="32" t="str">
        <f>B27</f>
        <v>Julia C.</v>
      </c>
      <c r="E4" s="116">
        <v>3</v>
      </c>
      <c r="F4" s="116">
        <v>18</v>
      </c>
      <c r="G4" s="31" t="str">
        <f>B28</f>
        <v>Paula F.</v>
      </c>
      <c r="H4" s="63"/>
      <c r="I4" s="63"/>
      <c r="J4" s="63"/>
      <c r="K4" s="63"/>
      <c r="L4" s="16" t="str">
        <f>B29</f>
        <v>Priscila</v>
      </c>
      <c r="M4" s="13">
        <f>IF(OR(Table41013172512475452986878[[#This Row],[SCORE 1]]="",Table41013172512475452986878[[#This Row],[SCORE 2]]=""),"",Table41013172512475452986878[[#This Row],[SCORE 1]]-Table41013172512475452986878[[#This Row],[SCORE 2]])</f>
        <v>-15</v>
      </c>
      <c r="N4" s="13">
        <f>IF(OR(Table41013172512475452986878[[#This Row],[SCORE 1]]="",Table41013172512475452986878[[#This Row],[SCORE 2]]=""),"",Table41013172512475452986878[[#This Row],[SCORE 2]]-Table41013172512475452986878[[#This Row],[SCORE 1]])</f>
        <v>15</v>
      </c>
      <c r="O4" s="13">
        <f>IF(Table41013172512475452986878[[#This Row],[SCORE 1]]="","",Table41013172512475452986878[[#This Row],[SCORE 1]])</f>
        <v>3</v>
      </c>
      <c r="P4" s="13">
        <f>IF(Table41013172512475452986878[[#This Row],[SCORE 2]]="","",Table41013172512475452986878[[#This Row],[SCORE 2]])</f>
        <v>18</v>
      </c>
      <c r="Q4" s="13" t="str">
        <f>IF(OR(Table41013172512475452986878[[#This Row],[SCORE 1]]="",Table41013172512475452986878[[#This Row],[SCORE 2]]=""),"",IF(Table41013172512475452986878[[#This Row],[SALDO 12]]&gt;0, "WIN","LOSE"))</f>
        <v>LOSE</v>
      </c>
      <c r="R4" s="13" t="str">
        <f>IF(OR(Table41013172512475452986878[[#This Row],[SCORE 1]]="",Table41013172512475452986878[[#This Row],[SCORE 2]]=""),"",IF(Table41013172512475452986878[[#This Row],[SALDO 34]]&gt;0, "WIN","LOSE"))</f>
        <v>WIN</v>
      </c>
      <c r="T4" s="70" t="str">
        <f>IFERROR(_xlfn.XLOOKUP(Table1520283250607210171105[[#This Row],[Rank]],$M$33:$R$33,$M$32:$R$32),"")</f>
        <v>Talita</v>
      </c>
      <c r="U4" s="67" t="s">
        <v>22</v>
      </c>
    </row>
    <row r="5" spans="1:21">
      <c r="A5" s="551"/>
      <c r="B5" s="13" t="s">
        <v>178</v>
      </c>
      <c r="C5" s="1" t="str">
        <f>B14</f>
        <v>Beesan</v>
      </c>
      <c r="D5" s="32" t="str">
        <f>B17</f>
        <v>Roberta G.</v>
      </c>
      <c r="E5" s="116">
        <v>10</v>
      </c>
      <c r="F5" s="116">
        <v>18</v>
      </c>
      <c r="G5" s="31" t="str">
        <f>B15</f>
        <v>Giovanna</v>
      </c>
      <c r="H5" s="63"/>
      <c r="I5" s="63"/>
      <c r="J5" s="63"/>
      <c r="K5" s="63"/>
      <c r="L5" s="16" t="str">
        <f>B16</f>
        <v>Gabriela</v>
      </c>
      <c r="M5" s="13">
        <f>IF(OR(Table41013172512475452986878[[#This Row],[SCORE 1]]="",Table41013172512475452986878[[#This Row],[SCORE 2]]=""),"",Table41013172512475452986878[[#This Row],[SCORE 1]]-Table41013172512475452986878[[#This Row],[SCORE 2]])</f>
        <v>-8</v>
      </c>
      <c r="N5" s="13">
        <f>IF(OR(Table41013172512475452986878[[#This Row],[SCORE 1]]="",Table41013172512475452986878[[#This Row],[SCORE 2]]=""),"",Table41013172512475452986878[[#This Row],[SCORE 2]]-Table41013172512475452986878[[#This Row],[SCORE 1]])</f>
        <v>8</v>
      </c>
      <c r="O5" s="13">
        <f>IF(Table41013172512475452986878[[#This Row],[SCORE 1]]="","",Table41013172512475452986878[[#This Row],[SCORE 1]])</f>
        <v>10</v>
      </c>
      <c r="P5" s="13">
        <f>IF(Table41013172512475452986878[[#This Row],[SCORE 2]]="","",Table41013172512475452986878[[#This Row],[SCORE 2]])</f>
        <v>18</v>
      </c>
      <c r="Q5" s="13" t="str">
        <f>IF(OR(Table41013172512475452986878[[#This Row],[SCORE 1]]="",Table41013172512475452986878[[#This Row],[SCORE 2]]=""),"",IF(Table41013172512475452986878[[#This Row],[SALDO 12]]&gt;0, "WIN","LOSE"))</f>
        <v>LOSE</v>
      </c>
      <c r="R5" s="13" t="str">
        <f>IF(OR(Table41013172512475452986878[[#This Row],[SCORE 1]]="",Table41013172512475452986878[[#This Row],[SCORE 2]]=""),"",IF(Table41013172512475452986878[[#This Row],[SALDO 34]]&gt;0, "WIN","LOSE"))</f>
        <v>WIN</v>
      </c>
      <c r="T5" s="70" t="str">
        <f>IFERROR(_xlfn.XLOOKUP(Table1520283250607210171105[[#This Row],[Rank]],$M$26:$R$26,$M$25:$R$25),"")</f>
        <v>Priscila</v>
      </c>
      <c r="U5" s="67" t="s">
        <v>25</v>
      </c>
    </row>
    <row r="6" spans="1:21">
      <c r="A6" s="551"/>
      <c r="B6" s="13" t="s">
        <v>180</v>
      </c>
      <c r="C6" s="1" t="str">
        <f>B20</f>
        <v>Maria Luisa</v>
      </c>
      <c r="D6" s="32" t="str">
        <f>B23</f>
        <v>Fiorella</v>
      </c>
      <c r="E6" s="116">
        <v>9</v>
      </c>
      <c r="F6" s="116">
        <v>18</v>
      </c>
      <c r="G6" s="31" t="str">
        <f>B21</f>
        <v>Talita</v>
      </c>
      <c r="H6" s="63"/>
      <c r="I6" s="63"/>
      <c r="J6" s="63"/>
      <c r="K6" s="63"/>
      <c r="L6" s="16" t="str">
        <f>B22</f>
        <v>Bella</v>
      </c>
      <c r="M6" s="13">
        <f>IF(OR(Table41013172512475452986878[[#This Row],[SCORE 1]]="",Table41013172512475452986878[[#This Row],[SCORE 2]]=""),"",Table41013172512475452986878[[#This Row],[SCORE 1]]-Table41013172512475452986878[[#This Row],[SCORE 2]])</f>
        <v>-9</v>
      </c>
      <c r="N6" s="13">
        <f>IF(OR(Table41013172512475452986878[[#This Row],[SCORE 1]]="",Table41013172512475452986878[[#This Row],[SCORE 2]]=""),"",Table41013172512475452986878[[#This Row],[SCORE 2]]-Table41013172512475452986878[[#This Row],[SCORE 1]])</f>
        <v>9</v>
      </c>
      <c r="O6" s="13">
        <f>IF(Table41013172512475452986878[[#This Row],[SCORE 1]]="","",Table41013172512475452986878[[#This Row],[SCORE 1]])</f>
        <v>9</v>
      </c>
      <c r="P6" s="13">
        <f>IF(Table41013172512475452986878[[#This Row],[SCORE 2]]="","",Table41013172512475452986878[[#This Row],[SCORE 2]])</f>
        <v>18</v>
      </c>
      <c r="Q6" s="13" t="str">
        <f>IF(OR(Table41013172512475452986878[[#This Row],[SCORE 1]]="",Table41013172512475452986878[[#This Row],[SCORE 2]]=""),"",IF(Table41013172512475452986878[[#This Row],[SALDO 12]]&gt;0, "WIN","LOSE"))</f>
        <v>LOSE</v>
      </c>
      <c r="R6" s="13" t="str">
        <f>IF(OR(Table41013172512475452986878[[#This Row],[SCORE 1]]="",Table41013172512475452986878[[#This Row],[SCORE 2]]=""),"",IF(Table41013172512475452986878[[#This Row],[SALDO 34]]&gt;0, "WIN","LOSE"))</f>
        <v>WIN</v>
      </c>
      <c r="T6" s="70" t="str">
        <f>IFERROR(_xlfn.XLOOKUP(Table1520283250607210171105[[#This Row],[Rank]],$M$26:$R$26,$M$25:$R$25),"")</f>
        <v>Fiorella</v>
      </c>
      <c r="U6" s="67" t="s">
        <v>28</v>
      </c>
    </row>
    <row r="7" spans="1:21">
      <c r="A7" s="551"/>
      <c r="B7" s="13" t="s">
        <v>181</v>
      </c>
      <c r="C7" s="1" t="str">
        <f>B26</f>
        <v>Janelle</v>
      </c>
      <c r="D7" s="32" t="str">
        <f>B29</f>
        <v>Priscila</v>
      </c>
      <c r="E7" s="116">
        <v>18</v>
      </c>
      <c r="F7" s="116">
        <v>2</v>
      </c>
      <c r="G7" s="31" t="str">
        <f>B27</f>
        <v>Julia C.</v>
      </c>
      <c r="H7" s="63"/>
      <c r="I7" s="63"/>
      <c r="J7" s="63"/>
      <c r="K7" s="63"/>
      <c r="L7" s="16" t="str">
        <f>B28</f>
        <v>Paula F.</v>
      </c>
      <c r="M7" s="13">
        <f>IF(OR(Table41013172512475452986878[[#This Row],[SCORE 1]]="",Table41013172512475452986878[[#This Row],[SCORE 2]]=""),"",Table41013172512475452986878[[#This Row],[SCORE 1]]-Table41013172512475452986878[[#This Row],[SCORE 2]])</f>
        <v>16</v>
      </c>
      <c r="N7" s="13">
        <f>IF(OR(Table41013172512475452986878[[#This Row],[SCORE 1]]="",Table41013172512475452986878[[#This Row],[SCORE 2]]=""),"",Table41013172512475452986878[[#This Row],[SCORE 2]]-Table41013172512475452986878[[#This Row],[SCORE 1]])</f>
        <v>-16</v>
      </c>
      <c r="O7" s="13">
        <f>IF(Table41013172512475452986878[[#This Row],[SCORE 1]]="","",Table41013172512475452986878[[#This Row],[SCORE 1]])</f>
        <v>18</v>
      </c>
      <c r="P7" s="13">
        <f>IF(Table41013172512475452986878[[#This Row],[SCORE 2]]="","",Table41013172512475452986878[[#This Row],[SCORE 2]])</f>
        <v>2</v>
      </c>
      <c r="Q7" s="13" t="str">
        <f>IF(OR(Table41013172512475452986878[[#This Row],[SCORE 1]]="",Table41013172512475452986878[[#This Row],[SCORE 2]]=""),"",IF(Table41013172512475452986878[[#This Row],[SALDO 12]]&gt;0, "WIN","LOSE"))</f>
        <v>WIN</v>
      </c>
      <c r="R7" s="13" t="str">
        <f>IF(OR(Table41013172512475452986878[[#This Row],[SCORE 1]]="",Table41013172512475452986878[[#This Row],[SCORE 2]]=""),"",IF(Table41013172512475452986878[[#This Row],[SALDO 34]]&gt;0, "WIN","LOSE"))</f>
        <v>LOSE</v>
      </c>
      <c r="T7" s="70" t="str">
        <f>IF($O$15="lose",$M$14,_xlfn.XLOOKUP(Table1520283250607210171105[[#This Row],[Rank]],$M$20:$R$20,$M$19:$R$19,""))</f>
        <v>Giovanna</v>
      </c>
      <c r="U7" s="67" t="s">
        <v>31</v>
      </c>
    </row>
    <row r="8" spans="1:21">
      <c r="A8" s="551"/>
      <c r="B8" s="13" t="s">
        <v>178</v>
      </c>
      <c r="C8" s="1" t="str">
        <f>B14</f>
        <v>Beesan</v>
      </c>
      <c r="D8" s="32" t="str">
        <f>B16</f>
        <v>Gabriela</v>
      </c>
      <c r="E8" s="116">
        <v>14</v>
      </c>
      <c r="F8" s="116">
        <v>18</v>
      </c>
      <c r="G8" s="31" t="str">
        <f>B17</f>
        <v>Roberta G.</v>
      </c>
      <c r="H8" s="63"/>
      <c r="I8" s="63"/>
      <c r="J8" s="63"/>
      <c r="K8" s="63"/>
      <c r="L8" s="16" t="str">
        <f>B15</f>
        <v>Giovanna</v>
      </c>
      <c r="M8" s="13">
        <f>IF(OR(Table41013172512475452986878[[#This Row],[SCORE 1]]="",Table41013172512475452986878[[#This Row],[SCORE 2]]=""),"",Table41013172512475452986878[[#This Row],[SCORE 1]]-Table41013172512475452986878[[#This Row],[SCORE 2]])</f>
        <v>-4</v>
      </c>
      <c r="N8" s="13">
        <f>IF(OR(Table41013172512475452986878[[#This Row],[SCORE 1]]="",Table41013172512475452986878[[#This Row],[SCORE 2]]=""),"",Table41013172512475452986878[[#This Row],[SCORE 2]]-Table41013172512475452986878[[#This Row],[SCORE 1]])</f>
        <v>4</v>
      </c>
      <c r="O8" s="13">
        <f>IF(Table41013172512475452986878[[#This Row],[SCORE 1]]="","",Table41013172512475452986878[[#This Row],[SCORE 1]])</f>
        <v>14</v>
      </c>
      <c r="P8" s="13">
        <f>IF(Table41013172512475452986878[[#This Row],[SCORE 2]]="","",Table41013172512475452986878[[#This Row],[SCORE 2]])</f>
        <v>18</v>
      </c>
      <c r="Q8" s="13" t="str">
        <f>IF(OR(Table41013172512475452986878[[#This Row],[SCORE 1]]="",Table41013172512475452986878[[#This Row],[SCORE 2]]=""),"",IF(Table41013172512475452986878[[#This Row],[SALDO 12]]&gt;0, "WIN","LOSE"))</f>
        <v>LOSE</v>
      </c>
      <c r="R8" s="13" t="str">
        <f>IF(OR(Table41013172512475452986878[[#This Row],[SCORE 1]]="",Table41013172512475452986878[[#This Row],[SCORE 2]]=""),"",IF(Table41013172512475452986878[[#This Row],[SALDO 34]]&gt;0, "WIN","LOSE"))</f>
        <v>WIN</v>
      </c>
      <c r="T8" s="70" t="str">
        <f>IF($O$15="lose",$N$14,_xlfn.XLOOKUP(Table1520283250607210171105[[#This Row],[Rank]],$M$20:$R$20,$M$19:$R$19,""))</f>
        <v>Bella</v>
      </c>
      <c r="U8" s="67" t="s">
        <v>34</v>
      </c>
    </row>
    <row r="9" spans="1:21">
      <c r="A9" s="551"/>
      <c r="B9" s="13" t="s">
        <v>180</v>
      </c>
      <c r="C9" s="1" t="str">
        <f>B20</f>
        <v>Maria Luisa</v>
      </c>
      <c r="D9" s="32" t="str">
        <f>B22</f>
        <v>Bella</v>
      </c>
      <c r="E9" s="116">
        <v>2</v>
      </c>
      <c r="F9" s="116">
        <v>18</v>
      </c>
      <c r="G9" s="31" t="str">
        <f>B23</f>
        <v>Fiorella</v>
      </c>
      <c r="H9" s="63"/>
      <c r="I9" s="63"/>
      <c r="J9" s="63"/>
      <c r="K9" s="63"/>
      <c r="L9" s="16" t="str">
        <f>B21</f>
        <v>Talita</v>
      </c>
      <c r="M9" s="13">
        <f>IF(OR(Table41013172512475452986878[[#This Row],[SCORE 1]]="",Table41013172512475452986878[[#This Row],[SCORE 2]]=""),"",Table41013172512475452986878[[#This Row],[SCORE 1]]-Table41013172512475452986878[[#This Row],[SCORE 2]])</f>
        <v>-16</v>
      </c>
      <c r="N9" s="13">
        <f>IF(OR(Table41013172512475452986878[[#This Row],[SCORE 1]]="",Table41013172512475452986878[[#This Row],[SCORE 2]]=""),"",Table41013172512475452986878[[#This Row],[SCORE 2]]-Table41013172512475452986878[[#This Row],[SCORE 1]])</f>
        <v>16</v>
      </c>
      <c r="O9" s="13">
        <f>IF(Table41013172512475452986878[[#This Row],[SCORE 1]]="","",Table41013172512475452986878[[#This Row],[SCORE 1]])</f>
        <v>2</v>
      </c>
      <c r="P9" s="13">
        <f>IF(Table41013172512475452986878[[#This Row],[SCORE 2]]="","",Table41013172512475452986878[[#This Row],[SCORE 2]])</f>
        <v>18</v>
      </c>
      <c r="Q9" s="13" t="str">
        <f>IF(OR(Table41013172512475452986878[[#This Row],[SCORE 1]]="",Table41013172512475452986878[[#This Row],[SCORE 2]]=""),"",IF(Table41013172512475452986878[[#This Row],[SALDO 12]]&gt;0, "WIN","LOSE"))</f>
        <v>LOSE</v>
      </c>
      <c r="R9" s="13" t="str">
        <f>IF(OR(Table41013172512475452986878[[#This Row],[SCORE 1]]="",Table41013172512475452986878[[#This Row],[SCORE 2]]=""),"",IF(Table41013172512475452986878[[#This Row],[SALDO 34]]&gt;0, "WIN","LOSE"))</f>
        <v>WIN</v>
      </c>
      <c r="T9" s="70" t="str">
        <f>IF($P$15="lose",$Q$14,_xlfn.XLOOKUP(Table1520283250607210171105[[#This Row],[Rank]],$M$20:$R$20,$M$19:$R$19,""))</f>
        <v>Roberta G.</v>
      </c>
      <c r="U9" s="67" t="s">
        <v>37</v>
      </c>
    </row>
    <row r="10" spans="1:21">
      <c r="A10" s="551"/>
      <c r="B10" s="13" t="s">
        <v>181</v>
      </c>
      <c r="C10" s="1" t="str">
        <f>B26</f>
        <v>Janelle</v>
      </c>
      <c r="D10" s="32" t="str">
        <f>B28</f>
        <v>Paula F.</v>
      </c>
      <c r="E10" s="116">
        <v>17</v>
      </c>
      <c r="F10" s="116">
        <v>19</v>
      </c>
      <c r="G10" s="31" t="str">
        <f>B29</f>
        <v>Priscila</v>
      </c>
      <c r="H10" s="63"/>
      <c r="I10" s="63"/>
      <c r="J10" s="63"/>
      <c r="K10" s="63"/>
      <c r="L10" s="16" t="str">
        <f>B27</f>
        <v>Julia C.</v>
      </c>
      <c r="M10" s="13">
        <f>IF(OR(Table41013172512475452986878[[#This Row],[SCORE 1]]="",Table41013172512475452986878[[#This Row],[SCORE 2]]=""),"",Table41013172512475452986878[[#This Row],[SCORE 1]]-Table41013172512475452986878[[#This Row],[SCORE 2]])</f>
        <v>-2</v>
      </c>
      <c r="N10" s="13">
        <f>IF(OR(Table41013172512475452986878[[#This Row],[SCORE 1]]="",Table41013172512475452986878[[#This Row],[SCORE 2]]=""),"",Table41013172512475452986878[[#This Row],[SCORE 2]]-Table41013172512475452986878[[#This Row],[SCORE 1]])</f>
        <v>2</v>
      </c>
      <c r="O10" s="13">
        <f>IF(Table41013172512475452986878[[#This Row],[SCORE 1]]="","",Table41013172512475452986878[[#This Row],[SCORE 1]])</f>
        <v>17</v>
      </c>
      <c r="P10" s="13">
        <f>IF(Table41013172512475452986878[[#This Row],[SCORE 2]]="","",Table41013172512475452986878[[#This Row],[SCORE 2]])</f>
        <v>19</v>
      </c>
      <c r="Q10" s="13" t="str">
        <f>IF(OR(Table41013172512475452986878[[#This Row],[SCORE 1]]="",Table41013172512475452986878[[#This Row],[SCORE 2]]=""),"",IF(Table41013172512475452986878[[#This Row],[SALDO 12]]&gt;0, "WIN","LOSE"))</f>
        <v>LOSE</v>
      </c>
      <c r="R10" s="13" t="str">
        <f>IF(OR(Table41013172512475452986878[[#This Row],[SCORE 1]]="",Table41013172512475452986878[[#This Row],[SCORE 2]]=""),"",IF(Table41013172512475452986878[[#This Row],[SALDO 34]]&gt;0, "WIN","LOSE"))</f>
        <v>WIN</v>
      </c>
      <c r="T10" s="70" t="str">
        <f>IF($P$15="lose",$R$14,_xlfn.XLOOKUP(Table1520283250607210171105[[#This Row],[Rank]],$M$20:$R$20,$M$19:$R$19,""))</f>
        <v>Janelle</v>
      </c>
      <c r="U10" s="67" t="s">
        <v>41</v>
      </c>
    </row>
    <row r="11" spans="1:21" ht="30" customHeight="1">
      <c r="T11" s="66" t="str" cm="1">
        <f t="array" ref="T11">IF(COUNTBLANK(Table41013172512475452986878[[SCORE 1]:[SCORE 2]])=0,_xlfn.TEXTJOIN(", ", TRUE, _xlfn._xlws.FILTER($K$14:$K$25, $J$14:$J$25=U11, "")),"")</f>
        <v>Paula F.</v>
      </c>
      <c r="U11" s="67" t="s">
        <v>44</v>
      </c>
    </row>
    <row r="12" spans="1:21" ht="30" customHeight="1">
      <c r="A12" s="546" t="s">
        <v>182</v>
      </c>
      <c r="B12" s="547"/>
      <c r="C12" s="547"/>
      <c r="D12" s="547"/>
      <c r="E12" s="547"/>
      <c r="F12" s="547"/>
      <c r="G12" s="547"/>
      <c r="H12" s="420"/>
      <c r="I12" s="420"/>
      <c r="J12" s="420"/>
      <c r="K12" s="420"/>
      <c r="M12" s="548" t="s">
        <v>183</v>
      </c>
      <c r="N12" s="549"/>
      <c r="O12" s="549"/>
      <c r="P12" s="549"/>
      <c r="Q12" s="549"/>
      <c r="R12" s="549"/>
      <c r="T12" s="66" t="str" cm="1">
        <f t="array" ref="T12">IF(COUNTBLANK(Table41013172512475452986878[[SCORE 1]:[SCORE 2]])=0,_xlfn.TEXTJOIN(", ", TRUE, _xlfn._xlws.FILTER($K$14:$K$25, $J$14:$J$25=U12, "")),"")</f>
        <v>Julia C.</v>
      </c>
      <c r="U12" s="67" t="s">
        <v>39</v>
      </c>
    </row>
    <row r="13" spans="1:21" ht="15.95">
      <c r="A13" s="6" t="s">
        <v>184</v>
      </c>
      <c r="B13" s="7" t="s">
        <v>203</v>
      </c>
      <c r="C13" s="7" t="s">
        <v>186</v>
      </c>
      <c r="D13" s="7" t="s">
        <v>187</v>
      </c>
      <c r="E13" s="7" t="s">
        <v>188</v>
      </c>
      <c r="F13" s="7" t="s">
        <v>189</v>
      </c>
      <c r="G13" s="7" t="s">
        <v>8</v>
      </c>
      <c r="H13" s="80" t="s">
        <v>204</v>
      </c>
      <c r="I13" s="20" t="s">
        <v>191</v>
      </c>
      <c r="J13" s="20" t="s">
        <v>192</v>
      </c>
      <c r="K13" s="20" t="s">
        <v>1</v>
      </c>
      <c r="L13" s="20" t="s">
        <v>192</v>
      </c>
      <c r="M13" s="418" t="s">
        <v>193</v>
      </c>
      <c r="N13" s="418" t="s">
        <v>194</v>
      </c>
      <c r="O13" s="542" t="s">
        <v>195</v>
      </c>
      <c r="P13" s="543"/>
      <c r="Q13" s="418" t="s">
        <v>196</v>
      </c>
      <c r="R13" s="418" t="s">
        <v>197</v>
      </c>
      <c r="T13" s="66" t="str" cm="1">
        <f t="array" ref="T13">IF(COUNTBLANK(Table41013172512475452986878[[SCORE 1]:[SCORE 2]])=0,_xlfn.TEXTJOIN(", ", TRUE, _xlfn._xlws.FILTER($K$14:$K$25, $J$14:$J$25=U13, "")),"")</f>
        <v>Beesan</v>
      </c>
      <c r="U13" s="67" t="s">
        <v>49</v>
      </c>
    </row>
    <row r="14" spans="1:21">
      <c r="A14" s="4" t="s">
        <v>178</v>
      </c>
      <c r="B14" s="118" t="s">
        <v>75</v>
      </c>
      <c r="C14" s="14">
        <f>SUM(COUNTIFS(Table41013172512475452986878[ATHLETE 1],Table3611141826304855539969103[[#This Row],[Athletes]],Table41013172512475452986878[RESULT 12],Table3611141826304855539969103[[#Headers],[WIN]]),COUNTIFS(Table41013172512475452986878[ATHLETE 2],Table3611141826304855539969103[[#This Row],[Athletes]],Table41013172512475452986878[RESULT 12],Table3611141826304855539969103[[#Headers],[WIN]]),COUNTIFS(Table41013172512475452986878[ATHLETE 3],Table3611141826304855539969103[[#This Row],[Athletes]],Table41013172512475452986878[RESULT 34],Table3611141826304855539969103[[#Headers],[WIN]]),COUNTIFS(Table41013172512475452986878[ATHLETE 4],Table3611141826304855539969103[[#This Row],[Athletes]],Table41013172512475452986878[RESULT 34],Table3611141826304855539969103[[#Headers],[WIN]]))</f>
        <v>0</v>
      </c>
      <c r="D14" s="14">
        <f>SUM(COUNTIFS(Table41013172512475452986878[ATHLETE 1],Table3611141826304855539969103[[#This Row],[Athletes]],Table41013172512475452986878[RESULT 12],Table3611141826304855539969103[[#Headers],[LOSE]]),COUNTIFS(Table41013172512475452986878[ATHLETE 2],Table3611141826304855539969103[[#This Row],[Athletes]],Table41013172512475452986878[RESULT 12],Table3611141826304855539969103[[#Headers],[LOSE]]),COUNTIFS(Table41013172512475452986878[ATHLETE 3],Table3611141826304855539969103[[#This Row],[Athletes]],Table41013172512475452986878[RESULT 34],Table3611141826304855539969103[[#Headers],[LOSE]]),COUNTIFS(Table41013172512475452986878[ATHLETE 4],Table3611141826304855539969103[[#This Row],[Athletes]],Table41013172512475452986878[RESULT 34],Table3611141826304855539969103[[#Headers],[LOSE]]))</f>
        <v>3</v>
      </c>
      <c r="E14" s="19">
        <f>SUM(SUMIF(Table41013172512475452986878[ATHLETE 1],Table3611141826304855539969103[[#This Row],[Athletes]],Table41013172512475452986878[SALDO 12]),SUMIF(Table41013172512475452986878[ATHLETE 2],Table3611141826304855539969103[[#This Row],[Athletes]],Table41013172512475452986878[SALDO 12]),SUMIF(Table41013172512475452986878[ATHLETE 3],Table3611141826304855539969103[[#This Row],[Athletes]],Table41013172512475452986878[SALDO 34]),SUMIF(Table41013172512475452986878[ATHLETE 4],Table3611141826304855539969103[[#This Row],[Athletes]],Table41013172512475452986878[SALDO 34]))</f>
        <v>-17</v>
      </c>
      <c r="F14" s="19">
        <f>SUM(SUMIF(Table41013172512475452986878[ATHLETE 1],Table3611141826304855539969103[[#This Row],[Athletes]],Table41013172512475452986878[PM 12]),SUMIF(Table41013172512475452986878[ATHLETE 2],Table3611141826304855539969103[[#This Row],[Athletes]],Table41013172512475452986878[PM 12]),SUMIF(Table41013172512475452986878[ATHLETE 3],Table3611141826304855539969103[[#This Row],[Athletes]],Table41013172512475452986878[PM 34]),SUMIF(Table41013172512475452986878[ATHLETE 4],Table3611141826304855539969103[[#This Row],[Athletes]],Table41013172512475452986878[PM 34]))</f>
        <v>37</v>
      </c>
      <c r="G14" s="14" t="str">
        <f>IF(COUNTBLANK(Table41013172512475452986878[[SCORE 1]:[SCORE 2]])=0,IF(RANK(H14,$H$14:$H$17)=1,RANK(H14,$H$14:$H$17)&amp;"st",IF(RANK(H14,$H$14:$H$17)=2,RANK(H14,$H$14:$H$17)&amp;"nd",RANK(H14,$H$14:$H$17)&amp;"th")),"")</f>
        <v>4th</v>
      </c>
      <c r="H14" s="51">
        <f>Table3611141826304855539969103[[#This Row],[WIN]]*1000000+Table3611141826304855539969103[[#This Row],[Saldo]]*1000+Table3611141826304855539969103[[#This Row],[PM]]</f>
        <v>-16963</v>
      </c>
      <c r="I14" s="2">
        <f>H14</f>
        <v>-16963</v>
      </c>
      <c r="J14" s="2" t="str">
        <f>IF(COUNTBLANK(Table41013172512475452986878[[SCORE 1]:[SCORE 2]])=0,IF(RANK(I14,$I$14:$I$25)=1,RANK(I14,$I$14:$I$25)&amp;"st",IF(RANK(I14,$I$14:$I$25)=2,RANK(I14,$I$14:$I$25)&amp;"nd",IF(RANK(I14,$I$14:$I$25)=3,RANK(I14,$I$14:$I$25)&amp;"rd",RANK(I14,$I$14:$I$25)&amp;"th"))),"")</f>
        <v>11th</v>
      </c>
      <c r="K14" s="38" t="str">
        <f>Table3611141826304855539969103[[#This Row],[Athletes]]</f>
        <v>Beesan</v>
      </c>
      <c r="L14" s="2" t="str">
        <f>J14</f>
        <v>11th</v>
      </c>
      <c r="M14" s="428" t="str" cm="1">
        <f t="array" ref="M14">_xlfn.TEXTJOIN(", ", TRUE, _xlfn._xlws.FILTER($K$14:$K$25, $J$14:$J$25=$U$3, ""))</f>
        <v>Priscila</v>
      </c>
      <c r="N14" s="428" t="str" cm="1">
        <f t="array" ref="N14">_xlfn.TEXTJOIN(", ", TRUE, _xlfn._xlws.FILTER($K$14:$K$25, $J$14:$J$25=$U$4, ""))</f>
        <v>Fiorella</v>
      </c>
      <c r="O14" s="119">
        <v>18</v>
      </c>
      <c r="P14" s="120">
        <v>1</v>
      </c>
      <c r="Q14" s="428" t="str" cm="1">
        <f t="array" ref="Q14">_xlfn.TEXTJOIN(", ", TRUE, _xlfn._xlws.FILTER($K$14:$K$25, $J$14:$J$25=$U$9, ""))</f>
        <v>Roberta G.</v>
      </c>
      <c r="R14" s="428" t="str" cm="1">
        <f t="array" ref="R14">_xlfn.TEXTJOIN(", ", TRUE, _xlfn._xlws.FILTER($K$14:$K$25, $J$14:$J$25=$U$10, ""))</f>
        <v>Janelle</v>
      </c>
      <c r="S14" s="68"/>
      <c r="T14" s="66" t="str" cm="1">
        <f t="array" ref="T14">IF(COUNTBLANK(Table41013172512475452986878[[SCORE 1]:[SCORE 2]])=0,_xlfn.TEXTJOIN(", ", TRUE, _xlfn._xlws.FILTER($K$14:$K$25, $J$14:$J$25=U14, "")),"")</f>
        <v>Maria Luisa</v>
      </c>
      <c r="U14" s="67" t="s">
        <v>51</v>
      </c>
    </row>
    <row r="15" spans="1:21">
      <c r="A15" s="3" t="s">
        <v>178</v>
      </c>
      <c r="B15" s="118" t="s">
        <v>68</v>
      </c>
      <c r="C15" s="14">
        <f>SUM(COUNTIFS(Table41013172512475452986878[ATHLETE 1],Table3611141826304855539969103[[#This Row],[Athletes]],Table41013172512475452986878[RESULT 12],Table3611141826304855539969103[[#Headers],[WIN]]),COUNTIFS(Table41013172512475452986878[ATHLETE 2],Table3611141826304855539969103[[#This Row],[Athletes]],Table41013172512475452986878[RESULT 12],Table3611141826304855539969103[[#Headers],[WIN]]),COUNTIFS(Table41013172512475452986878[ATHLETE 3],Table3611141826304855539969103[[#This Row],[Athletes]],Table41013172512475452986878[RESULT 34],Table3611141826304855539969103[[#Headers],[WIN]]),COUNTIFS(Table41013172512475452986878[ATHLETE 4],Table3611141826304855539969103[[#This Row],[Athletes]],Table41013172512475452986878[RESULT 34],Table3611141826304855539969103[[#Headers],[WIN]]))</f>
        <v>2</v>
      </c>
      <c r="D15" s="14">
        <f>SUM(COUNTIFS(Table41013172512475452986878[ATHLETE 1],Table3611141826304855539969103[[#This Row],[Athletes]],Table41013172512475452986878[RESULT 12],Table3611141826304855539969103[[#Headers],[LOSE]]),COUNTIFS(Table41013172512475452986878[ATHLETE 2],Table3611141826304855539969103[[#This Row],[Athletes]],Table41013172512475452986878[RESULT 12],Table3611141826304855539969103[[#Headers],[LOSE]]),COUNTIFS(Table41013172512475452986878[ATHLETE 3],Table3611141826304855539969103[[#This Row],[Athletes]],Table41013172512475452986878[RESULT 34],Table3611141826304855539969103[[#Headers],[LOSE]]),COUNTIFS(Table41013172512475452986878[ATHLETE 4],Table3611141826304855539969103[[#This Row],[Athletes]],Table41013172512475452986878[RESULT 34],Table3611141826304855539969103[[#Headers],[LOSE]]))</f>
        <v>1</v>
      </c>
      <c r="E15" s="19">
        <f>SUM(SUMIF(Table41013172512475452986878[ATHLETE 1],Table3611141826304855539969103[[#This Row],[Athletes]],Table41013172512475452986878[SALDO 12]),SUMIF(Table41013172512475452986878[ATHLETE 2],Table3611141826304855539969103[[#This Row],[Athletes]],Table41013172512475452986878[SALDO 12]),SUMIF(Table41013172512475452986878[ATHLETE 3],Table3611141826304855539969103[[#This Row],[Athletes]],Table41013172512475452986878[SALDO 34]),SUMIF(Table41013172512475452986878[ATHLETE 4],Table3611141826304855539969103[[#This Row],[Athletes]],Table41013172512475452986878[SALDO 34]))</f>
        <v>7</v>
      </c>
      <c r="F15" s="19">
        <f>SUM(SUMIF(Table41013172512475452986878[ATHLETE 1],Table3611141826304855539969103[[#This Row],[Athletes]],Table41013172512475452986878[PM 12]),SUMIF(Table41013172512475452986878[ATHLETE 2],Table3611141826304855539969103[[#This Row],[Athletes]],Table41013172512475452986878[PM 12]),SUMIF(Table41013172512475452986878[ATHLETE 3],Table3611141826304855539969103[[#This Row],[Athletes]],Table41013172512475452986878[PM 34]),SUMIF(Table41013172512475452986878[ATHLETE 4],Table3611141826304855539969103[[#This Row],[Athletes]],Table41013172512475452986878[PM 34]))</f>
        <v>49</v>
      </c>
      <c r="G15" s="14" t="str">
        <f>IF(COUNTBLANK(Table41013172512475452986878[[SCORE 1]:[SCORE 2]])=0,IF(RANK(H15,$H$14:$H$17)=1,RANK(H15,$H$14:$H$17)&amp;"st",IF(RANK(H15,$H$14:$H$17)=2,RANK(H15,$H$14:$H$17)&amp;"nd",RANK(H15,$H$14:$H$17)&amp;"th")),"")</f>
        <v>2nd</v>
      </c>
      <c r="H15" s="51">
        <f>Table3611141826304855539969103[[#This Row],[WIN]]*1000000+Table3611141826304855539969103[[#This Row],[Saldo]]*1000+Table3611141826304855539969103[[#This Row],[PM]]</f>
        <v>2007049</v>
      </c>
      <c r="I15" s="2">
        <f t="shared" ref="I15:I17" si="0">H15</f>
        <v>2007049</v>
      </c>
      <c r="J15" s="2" t="str">
        <f>IF(COUNTBLANK(Table41013172512475452986878[[SCORE 1]:[SCORE 2]])=0,IF(RANK(I15,$I$14:$I$25)=1,RANK(I15,$I$14:$I$25)&amp;"st",IF(RANK(I15,$I$14:$I$25)=2,RANK(I15,$I$14:$I$25)&amp;"nd",IF(RANK(I15,$I$14:$I$25)=3,RANK(I15,$I$14:$I$25)&amp;"rd",RANK(I15,$I$14:$I$25)&amp;"th"))),"")</f>
        <v>5th</v>
      </c>
      <c r="K15" s="38" t="str">
        <f>Table3611141826304855539969103[[#This Row],[Athletes]]</f>
        <v>Giovanna</v>
      </c>
      <c r="L15" s="2" t="str">
        <f t="shared" ref="L15:L17" si="1">J15</f>
        <v>5th</v>
      </c>
      <c r="M15" s="127" t="str">
        <f>IF($O$15="lose",$U$7,"")</f>
        <v/>
      </c>
      <c r="N15" s="127" t="str">
        <f>IF($O$15="lose",$U$8,"")</f>
        <v/>
      </c>
      <c r="O15" s="2" t="str">
        <f>IF(OR(O14="",P14=""),"",IF((O14&gt;P14),"WIN","LOSE"))</f>
        <v>WIN</v>
      </c>
      <c r="P15" s="2" t="str">
        <f>IF(OR(O14="",P14=""),"",IF((O14&lt;P14),"WIN","LOSE"))</f>
        <v>LOSE</v>
      </c>
      <c r="Q15" s="127" t="str">
        <f>IF($P$15="lose",$U$9,"")</f>
        <v>7th</v>
      </c>
      <c r="R15" s="127" t="str">
        <f>IF($P$15="lose",$U$10,"")</f>
        <v>8th</v>
      </c>
      <c r="S15" s="17"/>
    </row>
    <row r="16" spans="1:21">
      <c r="A16" s="3" t="s">
        <v>178</v>
      </c>
      <c r="B16" s="118" t="s">
        <v>64</v>
      </c>
      <c r="C16" s="14">
        <f>SUM(COUNTIFS(Table41013172512475452986878[ATHLETE 1],Table3611141826304855539969103[[#This Row],[Athletes]],Table41013172512475452986878[RESULT 12],Table3611141826304855539969103[[#Headers],[WIN]]),COUNTIFS(Table41013172512475452986878[ATHLETE 2],Table3611141826304855539969103[[#This Row],[Athletes]],Table41013172512475452986878[RESULT 12],Table3611141826304855539969103[[#Headers],[WIN]]),COUNTIFS(Table41013172512475452986878[ATHLETE 3],Table3611141826304855539969103[[#This Row],[Athletes]],Table41013172512475452986878[RESULT 34],Table3611141826304855539969103[[#Headers],[WIN]]),COUNTIFS(Table41013172512475452986878[ATHLETE 4],Table3611141826304855539969103[[#This Row],[Athletes]],Table41013172512475452986878[RESULT 34],Table3611141826304855539969103[[#Headers],[WIN]]))</f>
        <v>2</v>
      </c>
      <c r="D16" s="14">
        <f>SUM(COUNTIFS(Table41013172512475452986878[ATHLETE 1],Table3611141826304855539969103[[#This Row],[Athletes]],Table41013172512475452986878[RESULT 12],Table3611141826304855539969103[[#Headers],[LOSE]]),COUNTIFS(Table41013172512475452986878[ATHLETE 2],Table3611141826304855539969103[[#This Row],[Athletes]],Table41013172512475452986878[RESULT 12],Table3611141826304855539969103[[#Headers],[LOSE]]),COUNTIFS(Table41013172512475452986878[ATHLETE 3],Table3611141826304855539969103[[#This Row],[Athletes]],Table41013172512475452986878[RESULT 34],Table3611141826304855539969103[[#Headers],[LOSE]]),COUNTIFS(Table41013172512475452986878[ATHLETE 4],Table3611141826304855539969103[[#This Row],[Athletes]],Table41013172512475452986878[RESULT 34],Table3611141826304855539969103[[#Headers],[LOSE]]))</f>
        <v>1</v>
      </c>
      <c r="E16" s="19">
        <f>SUM(SUMIF(Table41013172512475452986878[ATHLETE 1],Table3611141826304855539969103[[#This Row],[Athletes]],Table41013172512475452986878[SALDO 12]),SUMIF(Table41013172512475452986878[ATHLETE 2],Table3611141826304855539969103[[#This Row],[Athletes]],Table41013172512475452986878[SALDO 12]),SUMIF(Table41013172512475452986878[ATHLETE 3],Table3611141826304855539969103[[#This Row],[Athletes]],Table41013172512475452986878[SALDO 34]),SUMIF(Table41013172512475452986878[ATHLETE 4],Table3611141826304855539969103[[#This Row],[Athletes]],Table41013172512475452986878[SALDO 34]))</f>
        <v>9</v>
      </c>
      <c r="F16" s="19">
        <f>SUM(SUMIF(Table41013172512475452986878[ATHLETE 1],Table3611141826304855539969103[[#This Row],[Athletes]],Table41013172512475452986878[PM 12]),SUMIF(Table41013172512475452986878[ATHLETE 2],Table3611141826304855539969103[[#This Row],[Athletes]],Table41013172512475452986878[PM 12]),SUMIF(Table41013172512475452986878[ATHLETE 3],Table3611141826304855539969103[[#This Row],[Athletes]],Table41013172512475452986878[PM 34]),SUMIF(Table41013172512475452986878[ATHLETE 4],Table3611141826304855539969103[[#This Row],[Athletes]],Table41013172512475452986878[PM 34]))</f>
        <v>50</v>
      </c>
      <c r="G16" s="14" t="str">
        <f>IF(COUNTBLANK(Table41013172512475452986878[[SCORE 1]:[SCORE 2]])=0,IF(RANK(H16,$H$14:$H$17)=1,RANK(H16,$H$14:$H$17)&amp;"st",IF(RANK(H16,$H$14:$H$17)=2,RANK(H16,$H$14:$H$17)&amp;"nd",RANK(H16,$H$14:$H$17)&amp;"th")),"")</f>
        <v>1st</v>
      </c>
      <c r="H16" s="51">
        <f>Table3611141826304855539969103[[#This Row],[WIN]]*1000000+Table3611141826304855539969103[[#This Row],[Saldo]]*1000+Table3611141826304855539969103[[#This Row],[PM]]</f>
        <v>2009050</v>
      </c>
      <c r="I16" s="2">
        <f t="shared" si="0"/>
        <v>2009050</v>
      </c>
      <c r="J16" s="2" t="str">
        <f>IF(COUNTBLANK(Table41013172512475452986878[[SCORE 1]:[SCORE 2]])=0,IF(RANK(I16,$I$14:$I$25)=1,RANK(I16,$I$14:$I$25)&amp;"st",IF(RANK(I16,$I$14:$I$25)=2,RANK(I16,$I$14:$I$25)&amp;"nd",IF(RANK(I16,$I$14:$I$25)=3,RANK(I16,$I$14:$I$25)&amp;"rd",RANK(I16,$I$14:$I$25)&amp;"th"))),"")</f>
        <v>4th</v>
      </c>
      <c r="K16" s="38" t="str">
        <f>Table3611141826304855539969103[[#This Row],[Athletes]]</f>
        <v>Gabriela</v>
      </c>
      <c r="L16" s="2" t="str">
        <f t="shared" si="1"/>
        <v>4th</v>
      </c>
      <c r="M16" s="90">
        <v>1</v>
      </c>
      <c r="N16" s="90">
        <v>2</v>
      </c>
      <c r="O16" s="90"/>
      <c r="P16" s="90"/>
      <c r="Q16" s="90">
        <v>7</v>
      </c>
      <c r="R16" s="90">
        <v>8</v>
      </c>
    </row>
    <row r="17" spans="1:21" ht="15.95">
      <c r="A17" s="5" t="s">
        <v>178</v>
      </c>
      <c r="B17" s="118" t="s">
        <v>66</v>
      </c>
      <c r="C17" s="14">
        <f>SUM(COUNTIFS(Table41013172512475452986878[ATHLETE 1],Table3611141826304855539969103[[#This Row],[Athletes]],Table41013172512475452986878[RESULT 12],Table3611141826304855539969103[[#Headers],[WIN]]),COUNTIFS(Table41013172512475452986878[ATHLETE 2],Table3611141826304855539969103[[#This Row],[Athletes]],Table41013172512475452986878[RESULT 12],Table3611141826304855539969103[[#Headers],[WIN]]),COUNTIFS(Table41013172512475452986878[ATHLETE 3],Table3611141826304855539969103[[#This Row],[Athletes]],Table41013172512475452986878[RESULT 34],Table3611141826304855539969103[[#Headers],[WIN]]),COUNTIFS(Table41013172512475452986878[ATHLETE 4],Table3611141826304855539969103[[#This Row],[Athletes]],Table41013172512475452986878[RESULT 34],Table3611141826304855539969103[[#Headers],[WIN]]))</f>
        <v>2</v>
      </c>
      <c r="D17" s="14">
        <f>SUM(COUNTIFS(Table41013172512475452986878[ATHLETE 1],Table3611141826304855539969103[[#This Row],[Athletes]],Table41013172512475452986878[RESULT 12],Table3611141826304855539969103[[#Headers],[LOSE]]),COUNTIFS(Table41013172512475452986878[ATHLETE 2],Table3611141826304855539969103[[#This Row],[Athletes]],Table41013172512475452986878[RESULT 12],Table3611141826304855539969103[[#Headers],[LOSE]]),COUNTIFS(Table41013172512475452986878[ATHLETE 3],Table3611141826304855539969103[[#This Row],[Athletes]],Table41013172512475452986878[RESULT 34],Table3611141826304855539969103[[#Headers],[LOSE]]),COUNTIFS(Table41013172512475452986878[ATHLETE 4],Table3611141826304855539969103[[#This Row],[Athletes]],Table41013172512475452986878[RESULT 34],Table3611141826304855539969103[[#Headers],[LOSE]]))</f>
        <v>1</v>
      </c>
      <c r="E17" s="19">
        <f>SUM(SUMIF(Table41013172512475452986878[ATHLETE 1],Table3611141826304855539969103[[#This Row],[Athletes]],Table41013172512475452986878[SALDO 12]),SUMIF(Table41013172512475452986878[ATHLETE 2],Table3611141826304855539969103[[#This Row],[Athletes]],Table41013172512475452986878[SALDO 12]),SUMIF(Table41013172512475452986878[ATHLETE 3],Table3611141826304855539969103[[#This Row],[Athletes]],Table41013172512475452986878[SALDO 34]),SUMIF(Table41013172512475452986878[ATHLETE 4],Table3611141826304855539969103[[#This Row],[Athletes]],Table41013172512475452986878[SALDO 34]))</f>
        <v>1</v>
      </c>
      <c r="F17" s="19">
        <f>SUM(SUMIF(Table41013172512475452986878[ATHLETE 1],Table3611141826304855539969103[[#This Row],[Athletes]],Table41013172512475452986878[PM 12]),SUMIF(Table41013172512475452986878[ATHLETE 2],Table3611141826304855539969103[[#This Row],[Athletes]],Table41013172512475452986878[PM 12]),SUMIF(Table41013172512475452986878[ATHLETE 3],Table3611141826304855539969103[[#This Row],[Athletes]],Table41013172512475452986878[PM 34]),SUMIF(Table41013172512475452986878[ATHLETE 4],Table3611141826304855539969103[[#This Row],[Athletes]],Table41013172512475452986878[PM 34]))</f>
        <v>46</v>
      </c>
      <c r="G17" s="14" t="str">
        <f>IF(COUNTBLANK(Table41013172512475452986878[[SCORE 1]:[SCORE 2]])=0,IF(RANK(H17,$H$14:$H$17)=1,RANK(H17,$H$14:$H$17)&amp;"st",IF(RANK(H17,$H$14:$H$17)=2,RANK(H17,$H$14:$H$17)&amp;"nd",RANK(H17,$H$14:$H$17)&amp;"th")),"")</f>
        <v>3th</v>
      </c>
      <c r="H17" s="51">
        <f>Table3611141826304855539969103[[#This Row],[WIN]]*1000000+Table3611141826304855539969103[[#This Row],[Saldo]]*1000+Table3611141826304855539969103[[#This Row],[PM]]</f>
        <v>2001046</v>
      </c>
      <c r="I17" s="2">
        <f t="shared" si="0"/>
        <v>2001046</v>
      </c>
      <c r="J17" s="2" t="str">
        <f>IF(COUNTBLANK(Table41013172512475452986878[[SCORE 1]:[SCORE 2]])=0,IF(RANK(I17,$I$14:$I$25)=1,RANK(I17,$I$14:$I$25)&amp;"st",IF(RANK(I17,$I$14:$I$25)=2,RANK(I17,$I$14:$I$25)&amp;"nd",IF(RANK(I17,$I$14:$I$25)=3,RANK(I17,$I$14:$I$25)&amp;"rd",RANK(I17,$I$14:$I$25)&amp;"th"))),"")</f>
        <v>7th</v>
      </c>
      <c r="K17" s="38" t="str">
        <f>Table3611141826304855539969103[[#This Row],[Athletes]]</f>
        <v>Roberta G.</v>
      </c>
      <c r="L17" s="2" t="str">
        <f t="shared" si="1"/>
        <v>7th</v>
      </c>
      <c r="M17" s="90"/>
      <c r="N17" s="90"/>
      <c r="O17" s="90"/>
      <c r="P17" s="90"/>
      <c r="Q17" s="90"/>
      <c r="R17" s="90"/>
      <c r="T17" s="44"/>
      <c r="U17" s="44"/>
    </row>
    <row r="18" spans="1:21">
      <c r="I18" s="2">
        <f>H20</f>
        <v>-34981</v>
      </c>
      <c r="J18" s="2" t="str">
        <f>IF(COUNTBLANK(Table41013172512475452986878[[SCORE 1]:[SCORE 2]])=0,IF(RANK(I18,$I$14:$I$25)=1,RANK(I18,$I$14:$I$25)&amp;"st",IF(RANK(I18,$I$14:$I$25)=2,RANK(I18,$I$14:$I$25)&amp;"nd",IF(RANK(I18,$I$14:$I$25)=3,RANK(I18,$I$14:$I$25)&amp;"rd",RANK(I18,$I$14:$I$25)&amp;"th"))),"")</f>
        <v>12th</v>
      </c>
      <c r="K18" s="38" t="str">
        <f>B20</f>
        <v>Maria Luisa</v>
      </c>
      <c r="L18" s="2"/>
      <c r="M18" s="418" t="s">
        <v>193</v>
      </c>
      <c r="N18" s="418" t="s">
        <v>194</v>
      </c>
      <c r="O18" s="542" t="s">
        <v>195</v>
      </c>
      <c r="P18" s="543"/>
      <c r="Q18" s="418" t="s">
        <v>196</v>
      </c>
      <c r="R18" s="418" t="s">
        <v>197</v>
      </c>
    </row>
    <row r="19" spans="1:21" s="44" customFormat="1" ht="28.5" customHeight="1">
      <c r="A19" s="9" t="s">
        <v>184</v>
      </c>
      <c r="B19" s="48" t="s">
        <v>203</v>
      </c>
      <c r="C19" s="48" t="s">
        <v>186</v>
      </c>
      <c r="D19" s="48" t="s">
        <v>187</v>
      </c>
      <c r="E19" s="48" t="s">
        <v>188</v>
      </c>
      <c r="F19" s="48" t="s">
        <v>189</v>
      </c>
      <c r="G19" s="43" t="s">
        <v>8</v>
      </c>
      <c r="H19" s="79" t="s">
        <v>204</v>
      </c>
      <c r="I19" s="2">
        <f>H21</f>
        <v>2015044</v>
      </c>
      <c r="J19" s="2" t="str">
        <f>IF(COUNTBLANK(Table41013172512475452986878[[SCORE 1]:[SCORE 2]])=0,IF(RANK(I19,$I$14:$I$25)=1,RANK(I19,$I$14:$I$25)&amp;"st",IF(RANK(I19,$I$14:$I$25)=2,RANK(I19,$I$14:$I$25)&amp;"nd",IF(RANK(I19,$I$14:$I$25)=3,RANK(I19,$I$14:$I$25)&amp;"rd",RANK(I19,$I$14:$I$25)&amp;"th"))),"")</f>
        <v>3rd</v>
      </c>
      <c r="K19" s="38" t="str">
        <f>B21</f>
        <v>Talita</v>
      </c>
      <c r="L19" s="419" t="s">
        <v>192</v>
      </c>
      <c r="M19" s="147" t="str" cm="1">
        <f t="array" ref="M19">_xlfn.TEXTJOIN(", ", TRUE, _xlfn._xlws.FILTER($K$14:$K$25, $J$14:$J$25=$U$5, ""))</f>
        <v>Talita</v>
      </c>
      <c r="N19" s="147" t="str" cm="1">
        <f t="array" ref="N19">_xlfn.TEXTJOIN(", ", TRUE, _xlfn._xlws.FILTER($K$14:$K$25, $J$14:$J$25=$U$6, ""))</f>
        <v>Gabriela</v>
      </c>
      <c r="O19" s="119">
        <v>18</v>
      </c>
      <c r="P19" s="119">
        <v>16</v>
      </c>
      <c r="Q19" s="147" t="str" cm="1">
        <f t="array" ref="Q19">_xlfn.TEXTJOIN(", ", TRUE, _xlfn._xlws.FILTER($K$14:$K$25, $J$14:$J$25=$U$7, ""))</f>
        <v>Giovanna</v>
      </c>
      <c r="R19" s="428" t="str" cm="1">
        <f t="array" ref="R19">_xlfn.TEXTJOIN(", ", TRUE, _xlfn._xlws.FILTER($K$14:$K$25, $J$14:$J$25=$U$8, ""))</f>
        <v>Bella</v>
      </c>
      <c r="T19"/>
      <c r="U19"/>
    </row>
    <row r="20" spans="1:21">
      <c r="A20" s="430" t="s">
        <v>180</v>
      </c>
      <c r="B20" s="118" t="s">
        <v>76</v>
      </c>
      <c r="C20" s="14">
        <f>SUM(COUNTIFS(Table41013172512475452986878[ATHLETE 1],Table6121519273149567110070104[[#This Row],[Athletes]],Table41013172512475452986878[RESULT 12],Table3611141826304855539969103[[#Headers],[WIN]]),COUNTIFS(Table41013172512475452986878[ATHLETE 2],Table6121519273149567110070104[[#This Row],[Athletes]],Table41013172512475452986878[RESULT 12],Table3611141826304855539969103[[#Headers],[WIN]]),COUNTIFS(Table41013172512475452986878[ATHLETE 3],Table6121519273149567110070104[[#This Row],[Athletes]],Table41013172512475452986878[RESULT 34],Table3611141826304855539969103[[#Headers],[WIN]]),COUNTIFS(Table41013172512475452986878[ATHLETE 4],Table6121519273149567110070104[[#This Row],[Athletes]],Table41013172512475452986878[RESULT 34],Table3611141826304855539969103[[#Headers],[WIN]]))</f>
        <v>0</v>
      </c>
      <c r="D20" s="12">
        <f>SUM(COUNTIFS(Table41013172512475452986878[ATHLETE 1],Table6121519273149567110070104[[#This Row],[Athletes]],Table41013172512475452986878[RESULT 12],Table3611141826304855539969103[[#Headers],[LOSE]]),COUNTIFS(Table41013172512475452986878[ATHLETE 2],Table6121519273149567110070104[[#This Row],[Athletes]],Table41013172512475452986878[RESULT 12],Table3611141826304855539969103[[#Headers],[LOSE]]),COUNTIFS(Table41013172512475452986878[ATHLETE 3],Table6121519273149567110070104[[#This Row],[Athletes]],Table41013172512475452986878[RESULT 34],Table3611141826304855539969103[[#Headers],[LOSE]]),COUNTIFS(Table41013172512475452986878[ATHLETE 4],Table6121519273149567110070104[[#This Row],[Athletes]],Table41013172512475452986878[RESULT 34],Table3611141826304855539969103[[#Headers],[LOSE]]))</f>
        <v>3</v>
      </c>
      <c r="E20" s="19">
        <f>SUM(SUMIF(Table41013172512475452986878[ATHLETE 1],Table6121519273149567110070104[[#This Row],[Athletes]],Table41013172512475452986878[SALDO 12]),SUMIF(Table41013172512475452986878[ATHLETE 2],Table6121519273149567110070104[[#This Row],[Athletes]],Table41013172512475452986878[SALDO 12]),SUMIF(Table41013172512475452986878[ATHLETE 3],Table6121519273149567110070104[[#This Row],[Athletes]],Table41013172512475452986878[SALDO 34]),SUMIF(Table41013172512475452986878[ATHLETE 4],Table6121519273149567110070104[[#This Row],[Athletes]],Table41013172512475452986878[SALDO 34]))</f>
        <v>-35</v>
      </c>
      <c r="F20" s="19">
        <f>SUM(SUMIF(Table41013172512475452986878[ATHLETE 1],Table6121519273149567110070104[[#This Row],[Athletes]],Table41013172512475452986878[PM 12]),SUMIF(Table41013172512475452986878[ATHLETE 2],Table6121519273149567110070104[[#This Row],[Athletes]],Table41013172512475452986878[PM 12]),SUMIF(Table41013172512475452986878[ATHLETE 3],Table6121519273149567110070104[[#This Row],[Athletes]],Table41013172512475452986878[PM 34]),SUMIF(Table41013172512475452986878[ATHLETE 4],Table6121519273149567110070104[[#This Row],[Athletes]],Table41013172512475452986878[PM 34]))</f>
        <v>19</v>
      </c>
      <c r="G20" s="14" t="str">
        <f>IF(COUNTBLANK(Table41013172512475452986878[[SCORE 1]:[SCORE 2]])=0,IF(RANK(H20,$H$20:$H$23)=1,RANK(H20,$H$20:$H$23)&amp;"st",IF(RANK(H20,$H$20:$H$23)=2,RANK(H20,$H$20:$H$23)&amp;"nd",RANK(H20,$H$20:$H$23)&amp;"th")),"")</f>
        <v>4th</v>
      </c>
      <c r="H20" s="51">
        <f>Table6121519273149567110070104[[#This Row],[WIN]]*1000000+Table6121519273149567110070104[[#This Row],[Saldo]]*1000+Table6121519273149567110070104[[#This Row],[PM]]</f>
        <v>-34981</v>
      </c>
      <c r="I20" s="2">
        <f>H22</f>
        <v>2003038</v>
      </c>
      <c r="J20" s="2" t="str">
        <f>IF(COUNTBLANK(Table41013172512475452986878[[SCORE 1]:[SCORE 2]])=0,IF(RANK(I20,$I$14:$I$25)=1,RANK(I20,$I$14:$I$25)&amp;"st",IF(RANK(I20,$I$14:$I$25)=2,RANK(I20,$I$14:$I$25)&amp;"nd",IF(RANK(I20,$I$14:$I$25)=3,RANK(I20,$I$14:$I$25)&amp;"rd",RANK(I20,$I$14:$I$25)&amp;"th"))),"")</f>
        <v>6th</v>
      </c>
      <c r="K20" s="38" t="str">
        <f>B22</f>
        <v>Bella</v>
      </c>
      <c r="L20" s="2" t="str">
        <f>J18</f>
        <v>12th</v>
      </c>
      <c r="M20" s="127" t="str">
        <f>IF(AND($O$20="lose",$O$15="lose"),$U$9,IF($O$20="lose",$U$7,""))</f>
        <v/>
      </c>
      <c r="N20" s="127" t="str">
        <f>IF(AND($O$20="lose",$O$15="lose"),$U$10,IF($O$20="lose",$U$8,""))</f>
        <v/>
      </c>
      <c r="O20" s="2" t="str">
        <f>IF(OR(O19="",P19=""),"",IF((O19&gt;P19),"WIN","LOSE"))</f>
        <v>WIN</v>
      </c>
      <c r="P20" s="2" t="str">
        <f>IF(OR(O19="",P19=""),"",IF((O19&lt;P19),"WIN","LOSE"))</f>
        <v>LOSE</v>
      </c>
      <c r="Q20" s="127" t="str">
        <f>IF(AND($P$20="lose",$O$15="lose"),$U$9,IF($P$20="lose",$U$7,""))</f>
        <v>5th</v>
      </c>
      <c r="R20" s="127" t="str">
        <f>IF(AND($P$20="lose",$O$15="lose"),$U$10,IF($P$20="lose",$U$8,""))</f>
        <v>6th</v>
      </c>
    </row>
    <row r="21" spans="1:21">
      <c r="A21" s="430" t="s">
        <v>180</v>
      </c>
      <c r="B21" s="118" t="s">
        <v>70</v>
      </c>
      <c r="C21" s="14">
        <f>SUM(COUNTIFS(Table41013172512475452986878[ATHLETE 1],Table6121519273149567110070104[[#This Row],[Athletes]],Table41013172512475452986878[RESULT 12],Table3611141826304855539969103[[#Headers],[WIN]]),COUNTIFS(Table41013172512475452986878[ATHLETE 2],Table6121519273149567110070104[[#This Row],[Athletes]],Table41013172512475452986878[RESULT 12],Table3611141826304855539969103[[#Headers],[WIN]]),COUNTIFS(Table41013172512475452986878[ATHLETE 3],Table6121519273149567110070104[[#This Row],[Athletes]],Table41013172512475452986878[RESULT 34],Table3611141826304855539969103[[#Headers],[WIN]]),COUNTIFS(Table41013172512475452986878[ATHLETE 4],Table6121519273149567110070104[[#This Row],[Athletes]],Table41013172512475452986878[RESULT 34],Table3611141826304855539969103[[#Headers],[WIN]]))</f>
        <v>2</v>
      </c>
      <c r="D21" s="12">
        <f>SUM(COUNTIFS(Table41013172512475452986878[ATHLETE 1],Table6121519273149567110070104[[#This Row],[Athletes]],Table41013172512475452986878[RESULT 12],Table3611141826304855539969103[[#Headers],[LOSE]]),COUNTIFS(Table41013172512475452986878[ATHLETE 2],Table6121519273149567110070104[[#This Row],[Athletes]],Table41013172512475452986878[RESULT 12],Table3611141826304855539969103[[#Headers],[LOSE]]),COUNTIFS(Table41013172512475452986878[ATHLETE 3],Table6121519273149567110070104[[#This Row],[Athletes]],Table41013172512475452986878[RESULT 34],Table3611141826304855539969103[[#Headers],[LOSE]]),COUNTIFS(Table41013172512475452986878[ATHLETE 4],Table6121519273149567110070104[[#This Row],[Athletes]],Table41013172512475452986878[RESULT 34],Table3611141826304855539969103[[#Headers],[LOSE]]))</f>
        <v>1</v>
      </c>
      <c r="E21" s="19">
        <f>SUM(SUMIF(Table41013172512475452986878[ATHLETE 1],Table6121519273149567110070104[[#This Row],[Athletes]],Table41013172512475452986878[SALDO 12]),SUMIF(Table41013172512475452986878[ATHLETE 2],Table6121519273149567110070104[[#This Row],[Athletes]],Table41013172512475452986878[SALDO 12]),SUMIF(Table41013172512475452986878[ATHLETE 3],Table6121519273149567110070104[[#This Row],[Athletes]],Table41013172512475452986878[SALDO 34]),SUMIF(Table41013172512475452986878[ATHLETE 4],Table6121519273149567110070104[[#This Row],[Athletes]],Table41013172512475452986878[SALDO 34]))</f>
        <v>15</v>
      </c>
      <c r="F21" s="19">
        <f>SUM(SUMIF(Table41013172512475452986878[ATHLETE 1],Table6121519273149567110070104[[#This Row],[Athletes]],Table41013172512475452986878[PM 12]),SUMIF(Table41013172512475452986878[ATHLETE 2],Table6121519273149567110070104[[#This Row],[Athletes]],Table41013172512475452986878[PM 12]),SUMIF(Table41013172512475452986878[ATHLETE 3],Table6121519273149567110070104[[#This Row],[Athletes]],Table41013172512475452986878[PM 34]),SUMIF(Table41013172512475452986878[ATHLETE 4],Table6121519273149567110070104[[#This Row],[Athletes]],Table41013172512475452986878[PM 34]))</f>
        <v>44</v>
      </c>
      <c r="G21" s="14" t="str">
        <f>IF(COUNTBLANK(Table41013172512475452986878[[SCORE 1]:[SCORE 2]])=0,IF(RANK(H21,$H$20:$H$23)=1,RANK(H21,$H$20:$H$23)&amp;"st",IF(RANK(H21,$H$20:$H$23)=2,RANK(H21,$H$20:$H$23)&amp;"nd",RANK(H21,$H$20:$H$23)&amp;"th")),"")</f>
        <v>2nd</v>
      </c>
      <c r="H21" s="51">
        <f>Table6121519273149567110070104[[#This Row],[WIN]]*1000000+Table6121519273149567110070104[[#This Row],[Saldo]]*1000+Table6121519273149567110070104[[#This Row],[PM]]</f>
        <v>2015044</v>
      </c>
      <c r="I21" s="2">
        <f>H23</f>
        <v>2017045</v>
      </c>
      <c r="J21" s="2" t="str">
        <f>IF(COUNTBLANK(Table41013172512475452986878[[SCORE 1]:[SCORE 2]])=0,IF(RANK(I21,$I$14:$I$25)=1,RANK(I21,$I$14:$I$25)&amp;"st",IF(RANK(I21,$I$14:$I$25)=2,RANK(I21,$I$14:$I$25)&amp;"nd",IF(RANK(I21,$I$14:$I$25)=3,RANK(I21,$I$14:$I$25)&amp;"rd",RANK(I21,$I$14:$I$25)&amp;"th"))),"")</f>
        <v>2nd</v>
      </c>
      <c r="K21" s="38" t="str">
        <f>B23</f>
        <v>Fiorella</v>
      </c>
      <c r="L21" s="2" t="str">
        <f t="shared" ref="L21:L23" si="2">J19</f>
        <v>3rd</v>
      </c>
      <c r="M21" s="90">
        <v>3</v>
      </c>
      <c r="N21" s="90">
        <v>4</v>
      </c>
      <c r="O21" s="90"/>
      <c r="P21" s="90"/>
      <c r="Q21" s="90">
        <v>5</v>
      </c>
      <c r="R21" s="90">
        <v>6</v>
      </c>
    </row>
    <row r="22" spans="1:21">
      <c r="A22" s="430" t="s">
        <v>180</v>
      </c>
      <c r="B22" s="118" t="s">
        <v>67</v>
      </c>
      <c r="C22" s="14">
        <f>SUM(COUNTIFS(Table41013172512475452986878[ATHLETE 1],Table6121519273149567110070104[[#This Row],[Athletes]],Table41013172512475452986878[RESULT 12],Table3611141826304855539969103[[#Headers],[WIN]]),COUNTIFS(Table41013172512475452986878[ATHLETE 2],Table6121519273149567110070104[[#This Row],[Athletes]],Table41013172512475452986878[RESULT 12],Table3611141826304855539969103[[#Headers],[WIN]]),COUNTIFS(Table41013172512475452986878[ATHLETE 3],Table6121519273149567110070104[[#This Row],[Athletes]],Table41013172512475452986878[RESULT 34],Table3611141826304855539969103[[#Headers],[WIN]]),COUNTIFS(Table41013172512475452986878[ATHLETE 4],Table6121519273149567110070104[[#This Row],[Athletes]],Table41013172512475452986878[RESULT 34],Table3611141826304855539969103[[#Headers],[WIN]]))</f>
        <v>2</v>
      </c>
      <c r="D22" s="12">
        <f>SUM(COUNTIFS(Table41013172512475452986878[ATHLETE 1],Table6121519273149567110070104[[#This Row],[Athletes]],Table41013172512475452986878[RESULT 12],Table3611141826304855539969103[[#Headers],[LOSE]]),COUNTIFS(Table41013172512475452986878[ATHLETE 2],Table6121519273149567110070104[[#This Row],[Athletes]],Table41013172512475452986878[RESULT 12],Table3611141826304855539969103[[#Headers],[LOSE]]),COUNTIFS(Table41013172512475452986878[ATHLETE 3],Table6121519273149567110070104[[#This Row],[Athletes]],Table41013172512475452986878[RESULT 34],Table3611141826304855539969103[[#Headers],[LOSE]]),COUNTIFS(Table41013172512475452986878[ATHLETE 4],Table6121519273149567110070104[[#This Row],[Athletes]],Table41013172512475452986878[RESULT 34],Table3611141826304855539969103[[#Headers],[LOSE]]))</f>
        <v>1</v>
      </c>
      <c r="E22" s="19">
        <f>SUM(SUMIF(Table41013172512475452986878[ATHLETE 1],Table6121519273149567110070104[[#This Row],[Athletes]],Table41013172512475452986878[SALDO 12]),SUMIF(Table41013172512475452986878[ATHLETE 2],Table6121519273149567110070104[[#This Row],[Athletes]],Table41013172512475452986878[SALDO 12]),SUMIF(Table41013172512475452986878[ATHLETE 3],Table6121519273149567110070104[[#This Row],[Athletes]],Table41013172512475452986878[SALDO 34]),SUMIF(Table41013172512475452986878[ATHLETE 4],Table6121519273149567110070104[[#This Row],[Athletes]],Table41013172512475452986878[SALDO 34]))</f>
        <v>3</v>
      </c>
      <c r="F22" s="19">
        <f>SUM(SUMIF(Table41013172512475452986878[ATHLETE 1],Table6121519273149567110070104[[#This Row],[Athletes]],Table41013172512475452986878[PM 12]),SUMIF(Table41013172512475452986878[ATHLETE 2],Table6121519273149567110070104[[#This Row],[Athletes]],Table41013172512475452986878[PM 12]),SUMIF(Table41013172512475452986878[ATHLETE 3],Table6121519273149567110070104[[#This Row],[Athletes]],Table41013172512475452986878[PM 34]),SUMIF(Table41013172512475452986878[ATHLETE 4],Table6121519273149567110070104[[#This Row],[Athletes]],Table41013172512475452986878[PM 34]))</f>
        <v>38</v>
      </c>
      <c r="G22" s="14" t="str">
        <f>IF(COUNTBLANK(Table41013172512475452986878[[SCORE 1]:[SCORE 2]])=0,IF(RANK(H22,$H$20:$H$23)=1,RANK(H22,$H$20:$H$23)&amp;"st",IF(RANK(H22,$H$20:$H$23)=2,RANK(H22,$H$20:$H$23)&amp;"nd",RANK(H22,$H$20:$H$23)&amp;"th")),"")</f>
        <v>3th</v>
      </c>
      <c r="H22" s="51">
        <f>Table6121519273149567110070104[[#This Row],[WIN]]*1000000+Table6121519273149567110070104[[#This Row],[Saldo]]*1000+Table6121519273149567110070104[[#This Row],[PM]]</f>
        <v>2003038</v>
      </c>
      <c r="I22" s="2">
        <f>H26</f>
        <v>999038</v>
      </c>
      <c r="J22" s="2" t="str">
        <f>IF(COUNTBLANK(Table41013172512475452986878[[SCORE 1]:[SCORE 2]])=0,IF(RANK(I22,$I$14:$I$25)=1,RANK(I22,$I$14:$I$25)&amp;"st",IF(RANK(I22,$I$14:$I$25)=2,RANK(I22,$I$14:$I$25)&amp;"nd",IF(RANK(I22,$I$14:$I$25)=3,RANK(I22,$I$14:$I$25)&amp;"rd",RANK(I22,$I$14:$I$25)&amp;"th"))),"")</f>
        <v>8th</v>
      </c>
      <c r="K22" s="38" t="str">
        <f>B26</f>
        <v>Janelle</v>
      </c>
      <c r="L22" s="2" t="str">
        <f t="shared" si="2"/>
        <v>6th</v>
      </c>
      <c r="M22" s="90"/>
      <c r="N22" s="90"/>
      <c r="O22" s="90"/>
      <c r="P22" s="90"/>
      <c r="Q22" s="90"/>
      <c r="R22" s="90"/>
    </row>
    <row r="23" spans="1:21" ht="29.1">
      <c r="A23" s="430" t="s">
        <v>180</v>
      </c>
      <c r="B23" s="118" t="s">
        <v>65</v>
      </c>
      <c r="C23" s="14">
        <f>SUM(COUNTIFS(Table41013172512475452986878[ATHLETE 1],Table6121519273149567110070104[[#This Row],[Athletes]],Table41013172512475452986878[RESULT 12],Table3611141826304855539969103[[#Headers],[WIN]]),COUNTIFS(Table41013172512475452986878[ATHLETE 2],Table6121519273149567110070104[[#This Row],[Athletes]],Table41013172512475452986878[RESULT 12],Table3611141826304855539969103[[#Headers],[WIN]]),COUNTIFS(Table41013172512475452986878[ATHLETE 3],Table6121519273149567110070104[[#This Row],[Athletes]],Table41013172512475452986878[RESULT 34],Table3611141826304855539969103[[#Headers],[WIN]]),COUNTIFS(Table41013172512475452986878[ATHLETE 4],Table6121519273149567110070104[[#This Row],[Athletes]],Table41013172512475452986878[RESULT 34],Table3611141826304855539969103[[#Headers],[WIN]]))</f>
        <v>2</v>
      </c>
      <c r="D23" s="12">
        <f>SUM(COUNTIFS(Table41013172512475452986878[ATHLETE 1],Table6121519273149567110070104[[#This Row],[Athletes]],Table41013172512475452986878[RESULT 12],Table3611141826304855539969103[[#Headers],[LOSE]]),COUNTIFS(Table41013172512475452986878[ATHLETE 2],Table6121519273149567110070104[[#This Row],[Athletes]],Table41013172512475452986878[RESULT 12],Table3611141826304855539969103[[#Headers],[LOSE]]),COUNTIFS(Table41013172512475452986878[ATHLETE 3],Table6121519273149567110070104[[#This Row],[Athletes]],Table41013172512475452986878[RESULT 34],Table3611141826304855539969103[[#Headers],[LOSE]]),COUNTIFS(Table41013172512475452986878[ATHLETE 4],Table6121519273149567110070104[[#This Row],[Athletes]],Table41013172512475452986878[RESULT 34],Table3611141826304855539969103[[#Headers],[LOSE]]))</f>
        <v>1</v>
      </c>
      <c r="E23" s="19">
        <f>SUM(SUMIF(Table41013172512475452986878[ATHLETE 1],Table6121519273149567110070104[[#This Row],[Athletes]],Table41013172512475452986878[SALDO 12]),SUMIF(Table41013172512475452986878[ATHLETE 2],Table6121519273149567110070104[[#This Row],[Athletes]],Table41013172512475452986878[SALDO 12]),SUMIF(Table41013172512475452986878[ATHLETE 3],Table6121519273149567110070104[[#This Row],[Athletes]],Table41013172512475452986878[SALDO 34]),SUMIF(Table41013172512475452986878[ATHLETE 4],Table6121519273149567110070104[[#This Row],[Athletes]],Table41013172512475452986878[SALDO 34]))</f>
        <v>17</v>
      </c>
      <c r="F23" s="19">
        <f>SUM(SUMIF(Table41013172512475452986878[ATHLETE 1],Table6121519273149567110070104[[#This Row],[Athletes]],Table41013172512475452986878[PM 12]),SUMIF(Table41013172512475452986878[ATHLETE 2],Table6121519273149567110070104[[#This Row],[Athletes]],Table41013172512475452986878[PM 12]),SUMIF(Table41013172512475452986878[ATHLETE 3],Table6121519273149567110070104[[#This Row],[Athletes]],Table41013172512475452986878[PM 34]),SUMIF(Table41013172512475452986878[ATHLETE 4],Table6121519273149567110070104[[#This Row],[Athletes]],Table41013172512475452986878[PM 34]))</f>
        <v>45</v>
      </c>
      <c r="G23" s="14" t="str">
        <f>IF(COUNTBLANK(Table41013172512475452986878[[SCORE 1]:[SCORE 2]])=0,IF(RANK(H23,$H$20:$H$23)=1,RANK(H23,$H$20:$H$23)&amp;"st",IF(RANK(H23,$H$20:$H$23)=2,RANK(H23,$H$20:$H$23)&amp;"nd",RANK(H23,$H$20:$H$23)&amp;"th")),"")</f>
        <v>1st</v>
      </c>
      <c r="H23" s="51">
        <f>Table6121519273149567110070104[[#This Row],[WIN]]*1000000+Table6121519273149567110070104[[#This Row],[Saldo]]*1000+Table6121519273149567110070104[[#This Row],[PM]]</f>
        <v>2017045</v>
      </c>
      <c r="I23" s="2">
        <f>H27</f>
        <v>971024</v>
      </c>
      <c r="J23" s="2" t="str">
        <f>IF(COUNTBLANK(Table41013172512475452986878[[SCORE 1]:[SCORE 2]])=0,IF(RANK(I23,$I$14:$I$25)=1,RANK(I23,$I$14:$I$25)&amp;"st",IF(RANK(I23,$I$14:$I$25)=2,RANK(I23,$I$14:$I$25)&amp;"nd",IF(RANK(I23,$I$14:$I$25)=3,RANK(I23,$I$14:$I$25)&amp;"rd",RANK(I23,$I$14:$I$25)&amp;"th"))),"")</f>
        <v>10th</v>
      </c>
      <c r="K23" s="38" t="str">
        <f>B27</f>
        <v>Julia C.</v>
      </c>
      <c r="L23" s="2" t="str">
        <f t="shared" si="2"/>
        <v>2nd</v>
      </c>
      <c r="M23" s="548" t="s">
        <v>199</v>
      </c>
      <c r="N23" s="549"/>
      <c r="O23" s="549"/>
      <c r="P23" s="549"/>
      <c r="Q23" s="549"/>
      <c r="R23" s="549"/>
    </row>
    <row r="24" spans="1:21">
      <c r="I24" s="2">
        <f>H28</f>
        <v>997037</v>
      </c>
      <c r="J24" s="2" t="str">
        <f>IF(COUNTBLANK(Table41013172512475452986878[[SCORE 1]:[SCORE 2]])=0,IF(RANK(I24,$I$14:$I$25)=1,RANK(I24,$I$14:$I$25)&amp;"st",IF(RANK(I24,$I$14:$I$25)=2,RANK(I24,$I$14:$I$25)&amp;"nd",IF(RANK(I24,$I$14:$I$25)=3,RANK(I24,$I$14:$I$25)&amp;"rd",RANK(I24,$I$14:$I$25)&amp;"th"))),"")</f>
        <v>9th</v>
      </c>
      <c r="K24" s="38" t="str">
        <f>B28</f>
        <v>Paula F.</v>
      </c>
      <c r="L24" s="2"/>
      <c r="M24" s="418" t="s">
        <v>193</v>
      </c>
      <c r="N24" s="418" t="s">
        <v>194</v>
      </c>
      <c r="O24" s="542" t="s">
        <v>195</v>
      </c>
      <c r="P24" s="543"/>
      <c r="Q24" s="418" t="s">
        <v>196</v>
      </c>
      <c r="R24" s="418" t="s">
        <v>197</v>
      </c>
    </row>
    <row r="25" spans="1:21" ht="15.95">
      <c r="A25" s="9" t="s">
        <v>184</v>
      </c>
      <c r="B25" s="10" t="s">
        <v>203</v>
      </c>
      <c r="C25" s="10" t="s">
        <v>186</v>
      </c>
      <c r="D25" s="10" t="s">
        <v>187</v>
      </c>
      <c r="E25" s="10" t="s">
        <v>188</v>
      </c>
      <c r="F25" s="10" t="s">
        <v>189</v>
      </c>
      <c r="G25" s="7" t="s">
        <v>8</v>
      </c>
      <c r="H25" s="78" t="s">
        <v>204</v>
      </c>
      <c r="I25" s="2">
        <f>H29</f>
        <v>3033055</v>
      </c>
      <c r="J25" s="2" t="str">
        <f>IF(COUNTBLANK(Table41013172512475452986878[[SCORE 1]:[SCORE 2]])=0,IF(RANK(I25,$I$14:$I$25)=1,RANK(I25,$I$14:$I$25)&amp;"st",IF(RANK(I25,$I$14:$I$25)=2,RANK(I25,$I$14:$I$25)&amp;"nd",IF(RANK(I25,$I$14:$I$25)=3,RANK(I25,$I$14:$I$25)&amp;"rd",RANK(I25,$I$14:$I$25)&amp;"th"))),"")</f>
        <v>1st</v>
      </c>
      <c r="K25" s="38" t="str">
        <f>B29</f>
        <v>Priscila</v>
      </c>
      <c r="L25" s="20" t="s">
        <v>192</v>
      </c>
      <c r="M25" s="431" t="str">
        <f>IF(COUNTBLANK(O14:P14)=0,IF($O$15="lose",$Q$14,$M$14),"")</f>
        <v>Priscila</v>
      </c>
      <c r="N25" s="431" t="str">
        <f>IF(COUNTBLANK(O14:P14)=0,IF($O$15="lose",$R$14,$N$14),"")</f>
        <v>Fiorella</v>
      </c>
      <c r="O25" s="119">
        <v>17</v>
      </c>
      <c r="P25" s="120">
        <v>19</v>
      </c>
      <c r="Q25" s="431" t="str">
        <f>IF(COUNTBLANK(O19:P19)=0,IF($O$20="lose",$Q$19,$M$19),"")</f>
        <v>Talita</v>
      </c>
      <c r="R25" s="431" t="str">
        <f>IF(COUNTBLANK(O19:P19)=0,IF($O$20="lose",$R$19,$N$19),"")</f>
        <v>Gabriela</v>
      </c>
    </row>
    <row r="26" spans="1:21">
      <c r="A26" s="430" t="s">
        <v>181</v>
      </c>
      <c r="B26" s="118" t="s">
        <v>69</v>
      </c>
      <c r="C26" s="14">
        <f>SUM(COUNTIFS(Table41013172512475452986878[ATHLETE 1],Table612151927293351627310272106[[#This Row],[Athletes]],Table41013172512475452986878[RESULT 12],Table3611141826304855539969103[[#Headers],[WIN]]),COUNTIFS(Table41013172512475452986878[ATHLETE 2],Table612151927293351627310272106[[#This Row],[Athletes]],Table41013172512475452986878[RESULT 12],Table3611141826304855539969103[[#Headers],[WIN]]),COUNTIFS(Table41013172512475452986878[ATHLETE 3],Table612151927293351627310272106[[#This Row],[Athletes]],Table41013172512475452986878[RESULT 34],Table3611141826304855539969103[[#Headers],[WIN]]),COUNTIFS(Table41013172512475452986878[ATHLETE 4],Table612151927293351627310272106[[#This Row],[Athletes]],Table41013172512475452986878[RESULT 34],Table3611141826304855539969103[[#Headers],[WIN]]))</f>
        <v>1</v>
      </c>
      <c r="D26" s="12">
        <f>SUM(COUNTIFS(Table41013172512475452986878[ATHLETE 1],Table612151927293351627310272106[[#This Row],[Athletes]],Table41013172512475452986878[RESULT 12],Table3611141826304855539969103[[#Headers],[LOSE]]),COUNTIFS(Table41013172512475452986878[ATHLETE 2],Table612151927293351627310272106[[#This Row],[Athletes]],Table41013172512475452986878[RESULT 12],Table3611141826304855539969103[[#Headers],[LOSE]]),COUNTIFS(Table41013172512475452986878[ATHLETE 3],Table612151927293351627310272106[[#This Row],[Athletes]],Table41013172512475452986878[RESULT 34],Table3611141826304855539969103[[#Headers],[LOSE]]),COUNTIFS(Table41013172512475452986878[ATHLETE 4],Table612151927293351627310272106[[#This Row],[Athletes]],Table41013172512475452986878[RESULT 34],Table3611141826304855539969103[[#Headers],[LOSE]]))</f>
        <v>2</v>
      </c>
      <c r="E26" s="19">
        <f>SUM(SUMIF(Table41013172512475452986878[ATHLETE 1],Table612151927293351627310272106[[#This Row],[Athletes]],Table41013172512475452986878[SALDO 12]),SUMIF(Table41013172512475452986878[ATHLETE 2],Table612151927293351627310272106[[#This Row],[Athletes]],Table41013172512475452986878[SALDO 12]),SUMIF(Table41013172512475452986878[ATHLETE 3],Table612151927293351627310272106[[#This Row],[Athletes]],Table41013172512475452986878[SALDO 34]),SUMIF(Table41013172512475452986878[ATHLETE 4],Table612151927293351627310272106[[#This Row],[Athletes]],Table41013172512475452986878[SALDO 34]))</f>
        <v>-1</v>
      </c>
      <c r="F26" s="19">
        <f>SUM(SUMIF(Table41013172512475452986878[ATHLETE 1],Table612151927293351627310272106[[#This Row],[Athletes]],Table41013172512475452986878[PM 12]),SUMIF(Table41013172512475452986878[ATHLETE 2],Table612151927293351627310272106[[#This Row],[Athletes]],Table41013172512475452986878[PM 12]),SUMIF(Table41013172512475452986878[ATHLETE 3],Table612151927293351627310272106[[#This Row],[Athletes]],Table41013172512475452986878[PM 34]),SUMIF(Table41013172512475452986878[ATHLETE 4],Table612151927293351627310272106[[#This Row],[Athletes]],Table41013172512475452986878[PM 34]))</f>
        <v>38</v>
      </c>
      <c r="G26" s="69" t="str">
        <f>IF(COUNTBLANK(Table41013172512475452986878[[SCORE 1]:[SCORE 2]])=0,IF(RANK(H26,$H$26:$H$29)=1,RANK(H26,$H$26:$H$29)&amp;"st",IF(RANK(H26,$H$26:$H$29)=2,RANK(H26,$H$26:$H$29)&amp;"nd",RANK(H26,$H$26:$H$29)&amp;"th")),"")</f>
        <v>2nd</v>
      </c>
      <c r="H26" s="51">
        <f>Table612151927293351627310272106[[#This Row],[WIN]]*1000000+Table612151927293351627310272106[[#This Row],[Saldo]]*1000+Table612151927293351627310272106[[#This Row],[PM]]</f>
        <v>999038</v>
      </c>
      <c r="I26" s="2"/>
      <c r="J26" s="2"/>
      <c r="K26" s="2"/>
      <c r="L26" s="2" t="str">
        <f>J22</f>
        <v>8th</v>
      </c>
      <c r="M26" s="62" t="str">
        <f>IF($O$26="lose",$U$5,"")</f>
        <v>3rd</v>
      </c>
      <c r="N26" s="62" t="str">
        <f>IF($O$26="lose",$U$6,"")</f>
        <v>4th</v>
      </c>
      <c r="O26" s="2" t="str">
        <f>IF(OR(O25="",P25=""),"",IF((O25&gt;P25),"WIN","LOSE"))</f>
        <v>LOSE</v>
      </c>
      <c r="P26" s="2" t="str">
        <f>IF(OR(O25="",P25=""),"",IF((O25&lt;P25),"WIN","LOSE"))</f>
        <v>WIN</v>
      </c>
      <c r="Q26" s="62" t="str">
        <f>IF($P$26="lose",$U$5,"")</f>
        <v/>
      </c>
      <c r="R26" s="62" t="str">
        <f>IF($P$26="lose",$U$6,"")</f>
        <v/>
      </c>
    </row>
    <row r="27" spans="1:21">
      <c r="A27" s="430" t="s">
        <v>181</v>
      </c>
      <c r="B27" s="118" t="s">
        <v>72</v>
      </c>
      <c r="C27" s="14">
        <f>SUM(COUNTIFS(Table41013172512475452986878[ATHLETE 1],Table612151927293351627310272106[[#This Row],[Athletes]],Table41013172512475452986878[RESULT 12],Table3611141826304855539969103[[#Headers],[WIN]]),COUNTIFS(Table41013172512475452986878[ATHLETE 2],Table612151927293351627310272106[[#This Row],[Athletes]],Table41013172512475452986878[RESULT 12],Table3611141826304855539969103[[#Headers],[WIN]]),COUNTIFS(Table41013172512475452986878[ATHLETE 3],Table612151927293351627310272106[[#This Row],[Athletes]],Table41013172512475452986878[RESULT 34],Table3611141826304855539969103[[#Headers],[WIN]]),COUNTIFS(Table41013172512475452986878[ATHLETE 4],Table612151927293351627310272106[[#This Row],[Athletes]],Table41013172512475452986878[RESULT 34],Table3611141826304855539969103[[#Headers],[WIN]]))</f>
        <v>1</v>
      </c>
      <c r="D27" s="12">
        <f>SUM(COUNTIFS(Table41013172512475452986878[ATHLETE 1],Table612151927293351627310272106[[#This Row],[Athletes]],Table41013172512475452986878[RESULT 12],Table3611141826304855539969103[[#Headers],[LOSE]]),COUNTIFS(Table41013172512475452986878[ATHLETE 2],Table612151927293351627310272106[[#This Row],[Athletes]],Table41013172512475452986878[RESULT 12],Table3611141826304855539969103[[#Headers],[LOSE]]),COUNTIFS(Table41013172512475452986878[ATHLETE 3],Table612151927293351627310272106[[#This Row],[Athletes]],Table41013172512475452986878[RESULT 34],Table3611141826304855539969103[[#Headers],[LOSE]]),COUNTIFS(Table41013172512475452986878[ATHLETE 4],Table612151927293351627310272106[[#This Row],[Athletes]],Table41013172512475452986878[RESULT 34],Table3611141826304855539969103[[#Headers],[LOSE]]))</f>
        <v>2</v>
      </c>
      <c r="E27" s="19">
        <f>SUM(SUMIF(Table41013172512475452986878[ATHLETE 1],Table612151927293351627310272106[[#This Row],[Athletes]],Table41013172512475452986878[SALDO 12]),SUMIF(Table41013172512475452986878[ATHLETE 2],Table612151927293351627310272106[[#This Row],[Athletes]],Table41013172512475452986878[SALDO 12]),SUMIF(Table41013172512475452986878[ATHLETE 3],Table612151927293351627310272106[[#This Row],[Athletes]],Table41013172512475452986878[SALDO 34]),SUMIF(Table41013172512475452986878[ATHLETE 4],Table612151927293351627310272106[[#This Row],[Athletes]],Table41013172512475452986878[SALDO 34]))</f>
        <v>-29</v>
      </c>
      <c r="F27" s="19">
        <f>SUM(SUMIF(Table41013172512475452986878[ATHLETE 1],Table612151927293351627310272106[[#This Row],[Athletes]],Table41013172512475452986878[PM 12]),SUMIF(Table41013172512475452986878[ATHLETE 2],Table612151927293351627310272106[[#This Row],[Athletes]],Table41013172512475452986878[PM 12]),SUMIF(Table41013172512475452986878[ATHLETE 3],Table612151927293351627310272106[[#This Row],[Athletes]],Table41013172512475452986878[PM 34]),SUMIF(Table41013172512475452986878[ATHLETE 4],Table612151927293351627310272106[[#This Row],[Athletes]],Table41013172512475452986878[PM 34]))</f>
        <v>24</v>
      </c>
      <c r="G27" s="69" t="str">
        <f>IF(COUNTBLANK(Table41013172512475452986878[[SCORE 1]:[SCORE 2]])=0,IF(RANK(H27,$H$26:$H$29)=1,RANK(H27,$H$26:$H$29)&amp;"st",IF(RANK(H27,$H$26:$H$29)=2,RANK(H27,$H$26:$H$29)&amp;"nd",RANK(H27,$H$26:$H$29)&amp;"th")),"")</f>
        <v>4th</v>
      </c>
      <c r="H27" s="51">
        <f>Table612151927293351627310272106[[#This Row],[WIN]]*1000000+Table612151927293351627310272106[[#This Row],[Saldo]]*1000+Table612151927293351627310272106[[#This Row],[PM]]</f>
        <v>971024</v>
      </c>
      <c r="I27" s="2"/>
      <c r="J27" s="2"/>
      <c r="K27" s="2"/>
      <c r="L27" s="2" t="str">
        <f t="shared" ref="L27:L29" si="3">J23</f>
        <v>10th</v>
      </c>
      <c r="M27" s="61">
        <f>IF(M25="","",_xlfn.XLOOKUP(M25,$K$14:$K$25,$I$14:$I$25))</f>
        <v>3033055</v>
      </c>
      <c r="N27" s="61">
        <f>IF(N25="","",_xlfn.XLOOKUP(N25,$K$14:$K$25,$I$14:$I$25))</f>
        <v>2017045</v>
      </c>
      <c r="Q27" s="61">
        <f>IF(Q25="","",_xlfn.XLOOKUP(Q25,$K$14:$K$25,$I$14:$I$25))</f>
        <v>2015044</v>
      </c>
      <c r="R27" s="61">
        <f>IF(R25="","",_xlfn.XLOOKUP(R25,$K$14:$K$25,$I$14:$I$25))</f>
        <v>2009050</v>
      </c>
    </row>
    <row r="28" spans="1:21">
      <c r="A28" s="430" t="s">
        <v>181</v>
      </c>
      <c r="B28" s="118" t="s">
        <v>74</v>
      </c>
      <c r="C28" s="14">
        <f>SUM(COUNTIFS(Table41013172512475452986878[ATHLETE 1],Table612151927293351627310272106[[#This Row],[Athletes]],Table41013172512475452986878[RESULT 12],Table3611141826304855539969103[[#Headers],[WIN]]),COUNTIFS(Table41013172512475452986878[ATHLETE 2],Table612151927293351627310272106[[#This Row],[Athletes]],Table41013172512475452986878[RESULT 12],Table3611141826304855539969103[[#Headers],[WIN]]),COUNTIFS(Table41013172512475452986878[ATHLETE 3],Table612151927293351627310272106[[#This Row],[Athletes]],Table41013172512475452986878[RESULT 34],Table3611141826304855539969103[[#Headers],[WIN]]),COUNTIFS(Table41013172512475452986878[ATHLETE 4],Table612151927293351627310272106[[#This Row],[Athletes]],Table41013172512475452986878[RESULT 34],Table3611141826304855539969103[[#Headers],[WIN]]))</f>
        <v>1</v>
      </c>
      <c r="D28" s="12">
        <f>SUM(COUNTIFS(Table41013172512475452986878[ATHLETE 1],Table612151927293351627310272106[[#This Row],[Athletes]],Table41013172512475452986878[RESULT 12],Table3611141826304855539969103[[#Headers],[LOSE]]),COUNTIFS(Table41013172512475452986878[ATHLETE 2],Table612151927293351627310272106[[#This Row],[Athletes]],Table41013172512475452986878[RESULT 12],Table3611141826304855539969103[[#Headers],[LOSE]]),COUNTIFS(Table41013172512475452986878[ATHLETE 3],Table612151927293351627310272106[[#This Row],[Athletes]],Table41013172512475452986878[RESULT 34],Table3611141826304855539969103[[#Headers],[LOSE]]),COUNTIFS(Table41013172512475452986878[ATHLETE 4],Table612151927293351627310272106[[#This Row],[Athletes]],Table41013172512475452986878[RESULT 34],Table3611141826304855539969103[[#Headers],[LOSE]]))</f>
        <v>2</v>
      </c>
      <c r="E28" s="19">
        <f>SUM(SUMIF(Table41013172512475452986878[ATHLETE 1],Table612151927293351627310272106[[#This Row],[Athletes]],Table41013172512475452986878[SALDO 12]),SUMIF(Table41013172512475452986878[ATHLETE 2],Table612151927293351627310272106[[#This Row],[Athletes]],Table41013172512475452986878[SALDO 12]),SUMIF(Table41013172512475452986878[ATHLETE 3],Table612151927293351627310272106[[#This Row],[Athletes]],Table41013172512475452986878[SALDO 34]),SUMIF(Table41013172512475452986878[ATHLETE 4],Table612151927293351627310272106[[#This Row],[Athletes]],Table41013172512475452986878[SALDO 34]))</f>
        <v>-3</v>
      </c>
      <c r="F28" s="19">
        <f>SUM(SUMIF(Table41013172512475452986878[ATHLETE 1],Table612151927293351627310272106[[#This Row],[Athletes]],Table41013172512475452986878[PM 12]),SUMIF(Table41013172512475452986878[ATHLETE 2],Table612151927293351627310272106[[#This Row],[Athletes]],Table41013172512475452986878[PM 12]),SUMIF(Table41013172512475452986878[ATHLETE 3],Table612151927293351627310272106[[#This Row],[Athletes]],Table41013172512475452986878[PM 34]),SUMIF(Table41013172512475452986878[ATHLETE 4],Table612151927293351627310272106[[#This Row],[Athletes]],Table41013172512475452986878[PM 34]))</f>
        <v>37</v>
      </c>
      <c r="G28" s="69" t="str">
        <f>IF(COUNTBLANK(Table41013172512475452986878[[SCORE 1]:[SCORE 2]])=0,IF(RANK(H28,$H$26:$H$29)=1,RANK(H28,$H$26:$H$29)&amp;"st",IF(RANK(H28,$H$26:$H$29)=2,RANK(H28,$H$26:$H$29)&amp;"nd",RANK(H28,$H$26:$H$29)&amp;"th")),"")</f>
        <v>3th</v>
      </c>
      <c r="H28" s="51">
        <f>Table612151927293351627310272106[[#This Row],[WIN]]*1000000+Table612151927293351627310272106[[#This Row],[Saldo]]*1000+Table612151927293351627310272106[[#This Row],[PM]]</f>
        <v>997037</v>
      </c>
      <c r="I28" s="2"/>
      <c r="J28" s="2"/>
      <c r="K28" s="2"/>
      <c r="L28" s="2" t="str">
        <f t="shared" si="3"/>
        <v>9th</v>
      </c>
    </row>
    <row r="29" spans="1:21">
      <c r="A29" s="430" t="s">
        <v>181</v>
      </c>
      <c r="B29" s="118" t="s">
        <v>71</v>
      </c>
      <c r="C29" s="14">
        <f>SUM(COUNTIFS(Table41013172512475452986878[ATHLETE 1],Table612151927293351627310272106[[#This Row],[Athletes]],Table41013172512475452986878[RESULT 12],Table3611141826304855539969103[[#Headers],[WIN]]),COUNTIFS(Table41013172512475452986878[ATHLETE 2],Table612151927293351627310272106[[#This Row],[Athletes]],Table41013172512475452986878[RESULT 12],Table3611141826304855539969103[[#Headers],[WIN]]),COUNTIFS(Table41013172512475452986878[ATHLETE 3],Table612151927293351627310272106[[#This Row],[Athletes]],Table41013172512475452986878[RESULT 34],Table3611141826304855539969103[[#Headers],[WIN]]),COUNTIFS(Table41013172512475452986878[ATHLETE 4],Table612151927293351627310272106[[#This Row],[Athletes]],Table41013172512475452986878[RESULT 34],Table3611141826304855539969103[[#Headers],[WIN]]))</f>
        <v>3</v>
      </c>
      <c r="D29" s="12">
        <f>SUM(COUNTIFS(Table41013172512475452986878[ATHLETE 1],Table612151927293351627310272106[[#This Row],[Athletes]],Table41013172512475452986878[RESULT 12],Table3611141826304855539969103[[#Headers],[LOSE]]),COUNTIFS(Table41013172512475452986878[ATHLETE 2],Table612151927293351627310272106[[#This Row],[Athletes]],Table41013172512475452986878[RESULT 12],Table3611141826304855539969103[[#Headers],[LOSE]]),COUNTIFS(Table41013172512475452986878[ATHLETE 3],Table612151927293351627310272106[[#This Row],[Athletes]],Table41013172512475452986878[RESULT 34],Table3611141826304855539969103[[#Headers],[LOSE]]),COUNTIFS(Table41013172512475452986878[ATHLETE 4],Table612151927293351627310272106[[#This Row],[Athletes]],Table41013172512475452986878[RESULT 34],Table3611141826304855539969103[[#Headers],[LOSE]]))</f>
        <v>0</v>
      </c>
      <c r="E29" s="19">
        <f>SUM(SUMIF(Table41013172512475452986878[ATHLETE 1],Table612151927293351627310272106[[#This Row],[Athletes]],Table41013172512475452986878[SALDO 12]),SUMIF(Table41013172512475452986878[ATHLETE 2],Table612151927293351627310272106[[#This Row],[Athletes]],Table41013172512475452986878[SALDO 12]),SUMIF(Table41013172512475452986878[ATHLETE 3],Table612151927293351627310272106[[#This Row],[Athletes]],Table41013172512475452986878[SALDO 34]),SUMIF(Table41013172512475452986878[ATHLETE 4],Table612151927293351627310272106[[#This Row],[Athletes]],Table41013172512475452986878[SALDO 34]))</f>
        <v>33</v>
      </c>
      <c r="F29" s="19">
        <f>SUM(SUMIF(Table41013172512475452986878[ATHLETE 1],Table612151927293351627310272106[[#This Row],[Athletes]],Table41013172512475452986878[PM 12]),SUMIF(Table41013172512475452986878[ATHLETE 2],Table612151927293351627310272106[[#This Row],[Athletes]],Table41013172512475452986878[PM 12]),SUMIF(Table41013172512475452986878[ATHLETE 3],Table612151927293351627310272106[[#This Row],[Athletes]],Table41013172512475452986878[PM 34]),SUMIF(Table41013172512475452986878[ATHLETE 4],Table612151927293351627310272106[[#This Row],[Athletes]],Table41013172512475452986878[PM 34]))</f>
        <v>55</v>
      </c>
      <c r="G29" s="69" t="str">
        <f>IF(COUNTBLANK(Table41013172512475452986878[[SCORE 1]:[SCORE 2]])=0,IF(RANK(H29,$H$26:$H$29)=1,RANK(H29,$H$26:$H$29)&amp;"st",IF(RANK(H29,$H$26:$H$29)=2,RANK(H29,$H$26:$H$29)&amp;"nd",RANK(H29,$H$26:$H$29)&amp;"th")),"")</f>
        <v>1st</v>
      </c>
      <c r="H29" s="51">
        <f>Table612151927293351627310272106[[#This Row],[WIN]]*1000000+Table612151927293351627310272106[[#This Row],[Saldo]]*1000+Table612151927293351627310272106[[#This Row],[PM]]</f>
        <v>3033055</v>
      </c>
      <c r="I29" s="2"/>
      <c r="J29" s="2"/>
      <c r="K29" s="2"/>
      <c r="L29" s="2" t="str">
        <f t="shared" si="3"/>
        <v>1st</v>
      </c>
    </row>
    <row r="30" spans="1:21" ht="30" thickBot="1">
      <c r="M30" s="548" t="s">
        <v>200</v>
      </c>
      <c r="N30" s="549"/>
      <c r="O30" s="549"/>
      <c r="P30" s="549"/>
      <c r="Q30" s="549"/>
      <c r="R30" s="549"/>
    </row>
    <row r="31" spans="1:21" ht="15.95" thickBot="1">
      <c r="A31" s="123" t="s">
        <v>218</v>
      </c>
      <c r="B31" s="124">
        <v>45787</v>
      </c>
      <c r="M31" s="418" t="s">
        <v>193</v>
      </c>
      <c r="N31" s="418" t="s">
        <v>194</v>
      </c>
      <c r="O31" s="542" t="s">
        <v>195</v>
      </c>
      <c r="P31" s="543"/>
      <c r="Q31" s="418" t="s">
        <v>196</v>
      </c>
      <c r="R31" s="418" t="s">
        <v>197</v>
      </c>
    </row>
    <row r="32" spans="1:21">
      <c r="M32" s="432" t="str">
        <f>IF(OR($O$25="",$P$25=""),"",IF($O$26="WIN",$M$25,$Q$25))</f>
        <v>Talita</v>
      </c>
      <c r="N32" s="121" t="str">
        <f>B29</f>
        <v>Priscila</v>
      </c>
      <c r="O32" s="119">
        <v>5</v>
      </c>
      <c r="P32" s="119">
        <v>18</v>
      </c>
      <c r="Q32" s="432" t="str">
        <f>IF(OR($O$25="",$P$25=""),"",IF($O$26="WIN",$N$25,$R$25))</f>
        <v>Gabriela</v>
      </c>
      <c r="R32" s="122" t="str">
        <f>B28</f>
        <v>Paula F.</v>
      </c>
    </row>
    <row r="33" spans="13:17">
      <c r="M33" s="18" t="str">
        <f>IF(OR($O$32="",$P$32=""),"",IF($O$33="win",$U$3,$U$4))</f>
        <v>2nd</v>
      </c>
      <c r="O33" s="2" t="str">
        <f>IF(OR(O32="",P32=""),"",IF((O32&gt;P32),"WIN","LOSE"))</f>
        <v>LOSE</v>
      </c>
      <c r="P33" s="2" t="str">
        <f>IF(OR(O32="",P32=""),"",IF((O32&lt;P32),"WIN","LOSE"))</f>
        <v>WIN</v>
      </c>
      <c r="Q33" s="18" t="str">
        <f>IF(OR($O$32="",$P$32=""),"",IF($P$33="win",$U$3,$U$4))</f>
        <v>1st</v>
      </c>
    </row>
  </sheetData>
  <sheetProtection algorithmName="SHA-512" hashValue="Sr8HdCEttqRkVXdby7T+bmSt8+1dmOxSUuS1JCM+KKHDfBqoR9Q4lKCq7LRluKjINSLItpK7SJzc/M3YtF744g==" saltValue="x6QN31NPURIgASmd4cfXTw==" spinCount="100000" sheet="1" objects="1" scenarios="1"/>
  <mergeCells count="10">
    <mergeCell ref="M23:R23"/>
    <mergeCell ref="O24:P24"/>
    <mergeCell ref="M30:R30"/>
    <mergeCell ref="O31:P31"/>
    <mergeCell ref="A1:A10"/>
    <mergeCell ref="T1:U1"/>
    <mergeCell ref="A12:G12"/>
    <mergeCell ref="M12:R12"/>
    <mergeCell ref="O13:P13"/>
    <mergeCell ref="O18:P18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0134-E8D2-3442-9F49-0443AA6706FC}">
  <sheetPr codeName="Sheet5"/>
  <dimension ref="A1:Y31"/>
  <sheetViews>
    <sheetView workbookViewId="0">
      <selection sqref="A1:A7"/>
    </sheetView>
    <sheetView workbookViewId="1">
      <selection sqref="A1:A7"/>
    </sheetView>
  </sheetViews>
  <sheetFormatPr defaultColWidth="8.85546875" defaultRowHeight="15"/>
  <cols>
    <col min="1" max="1" width="9.7109375" customWidth="1"/>
    <col min="2" max="2" width="12.28515625" bestFit="1" customWidth="1"/>
    <col min="3" max="4" width="20" customWidth="1"/>
    <col min="5" max="6" width="9.7109375" customWidth="1"/>
    <col min="7" max="7" width="14.140625" bestFit="1" customWidth="1"/>
    <col min="8" max="8" width="11.28515625" hidden="1" customWidth="1"/>
    <col min="9" max="9" width="12" hidden="1" customWidth="1"/>
    <col min="10" max="10" width="10.7109375" hidden="1" customWidth="1"/>
    <col min="11" max="11" width="8" hidden="1" customWidth="1"/>
    <col min="12" max="12" width="14.140625" bestFit="1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2.140625" bestFit="1" customWidth="1"/>
    <col min="21" max="22" width="9.7109375" bestFit="1" customWidth="1"/>
  </cols>
  <sheetData>
    <row r="1" spans="1:25" ht="15" customHeight="1">
      <c r="A1" s="551" t="s">
        <v>221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222</v>
      </c>
      <c r="U1" s="545"/>
    </row>
    <row r="2" spans="1:25" ht="15" customHeight="1">
      <c r="A2" s="551"/>
      <c r="B2" s="13" t="s">
        <v>178</v>
      </c>
      <c r="C2" s="1" t="str">
        <f>B11</f>
        <v>Natalia</v>
      </c>
      <c r="D2" s="32" t="str">
        <f>B12</f>
        <v>Giovanna</v>
      </c>
      <c r="E2" s="116">
        <v>8</v>
      </c>
      <c r="F2" s="116">
        <v>18</v>
      </c>
      <c r="G2" s="31" t="str">
        <f>B13</f>
        <v>Gabriela</v>
      </c>
      <c r="H2" s="63"/>
      <c r="I2" s="63"/>
      <c r="J2" s="63"/>
      <c r="K2" s="63"/>
      <c r="L2" s="16" t="str">
        <f>B14</f>
        <v>Roberta G.</v>
      </c>
      <c r="M2" s="13">
        <f>IF(OR(Table4101317251247545298684173172[[#This Row],[SCORE 1]]="",Table4101317251247545298684173172[[#This Row],[SCORE 2]]=""),"",Table4101317251247545298684173172[[#This Row],[SCORE 1]]-Table4101317251247545298684173172[[#This Row],[SCORE 2]])</f>
        <v>-10</v>
      </c>
      <c r="N2" s="13">
        <f>IF(OR(Table4101317251247545298684173172[[#This Row],[SCORE 1]]="",Table4101317251247545298684173172[[#This Row],[SCORE 2]]=""),"",Table4101317251247545298684173172[[#This Row],[SCORE 2]]-Table4101317251247545298684173172[[#This Row],[SCORE 1]])</f>
        <v>10</v>
      </c>
      <c r="O2" s="13">
        <f>IF(Table4101317251247545298684173172[[#This Row],[SCORE 1]]="","",Table4101317251247545298684173172[[#This Row],[SCORE 1]])</f>
        <v>8</v>
      </c>
      <c r="P2" s="13">
        <f>IF(Table4101317251247545298684173172[[#This Row],[SCORE 2]]="","",Table4101317251247545298684173172[[#This Row],[SCORE 2]])</f>
        <v>18</v>
      </c>
      <c r="Q2" s="13" t="str">
        <f>IF(OR(Table4101317251247545298684173172[[#This Row],[SCORE 1]]="",Table4101317251247545298684173172[[#This Row],[SCORE 2]]=""),"",IF(Table4101317251247545298684173172[[#This Row],[SALDO 12]]&gt;0, "WIN","LOSE"))</f>
        <v>LOSE</v>
      </c>
      <c r="R2" s="13" t="str">
        <f>IF(OR(Table4101317251247545298684173172[[#This Row],[SCORE 1]]="",Table4101317251247545298684173172[[#This Row],[SCORE 2]]=""),"",IF(Table4101317251247545298684173172[[#This Row],[SALDO 34]]&gt;0, "WIN","LOSE"))</f>
        <v>WIN</v>
      </c>
      <c r="T2" s="35" t="s">
        <v>179</v>
      </c>
      <c r="U2" s="35" t="s">
        <v>8</v>
      </c>
    </row>
    <row r="3" spans="1:25">
      <c r="A3" s="551"/>
      <c r="B3" s="13" t="s">
        <v>180</v>
      </c>
      <c r="C3" s="1" t="str">
        <f>B17</f>
        <v>Julia C.</v>
      </c>
      <c r="D3" s="32" t="str">
        <f>B18</f>
        <v>Janelle</v>
      </c>
      <c r="E3" s="116">
        <v>13</v>
      </c>
      <c r="F3" s="116">
        <v>18</v>
      </c>
      <c r="G3" s="31" t="str">
        <f>B19</f>
        <v>Fiorella</v>
      </c>
      <c r="H3" s="63"/>
      <c r="I3" s="63"/>
      <c r="J3" s="63"/>
      <c r="K3" s="63"/>
      <c r="L3" s="16" t="str">
        <f>B20</f>
        <v>Bella</v>
      </c>
      <c r="M3" s="13">
        <f>IF(OR(Table4101317251247545298684173172[[#This Row],[SCORE 1]]="",Table4101317251247545298684173172[[#This Row],[SCORE 2]]=""),"",Table4101317251247545298684173172[[#This Row],[SCORE 1]]-Table4101317251247545298684173172[[#This Row],[SCORE 2]])</f>
        <v>-5</v>
      </c>
      <c r="N3" s="13">
        <f>IF(OR(Table4101317251247545298684173172[[#This Row],[SCORE 1]]="",Table4101317251247545298684173172[[#This Row],[SCORE 2]]=""),"",Table4101317251247545298684173172[[#This Row],[SCORE 2]]-Table4101317251247545298684173172[[#This Row],[SCORE 1]])</f>
        <v>5</v>
      </c>
      <c r="O3" s="13">
        <f>IF(Table4101317251247545298684173172[[#This Row],[SCORE 1]]="","",Table4101317251247545298684173172[[#This Row],[SCORE 1]])</f>
        <v>13</v>
      </c>
      <c r="P3" s="13">
        <f>IF(Table4101317251247545298684173172[[#This Row],[SCORE 2]]="","",Table4101317251247545298684173172[[#This Row],[SCORE 2]])</f>
        <v>18</v>
      </c>
      <c r="Q3" s="13" t="str">
        <f>IF(OR(Table4101317251247545298684173172[[#This Row],[SCORE 1]]="",Table4101317251247545298684173172[[#This Row],[SCORE 2]]=""),"",IF(Table4101317251247545298684173172[[#This Row],[SALDO 12]]&gt;0, "WIN","LOSE"))</f>
        <v>LOSE</v>
      </c>
      <c r="R3" s="13" t="str">
        <f>IF(OR(Table4101317251247545298684173172[[#This Row],[SCORE 1]]="",Table4101317251247545298684173172[[#This Row],[SCORE 2]]=""),"",IF(Table4101317251247545298684173172[[#This Row],[SALDO 34]]&gt;0, "WIN","LOSE"))</f>
        <v>WIN</v>
      </c>
      <c r="T3" s="70" t="str">
        <f>IFERROR(_xlfn.XLOOKUP(Table15202832506072101714577175[[#This Row],[Rank]],$M$30:$R$30,$M$29:$R$29),"")</f>
        <v>Fiorella</v>
      </c>
      <c r="U3" s="67" t="s">
        <v>19</v>
      </c>
    </row>
    <row r="4" spans="1:25">
      <c r="A4" s="551"/>
      <c r="B4" s="13" t="s">
        <v>178</v>
      </c>
      <c r="C4" s="1" t="str">
        <f>B11</f>
        <v>Natalia</v>
      </c>
      <c r="D4" s="32" t="str">
        <f>B14</f>
        <v>Roberta G.</v>
      </c>
      <c r="E4" s="116">
        <v>6</v>
      </c>
      <c r="F4" s="116">
        <v>18</v>
      </c>
      <c r="G4" s="31" t="str">
        <f>B12</f>
        <v>Giovanna</v>
      </c>
      <c r="H4" s="63"/>
      <c r="I4" s="63"/>
      <c r="J4" s="63"/>
      <c r="K4" s="63"/>
      <c r="L4" s="16" t="str">
        <f>B13</f>
        <v>Gabriela</v>
      </c>
      <c r="M4" s="13">
        <f>IF(OR(Table4101317251247545298684173172[[#This Row],[SCORE 1]]="",Table4101317251247545298684173172[[#This Row],[SCORE 2]]=""),"",Table4101317251247545298684173172[[#This Row],[SCORE 1]]-Table4101317251247545298684173172[[#This Row],[SCORE 2]])</f>
        <v>-12</v>
      </c>
      <c r="N4" s="13">
        <f>IF(OR(Table4101317251247545298684173172[[#This Row],[SCORE 1]]="",Table4101317251247545298684173172[[#This Row],[SCORE 2]]=""),"",Table4101317251247545298684173172[[#This Row],[SCORE 2]]-Table4101317251247545298684173172[[#This Row],[SCORE 1]])</f>
        <v>12</v>
      </c>
      <c r="O4" s="13">
        <f>IF(Table4101317251247545298684173172[[#This Row],[SCORE 1]]="","",Table4101317251247545298684173172[[#This Row],[SCORE 1]])</f>
        <v>6</v>
      </c>
      <c r="P4" s="13">
        <f>IF(Table4101317251247545298684173172[[#This Row],[SCORE 2]]="","",Table4101317251247545298684173172[[#This Row],[SCORE 2]])</f>
        <v>18</v>
      </c>
      <c r="Q4" s="13" t="str">
        <f>IF(OR(Table4101317251247545298684173172[[#This Row],[SCORE 1]]="",Table4101317251247545298684173172[[#This Row],[SCORE 2]]=""),"",IF(Table4101317251247545298684173172[[#This Row],[SALDO 12]]&gt;0, "WIN","LOSE"))</f>
        <v>LOSE</v>
      </c>
      <c r="R4" s="13" t="str">
        <f>IF(OR(Table4101317251247545298684173172[[#This Row],[SCORE 1]]="",Table4101317251247545298684173172[[#This Row],[SCORE 2]]=""),"",IF(Table4101317251247545298684173172[[#This Row],[SALDO 34]]&gt;0, "WIN","LOSE"))</f>
        <v>WIN</v>
      </c>
      <c r="T4" s="70" t="str">
        <f>IFERROR(_xlfn.XLOOKUP(Table15202832506072101714577175[[#This Row],[Rank]],$M$30:$R$30,$M$29:$R$29),"")</f>
        <v>Gabriela</v>
      </c>
      <c r="U4" s="67" t="s">
        <v>22</v>
      </c>
    </row>
    <row r="5" spans="1:25">
      <c r="A5" s="551"/>
      <c r="B5" s="13" t="s">
        <v>180</v>
      </c>
      <c r="C5" s="1" t="str">
        <f>B17</f>
        <v>Julia C.</v>
      </c>
      <c r="D5" s="32" t="str">
        <f>B20</f>
        <v>Bella</v>
      </c>
      <c r="E5" s="116">
        <v>11</v>
      </c>
      <c r="F5" s="116">
        <v>18</v>
      </c>
      <c r="G5" s="31" t="str">
        <f>B18</f>
        <v>Janelle</v>
      </c>
      <c r="H5" s="63"/>
      <c r="I5" s="63"/>
      <c r="J5" s="63"/>
      <c r="K5" s="63"/>
      <c r="L5" s="16" t="str">
        <f>B19</f>
        <v>Fiorella</v>
      </c>
      <c r="M5" s="13">
        <f>IF(OR(Table4101317251247545298684173172[[#This Row],[SCORE 1]]="",Table4101317251247545298684173172[[#This Row],[SCORE 2]]=""),"",Table4101317251247545298684173172[[#This Row],[SCORE 1]]-Table4101317251247545298684173172[[#This Row],[SCORE 2]])</f>
        <v>-7</v>
      </c>
      <c r="N5" s="13">
        <f>IF(OR(Table4101317251247545298684173172[[#This Row],[SCORE 1]]="",Table4101317251247545298684173172[[#This Row],[SCORE 2]]=""),"",Table4101317251247545298684173172[[#This Row],[SCORE 2]]-Table4101317251247545298684173172[[#This Row],[SCORE 1]])</f>
        <v>7</v>
      </c>
      <c r="O5" s="13">
        <f>IF(Table4101317251247545298684173172[[#This Row],[SCORE 1]]="","",Table4101317251247545298684173172[[#This Row],[SCORE 1]])</f>
        <v>11</v>
      </c>
      <c r="P5" s="13">
        <f>IF(Table4101317251247545298684173172[[#This Row],[SCORE 2]]="","",Table4101317251247545298684173172[[#This Row],[SCORE 2]])</f>
        <v>18</v>
      </c>
      <c r="Q5" s="13" t="str">
        <f>IF(OR(Table4101317251247545298684173172[[#This Row],[SCORE 1]]="",Table4101317251247545298684173172[[#This Row],[SCORE 2]]=""),"",IF(Table4101317251247545298684173172[[#This Row],[SALDO 12]]&gt;0, "WIN","LOSE"))</f>
        <v>LOSE</v>
      </c>
      <c r="R5" s="13" t="str">
        <f>IF(OR(Table4101317251247545298684173172[[#This Row],[SCORE 1]]="",Table4101317251247545298684173172[[#This Row],[SCORE 2]]=""),"",IF(Table4101317251247545298684173172[[#This Row],[SALDO 34]]&gt;0, "WIN","LOSE"))</f>
        <v>WIN</v>
      </c>
      <c r="T5" s="70" t="str">
        <f>IFERROR(_xlfn.XLOOKUP(Table15202832506072101714577175[[#This Row],[Rank]],$M$23:$R$23,$M$22:$R$22),"")</f>
        <v>Roberta G.</v>
      </c>
      <c r="U5" s="67" t="s">
        <v>25</v>
      </c>
    </row>
    <row r="6" spans="1:25">
      <c r="A6" s="551"/>
      <c r="B6" s="13" t="s">
        <v>178</v>
      </c>
      <c r="C6" s="1" t="str">
        <f>B11</f>
        <v>Natalia</v>
      </c>
      <c r="D6" s="32" t="str">
        <f>B13</f>
        <v>Gabriela</v>
      </c>
      <c r="E6" s="116">
        <v>13</v>
      </c>
      <c r="F6" s="116">
        <v>18</v>
      </c>
      <c r="G6" s="31" t="str">
        <f>B14</f>
        <v>Roberta G.</v>
      </c>
      <c r="H6" s="63"/>
      <c r="I6" s="63"/>
      <c r="J6" s="63"/>
      <c r="K6" s="63"/>
      <c r="L6" s="16" t="str">
        <f>B12</f>
        <v>Giovanna</v>
      </c>
      <c r="M6" s="13">
        <f>IF(OR(Table4101317251247545298684173172[[#This Row],[SCORE 1]]="",Table4101317251247545298684173172[[#This Row],[SCORE 2]]=""),"",Table4101317251247545298684173172[[#This Row],[SCORE 1]]-Table4101317251247545298684173172[[#This Row],[SCORE 2]])</f>
        <v>-5</v>
      </c>
      <c r="N6" s="13">
        <f>IF(OR(Table4101317251247545298684173172[[#This Row],[SCORE 1]]="",Table4101317251247545298684173172[[#This Row],[SCORE 2]]=""),"",Table4101317251247545298684173172[[#This Row],[SCORE 2]]-Table4101317251247545298684173172[[#This Row],[SCORE 1]])</f>
        <v>5</v>
      </c>
      <c r="O6" s="13">
        <f>IF(Table4101317251247545298684173172[[#This Row],[SCORE 1]]="","",Table4101317251247545298684173172[[#This Row],[SCORE 1]])</f>
        <v>13</v>
      </c>
      <c r="P6" s="13">
        <f>IF(Table4101317251247545298684173172[[#This Row],[SCORE 2]]="","",Table4101317251247545298684173172[[#This Row],[SCORE 2]])</f>
        <v>18</v>
      </c>
      <c r="Q6" s="13" t="str">
        <f>IF(OR(Table4101317251247545298684173172[[#This Row],[SCORE 1]]="",Table4101317251247545298684173172[[#This Row],[SCORE 2]]=""),"",IF(Table4101317251247545298684173172[[#This Row],[SALDO 12]]&gt;0, "WIN","LOSE"))</f>
        <v>LOSE</v>
      </c>
      <c r="R6" s="13" t="str">
        <f>IF(OR(Table4101317251247545298684173172[[#This Row],[SCORE 1]]="",Table4101317251247545298684173172[[#This Row],[SCORE 2]]=""),"",IF(Table4101317251247545298684173172[[#This Row],[SALDO 34]]&gt;0, "WIN","LOSE"))</f>
        <v>WIN</v>
      </c>
      <c r="T6" s="70" t="str">
        <f>IFERROR(_xlfn.XLOOKUP(Table15202832506072101714577175[[#This Row],[Rank]],$M$23:$R$23,$M$22:$R$22),"")</f>
        <v>Bella</v>
      </c>
      <c r="U6" s="67" t="s">
        <v>28</v>
      </c>
    </row>
    <row r="7" spans="1:25">
      <c r="A7" s="551"/>
      <c r="B7" s="13" t="s">
        <v>180</v>
      </c>
      <c r="C7" s="1" t="str">
        <f>B17</f>
        <v>Julia C.</v>
      </c>
      <c r="D7" s="32" t="str">
        <f>B19</f>
        <v>Fiorella</v>
      </c>
      <c r="E7" s="116">
        <v>17</v>
      </c>
      <c r="F7" s="116">
        <v>19</v>
      </c>
      <c r="G7" s="31" t="str">
        <f>B20</f>
        <v>Bella</v>
      </c>
      <c r="H7" s="63"/>
      <c r="I7" s="63"/>
      <c r="J7" s="63"/>
      <c r="K7" s="63"/>
      <c r="L7" s="16" t="str">
        <f>B18</f>
        <v>Janelle</v>
      </c>
      <c r="M7" s="13">
        <f>IF(OR(Table4101317251247545298684173172[[#This Row],[SCORE 1]]="",Table4101317251247545298684173172[[#This Row],[SCORE 2]]=""),"",Table4101317251247545298684173172[[#This Row],[SCORE 1]]-Table4101317251247545298684173172[[#This Row],[SCORE 2]])</f>
        <v>-2</v>
      </c>
      <c r="N7" s="13">
        <f>IF(OR(Table4101317251247545298684173172[[#This Row],[SCORE 1]]="",Table4101317251247545298684173172[[#This Row],[SCORE 2]]=""),"",Table4101317251247545298684173172[[#This Row],[SCORE 2]]-Table4101317251247545298684173172[[#This Row],[SCORE 1]])</f>
        <v>2</v>
      </c>
      <c r="O7" s="13">
        <f>IF(Table4101317251247545298684173172[[#This Row],[SCORE 1]]="","",Table4101317251247545298684173172[[#This Row],[SCORE 1]])</f>
        <v>17</v>
      </c>
      <c r="P7" s="13">
        <f>IF(Table4101317251247545298684173172[[#This Row],[SCORE 2]]="","",Table4101317251247545298684173172[[#This Row],[SCORE 2]])</f>
        <v>19</v>
      </c>
      <c r="Q7" s="13" t="str">
        <f>IF(OR(Table4101317251247545298684173172[[#This Row],[SCORE 1]]="",Table4101317251247545298684173172[[#This Row],[SCORE 2]]=""),"",IF(Table4101317251247545298684173172[[#This Row],[SALDO 12]]&gt;0, "WIN","LOSE"))</f>
        <v>LOSE</v>
      </c>
      <c r="R7" s="13" t="str">
        <f>IF(OR(Table4101317251247545298684173172[[#This Row],[SCORE 1]]="",Table4101317251247545298684173172[[#This Row],[SCORE 2]]=""),"",IF(Table4101317251247545298684173172[[#This Row],[SALDO 34]]&gt;0, "WIN","LOSE"))</f>
        <v>WIN</v>
      </c>
      <c r="T7" s="70" t="str">
        <f>IF($O$12="lose",$M$11,_xlfn.XLOOKUP(Table15202832506072101714577175[[#This Row],[Rank]],$M$17:$R$17,$M$16:$R$16,""))</f>
        <v>Giovanna</v>
      </c>
      <c r="U7" s="67" t="s">
        <v>31</v>
      </c>
    </row>
    <row r="8" spans="1:25" ht="30" customHeight="1">
      <c r="T8" s="70" t="str">
        <f>IF($O$12="lose",$N$11,_xlfn.XLOOKUP(Table15202832506072101714577175[[#This Row],[Rank]],$M$17:$R$17,$M$16:$R$16,""))</f>
        <v>Janelle</v>
      </c>
      <c r="U8" s="67" t="s">
        <v>34</v>
      </c>
    </row>
    <row r="9" spans="1:25" ht="30" customHeight="1">
      <c r="A9" s="546" t="s">
        <v>182</v>
      </c>
      <c r="B9" s="547"/>
      <c r="C9" s="547"/>
      <c r="D9" s="547"/>
      <c r="E9" s="547"/>
      <c r="F9" s="547"/>
      <c r="G9" s="547"/>
      <c r="H9" s="420"/>
      <c r="I9" s="420"/>
      <c r="J9" s="420"/>
      <c r="K9" s="420"/>
      <c r="M9" s="548" t="s">
        <v>183</v>
      </c>
      <c r="N9" s="549"/>
      <c r="O9" s="549"/>
      <c r="P9" s="549"/>
      <c r="Q9" s="549"/>
      <c r="R9" s="549"/>
      <c r="T9" s="70" t="str">
        <f>IF($P$12="lose",$Q$11,_xlfn.XLOOKUP(Table15202832506072101714577175[[#This Row],[Rank]],$M$17:$R$17,$M$16:$R$16,""))</f>
        <v>Julia C.</v>
      </c>
      <c r="U9" s="67" t="s">
        <v>37</v>
      </c>
    </row>
    <row r="10" spans="1:25" ht="15.95">
      <c r="A10" s="6" t="s">
        <v>184</v>
      </c>
      <c r="B10" s="7" t="s">
        <v>203</v>
      </c>
      <c r="C10" s="7" t="s">
        <v>186</v>
      </c>
      <c r="D10" s="7" t="s">
        <v>187</v>
      </c>
      <c r="E10" s="7" t="s">
        <v>188</v>
      </c>
      <c r="F10" s="7" t="s">
        <v>189</v>
      </c>
      <c r="G10" s="7" t="s">
        <v>8</v>
      </c>
      <c r="H10" s="80" t="s">
        <v>204</v>
      </c>
      <c r="I10" s="20" t="s">
        <v>191</v>
      </c>
      <c r="J10" s="20" t="s">
        <v>192</v>
      </c>
      <c r="K10" s="20" t="s">
        <v>1</v>
      </c>
      <c r="L10" s="20" t="s">
        <v>192</v>
      </c>
      <c r="M10" s="418" t="s">
        <v>193</v>
      </c>
      <c r="N10" s="418" t="s">
        <v>194</v>
      </c>
      <c r="O10" s="542" t="s">
        <v>195</v>
      </c>
      <c r="P10" s="543"/>
      <c r="Q10" s="418" t="s">
        <v>196</v>
      </c>
      <c r="R10" s="418" t="s">
        <v>197</v>
      </c>
      <c r="T10" s="70" t="str">
        <f>IF($P$12="lose",$R$11,_xlfn.XLOOKUP(Table15202832506072101714577175[[#This Row],[Rank]],$M$17:$R$17,$M$16:$R$16,""))</f>
        <v>Natalia</v>
      </c>
      <c r="U10" s="67" t="s">
        <v>41</v>
      </c>
    </row>
    <row r="11" spans="1:25">
      <c r="A11" s="4" t="s">
        <v>205</v>
      </c>
      <c r="B11" s="118" t="s">
        <v>73</v>
      </c>
      <c r="C11" s="14">
        <f>SUM(COUNTIFS(Table4101317251247545298684173172[ATHLETE 1],Table36111418263048555399694375173[[#This Row],[Athletes]],Table4101317251247545298684173172[RESULT 12],Table36111418263048555399694375173[[#Headers],[WIN]]),COUNTIFS(Table4101317251247545298684173172[ATHLETE 2],Table36111418263048555399694375173[[#This Row],[Athletes]],Table4101317251247545298684173172[RESULT 12],Table36111418263048555399694375173[[#Headers],[WIN]]),COUNTIFS(Table4101317251247545298684173172[ATHLETE 3],Table36111418263048555399694375173[[#This Row],[Athletes]],Table4101317251247545298684173172[RESULT 34],Table36111418263048555399694375173[[#Headers],[WIN]]),COUNTIFS(Table4101317251247545298684173172[ATHLETE 4],Table36111418263048555399694375173[[#This Row],[Athletes]],Table4101317251247545298684173172[RESULT 34],Table36111418263048555399694375173[[#Headers],[WIN]]))</f>
        <v>0</v>
      </c>
      <c r="D11" s="14">
        <f>SUM(COUNTIFS(Table4101317251247545298684173172[ATHLETE 1],Table36111418263048555399694375173[[#This Row],[Athletes]],Table4101317251247545298684173172[RESULT 12],Table36111418263048555399694375173[[#Headers],[LOSE]]),COUNTIFS(Table4101317251247545298684173172[ATHLETE 2],Table36111418263048555399694375173[[#This Row],[Athletes]],Table4101317251247545298684173172[RESULT 12],Table36111418263048555399694375173[[#Headers],[LOSE]]),COUNTIFS(Table4101317251247545298684173172[ATHLETE 3],Table36111418263048555399694375173[[#This Row],[Athletes]],Table4101317251247545298684173172[RESULT 34],Table36111418263048555399694375173[[#Headers],[LOSE]]),COUNTIFS(Table4101317251247545298684173172[ATHLETE 4],Table36111418263048555399694375173[[#This Row],[Athletes]],Table4101317251247545298684173172[RESULT 34],Table36111418263048555399694375173[[#Headers],[LOSE]]))</f>
        <v>3</v>
      </c>
      <c r="E11" s="19">
        <f>SUM(SUMIF(Table4101317251247545298684173172[ATHLETE 1],Table36111418263048555399694375173[[#This Row],[Athletes]],Table4101317251247545298684173172[SALDO 12]),SUMIF(Table4101317251247545298684173172[ATHLETE 2],Table36111418263048555399694375173[[#This Row],[Athletes]],Table4101317251247545298684173172[SALDO 12]),SUMIF(Table4101317251247545298684173172[ATHLETE 3],Table36111418263048555399694375173[[#This Row],[Athletes]],Table4101317251247545298684173172[SALDO 34]),SUMIF(Table4101317251247545298684173172[ATHLETE 4],Table36111418263048555399694375173[[#This Row],[Athletes]],Table4101317251247545298684173172[SALDO 34]))</f>
        <v>-27</v>
      </c>
      <c r="F11" s="19">
        <f>SUM(SUMIF(Table4101317251247545298684173172[ATHLETE 1],Table36111418263048555399694375173[[#This Row],[Athletes]],Table4101317251247545298684173172[PM 12]),SUMIF(Table4101317251247545298684173172[ATHLETE 2],Table36111418263048555399694375173[[#This Row],[Athletes]],Table4101317251247545298684173172[PM 12]),SUMIF(Table4101317251247545298684173172[ATHLETE 3],Table36111418263048555399694375173[[#This Row],[Athletes]],Table4101317251247545298684173172[PM 34]),SUMIF(Table4101317251247545298684173172[ATHLETE 4],Table36111418263048555399694375173[[#This Row],[Athletes]],Table4101317251247545298684173172[PM 34]))</f>
        <v>27</v>
      </c>
      <c r="G11" s="14" t="str">
        <f>IF(COUNTBLANK(Table4101317251247545298684173172[[SCORE 1]:[SCORE 2]])=0,IF(RANK(H11,$H$11:$H$14)=1,RANK(H11,$H$11:$H$14)&amp;"st",IF(RANK(H11,$H$11:$H$14)=2,RANK(H11,$H$11:$H$14)&amp;"nd",RANK(H11,$H$11:$H$14)&amp;"th")),"")</f>
        <v>4th</v>
      </c>
      <c r="H11" s="51">
        <f>Table36111418263048555399694375173[[#This Row],[WIN]]*1000000+Table36111418263048555399694375173[[#This Row],[Saldo]]*1000+Table36111418263048555399694375173[[#This Row],[PM]]</f>
        <v>-26973</v>
      </c>
      <c r="I11" s="2">
        <f>H11</f>
        <v>-26973</v>
      </c>
      <c r="J11" s="2" t="str">
        <f>IF(COUNTBLANK(Table4101317251247545298684173172[[SCORE 1]:[SCORE 2]])=0,IF(RANK(I11,$I$11:$I$22)=1,RANK(I11,$I$11:$I$22)&amp;"st",IF(RANK(I11,$I$11:$I$22)=2,RANK(I11,$I$11:$I$22)&amp;"nd",IF(RANK(I11,$I$11:$I$22)=3,RANK(I11,$I$11:$I$22)&amp;"rd",RANK(I11,$I$11:$I$22)&amp;"th"))),"")</f>
        <v>8th</v>
      </c>
      <c r="K11" s="38" t="str">
        <f>Table36111418263048555399694375173[[#This Row],[Athletes]]</f>
        <v>Natalia</v>
      </c>
      <c r="L11" s="2" t="str">
        <f>J11</f>
        <v>8th</v>
      </c>
      <c r="M11" s="428" t="str" cm="1">
        <f t="array" ref="M11">_xlfn.TEXTJOIN(", ", TRUE, _xlfn._xlws.FILTER($K$11:$K$18, $J$11:$J$18=$U$3, ""))</f>
        <v>Gabriela</v>
      </c>
      <c r="N11" s="428" t="str" cm="1">
        <f t="array" ref="N11">_xlfn.TEXTJOIN(", ", TRUE, _xlfn._xlws.FILTER($K$11:$K$18, $J$11:$J$18=$U$4, ""))</f>
        <v>Fiorella</v>
      </c>
      <c r="O11" s="119">
        <v>18</v>
      </c>
      <c r="P11" s="120">
        <v>0</v>
      </c>
      <c r="Q11" s="428" t="str" cm="1">
        <f t="array" ref="Q11">_xlfn.TEXTJOIN(", ", TRUE, _xlfn._xlws.FILTER($K$11:$K$18, $J$11:$J$18=$U$9, ""))</f>
        <v>Julia C.</v>
      </c>
      <c r="R11" s="428" t="str" cm="1">
        <f t="array" ref="R11">_xlfn.TEXTJOIN(", ", TRUE, _xlfn._xlws.FILTER($K$11:$K$18, $J$11:$J$18=$U$10, ""))</f>
        <v>Natalia</v>
      </c>
      <c r="S11" s="68"/>
      <c r="T11" s="66"/>
      <c r="U11" s="67"/>
    </row>
    <row r="12" spans="1:25">
      <c r="A12" s="3" t="s">
        <v>206</v>
      </c>
      <c r="B12" s="118" t="s">
        <v>68</v>
      </c>
      <c r="C12" s="14">
        <f>SUM(COUNTIFS(Table4101317251247545298684173172[ATHLETE 1],Table36111418263048555399694375173[[#This Row],[Athletes]],Table4101317251247545298684173172[RESULT 12],Table36111418263048555399694375173[[#Headers],[WIN]]),COUNTIFS(Table4101317251247545298684173172[ATHLETE 2],Table36111418263048555399694375173[[#This Row],[Athletes]],Table4101317251247545298684173172[RESULT 12],Table36111418263048555399694375173[[#Headers],[WIN]]),COUNTIFS(Table4101317251247545298684173172[ATHLETE 3],Table36111418263048555399694375173[[#This Row],[Athletes]],Table4101317251247545298684173172[RESULT 34],Table36111418263048555399694375173[[#Headers],[WIN]]),COUNTIFS(Table4101317251247545298684173172[ATHLETE 4],Table36111418263048555399694375173[[#This Row],[Athletes]],Table4101317251247545298684173172[RESULT 34],Table36111418263048555399694375173[[#Headers],[WIN]]))</f>
        <v>2</v>
      </c>
      <c r="D12" s="14">
        <f>SUM(COUNTIFS(Table4101317251247545298684173172[ATHLETE 1],Table36111418263048555399694375173[[#This Row],[Athletes]],Table4101317251247545298684173172[RESULT 12],Table36111418263048555399694375173[[#Headers],[LOSE]]),COUNTIFS(Table4101317251247545298684173172[ATHLETE 2],Table36111418263048555399694375173[[#This Row],[Athletes]],Table4101317251247545298684173172[RESULT 12],Table36111418263048555399694375173[[#Headers],[LOSE]]),COUNTIFS(Table4101317251247545298684173172[ATHLETE 3],Table36111418263048555399694375173[[#This Row],[Athletes]],Table4101317251247545298684173172[RESULT 34],Table36111418263048555399694375173[[#Headers],[LOSE]]),COUNTIFS(Table4101317251247545298684173172[ATHLETE 4],Table36111418263048555399694375173[[#This Row],[Athletes]],Table4101317251247545298684173172[RESULT 34],Table36111418263048555399694375173[[#Headers],[LOSE]]))</f>
        <v>1</v>
      </c>
      <c r="E12" s="19">
        <f>SUM(SUMIF(Table4101317251247545298684173172[ATHLETE 1],Table36111418263048555399694375173[[#This Row],[Athletes]],Table4101317251247545298684173172[SALDO 12]),SUMIF(Table4101317251247545298684173172[ATHLETE 2],Table36111418263048555399694375173[[#This Row],[Athletes]],Table4101317251247545298684173172[SALDO 12]),SUMIF(Table4101317251247545298684173172[ATHLETE 3],Table36111418263048555399694375173[[#This Row],[Athletes]],Table4101317251247545298684173172[SALDO 34]),SUMIF(Table4101317251247545298684173172[ATHLETE 4],Table36111418263048555399694375173[[#This Row],[Athletes]],Table4101317251247545298684173172[SALDO 34]))</f>
        <v>7</v>
      </c>
      <c r="F12" s="19">
        <f>SUM(SUMIF(Table4101317251247545298684173172[ATHLETE 1],Table36111418263048555399694375173[[#This Row],[Athletes]],Table4101317251247545298684173172[PM 12]),SUMIF(Table4101317251247545298684173172[ATHLETE 2],Table36111418263048555399694375173[[#This Row],[Athletes]],Table4101317251247545298684173172[PM 12]),SUMIF(Table4101317251247545298684173172[ATHLETE 3],Table36111418263048555399694375173[[#This Row],[Athletes]],Table4101317251247545298684173172[PM 34]),SUMIF(Table4101317251247545298684173172[ATHLETE 4],Table36111418263048555399694375173[[#This Row],[Athletes]],Table4101317251247545298684173172[PM 34]))</f>
        <v>44</v>
      </c>
      <c r="G12" s="14" t="str">
        <f>IF(COUNTBLANK(Table4101317251247545298684173172[[SCORE 1]:[SCORE 2]])=0,IF(RANK(H12,$H$11:$H$14)=1,RANK(H12,$H$11:$H$14)&amp;"st",IF(RANK(H12,$H$11:$H$14)=2,RANK(H12,$H$11:$H$14)&amp;"nd",RANK(H12,$H$11:$H$14)&amp;"th")),"")</f>
        <v>2nd</v>
      </c>
      <c r="H12" s="51">
        <f>Table36111418263048555399694375173[[#This Row],[WIN]]*1000000+Table36111418263048555399694375173[[#This Row],[Saldo]]*1000+Table36111418263048555399694375173[[#This Row],[PM]]</f>
        <v>2007044</v>
      </c>
      <c r="I12" s="2">
        <f t="shared" ref="I12:I14" si="0">H12</f>
        <v>2007044</v>
      </c>
      <c r="J12" s="2" t="str">
        <f>IF(COUNTBLANK(Table4101317251247545298684173172[[SCORE 1]:[SCORE 2]])=0,IF(RANK(I12,$I$11:$I$22)=1,RANK(I12,$I$11:$I$22)&amp;"st",IF(RANK(I12,$I$11:$I$22)=2,RANK(I12,$I$11:$I$22)&amp;"nd",IF(RANK(I12,$I$11:$I$22)=3,RANK(I12,$I$11:$I$22)&amp;"rd",RANK(I12,$I$11:$I$22)&amp;"th"))),"")</f>
        <v>3rd</v>
      </c>
      <c r="K12" s="38" t="str">
        <f>Table36111418263048555399694375173[[#This Row],[Athletes]]</f>
        <v>Giovanna</v>
      </c>
      <c r="L12" s="2" t="str">
        <f t="shared" ref="L12:L14" si="1">J12</f>
        <v>3rd</v>
      </c>
      <c r="M12" s="127" t="str">
        <f>IF($O$12="lose",$U$7,"")</f>
        <v/>
      </c>
      <c r="N12" s="127" t="str">
        <f>IF($O$12="lose",$U$8,"")</f>
        <v/>
      </c>
      <c r="O12" s="2" t="str">
        <f>IF(OR(O11="",P11=""),"",IF((O11&gt;P11),"WIN","LOSE"))</f>
        <v>WIN</v>
      </c>
      <c r="P12" s="2" t="str">
        <f>IF(OR(O11="",P11=""),"",IF((O11&lt;P11),"WIN","LOSE"))</f>
        <v>LOSE</v>
      </c>
      <c r="Q12" s="127" t="str">
        <f>IF($P$12="lose",$U$9,"")</f>
        <v>7th</v>
      </c>
      <c r="R12" s="127" t="str">
        <f>IF($P$12="lose",$U$10,"")</f>
        <v>8th</v>
      </c>
      <c r="S12" s="17"/>
      <c r="T12" s="66"/>
      <c r="U12" s="67"/>
    </row>
    <row r="13" spans="1:25">
      <c r="A13" s="3" t="s">
        <v>207</v>
      </c>
      <c r="B13" s="118" t="s">
        <v>64</v>
      </c>
      <c r="C13" s="14">
        <f>SUM(COUNTIFS(Table4101317251247545298684173172[ATHLETE 1],Table36111418263048555399694375173[[#This Row],[Athletes]],Table4101317251247545298684173172[RESULT 12],Table36111418263048555399694375173[[#Headers],[WIN]]),COUNTIFS(Table4101317251247545298684173172[ATHLETE 2],Table36111418263048555399694375173[[#This Row],[Athletes]],Table4101317251247545298684173172[RESULT 12],Table36111418263048555399694375173[[#Headers],[WIN]]),COUNTIFS(Table4101317251247545298684173172[ATHLETE 3],Table36111418263048555399694375173[[#This Row],[Athletes]],Table4101317251247545298684173172[RESULT 34],Table36111418263048555399694375173[[#Headers],[WIN]]),COUNTIFS(Table4101317251247545298684173172[ATHLETE 4],Table36111418263048555399694375173[[#This Row],[Athletes]],Table4101317251247545298684173172[RESULT 34],Table36111418263048555399694375173[[#Headers],[WIN]]))</f>
        <v>2</v>
      </c>
      <c r="D13" s="14">
        <f>SUM(COUNTIFS(Table4101317251247545298684173172[ATHLETE 1],Table36111418263048555399694375173[[#This Row],[Athletes]],Table4101317251247545298684173172[RESULT 12],Table36111418263048555399694375173[[#Headers],[LOSE]]),COUNTIFS(Table4101317251247545298684173172[ATHLETE 2],Table36111418263048555399694375173[[#This Row],[Athletes]],Table4101317251247545298684173172[RESULT 12],Table36111418263048555399694375173[[#Headers],[LOSE]]),COUNTIFS(Table4101317251247545298684173172[ATHLETE 3],Table36111418263048555399694375173[[#This Row],[Athletes]],Table4101317251247545298684173172[RESULT 34],Table36111418263048555399694375173[[#Headers],[LOSE]]),COUNTIFS(Table4101317251247545298684173172[ATHLETE 4],Table36111418263048555399694375173[[#This Row],[Athletes]],Table4101317251247545298684173172[RESULT 34],Table36111418263048555399694375173[[#Headers],[LOSE]]))</f>
        <v>1</v>
      </c>
      <c r="E13" s="19">
        <f>SUM(SUMIF(Table4101317251247545298684173172[ATHLETE 1],Table36111418263048555399694375173[[#This Row],[Athletes]],Table4101317251247545298684173172[SALDO 12]),SUMIF(Table4101317251247545298684173172[ATHLETE 2],Table36111418263048555399694375173[[#This Row],[Athletes]],Table4101317251247545298684173172[SALDO 12]),SUMIF(Table4101317251247545298684173172[ATHLETE 3],Table36111418263048555399694375173[[#This Row],[Athletes]],Table4101317251247545298684173172[SALDO 34]),SUMIF(Table4101317251247545298684173172[ATHLETE 4],Table36111418263048555399694375173[[#This Row],[Athletes]],Table4101317251247545298684173172[SALDO 34]))</f>
        <v>17</v>
      </c>
      <c r="F13" s="19">
        <f>SUM(SUMIF(Table4101317251247545298684173172[ATHLETE 1],Table36111418263048555399694375173[[#This Row],[Athletes]],Table4101317251247545298684173172[PM 12]),SUMIF(Table4101317251247545298684173172[ATHLETE 2],Table36111418263048555399694375173[[#This Row],[Athletes]],Table4101317251247545298684173172[PM 12]),SUMIF(Table4101317251247545298684173172[ATHLETE 3],Table36111418263048555399694375173[[#This Row],[Athletes]],Table4101317251247545298684173172[PM 34]),SUMIF(Table4101317251247545298684173172[ATHLETE 4],Table36111418263048555399694375173[[#This Row],[Athletes]],Table4101317251247545298684173172[PM 34]))</f>
        <v>49</v>
      </c>
      <c r="G13" s="14" t="str">
        <f>IF(COUNTBLANK(Table4101317251247545298684173172[[SCORE 1]:[SCORE 2]])=0,IF(RANK(H13,$H$11:$H$14)=1,RANK(H13,$H$11:$H$14)&amp;"st",IF(RANK(H13,$H$11:$H$14)=2,RANK(H13,$H$11:$H$14)&amp;"nd",RANK(H13,$H$11:$H$14)&amp;"th")),"")</f>
        <v>1st</v>
      </c>
      <c r="H13" s="51">
        <f>Table36111418263048555399694375173[[#This Row],[WIN]]*1000000+Table36111418263048555399694375173[[#This Row],[Saldo]]*1000+Table36111418263048555399694375173[[#This Row],[PM]]</f>
        <v>2017049</v>
      </c>
      <c r="I13" s="2">
        <f t="shared" si="0"/>
        <v>2017049</v>
      </c>
      <c r="J13" s="2" t="str">
        <f>IF(COUNTBLANK(Table4101317251247545298684173172[[SCORE 1]:[SCORE 2]])=0,IF(RANK(I13,$I$11:$I$22)=1,RANK(I13,$I$11:$I$22)&amp;"st",IF(RANK(I13,$I$11:$I$22)=2,RANK(I13,$I$11:$I$22)&amp;"nd",IF(RANK(I13,$I$11:$I$22)=3,RANK(I13,$I$11:$I$22)&amp;"rd",RANK(I13,$I$11:$I$22)&amp;"th"))),"")</f>
        <v>1st</v>
      </c>
      <c r="K13" s="38" t="str">
        <f>Table36111418263048555399694375173[[#This Row],[Athletes]]</f>
        <v>Gabriela</v>
      </c>
      <c r="L13" s="2" t="str">
        <f t="shared" si="1"/>
        <v>1st</v>
      </c>
      <c r="M13" s="90">
        <v>1</v>
      </c>
      <c r="N13" s="90">
        <v>2</v>
      </c>
      <c r="O13" s="90"/>
      <c r="P13" s="90"/>
      <c r="Q13" s="90">
        <v>7</v>
      </c>
      <c r="R13" s="90">
        <v>8</v>
      </c>
      <c r="T13" s="66"/>
      <c r="U13" s="67"/>
      <c r="V13" s="66"/>
      <c r="W13" s="66"/>
      <c r="X13" s="66"/>
      <c r="Y13" s="66"/>
    </row>
    <row r="14" spans="1:25" ht="15.95">
      <c r="A14" s="5" t="s">
        <v>208</v>
      </c>
      <c r="B14" s="118" t="s">
        <v>66</v>
      </c>
      <c r="C14" s="14">
        <f>SUM(COUNTIFS(Table4101317251247545298684173172[ATHLETE 1],Table36111418263048555399694375173[[#This Row],[Athletes]],Table4101317251247545298684173172[RESULT 12],Table36111418263048555399694375173[[#Headers],[WIN]]),COUNTIFS(Table4101317251247545298684173172[ATHLETE 2],Table36111418263048555399694375173[[#This Row],[Athletes]],Table4101317251247545298684173172[RESULT 12],Table36111418263048555399694375173[[#Headers],[WIN]]),COUNTIFS(Table4101317251247545298684173172[ATHLETE 3],Table36111418263048555399694375173[[#This Row],[Athletes]],Table4101317251247545298684173172[RESULT 34],Table36111418263048555399694375173[[#Headers],[WIN]]),COUNTIFS(Table4101317251247545298684173172[ATHLETE 4],Table36111418263048555399694375173[[#This Row],[Athletes]],Table4101317251247545298684173172[RESULT 34],Table36111418263048555399694375173[[#Headers],[WIN]]))</f>
        <v>2</v>
      </c>
      <c r="D14" s="14">
        <f>SUM(COUNTIFS(Table4101317251247545298684173172[ATHLETE 1],Table36111418263048555399694375173[[#This Row],[Athletes]],Table4101317251247545298684173172[RESULT 12],Table36111418263048555399694375173[[#Headers],[LOSE]]),COUNTIFS(Table4101317251247545298684173172[ATHLETE 2],Table36111418263048555399694375173[[#This Row],[Athletes]],Table4101317251247545298684173172[RESULT 12],Table36111418263048555399694375173[[#Headers],[LOSE]]),COUNTIFS(Table4101317251247545298684173172[ATHLETE 3],Table36111418263048555399694375173[[#This Row],[Athletes]],Table4101317251247545298684173172[RESULT 34],Table36111418263048555399694375173[[#Headers],[LOSE]]),COUNTIFS(Table4101317251247545298684173172[ATHLETE 4],Table36111418263048555399694375173[[#This Row],[Athletes]],Table4101317251247545298684173172[RESULT 34],Table36111418263048555399694375173[[#Headers],[LOSE]]))</f>
        <v>1</v>
      </c>
      <c r="E14" s="19">
        <f>SUM(SUMIF(Table4101317251247545298684173172[ATHLETE 1],Table36111418263048555399694375173[[#This Row],[Athletes]],Table4101317251247545298684173172[SALDO 12]),SUMIF(Table4101317251247545298684173172[ATHLETE 2],Table36111418263048555399694375173[[#This Row],[Athletes]],Table4101317251247545298684173172[SALDO 12]),SUMIF(Table4101317251247545298684173172[ATHLETE 3],Table36111418263048555399694375173[[#This Row],[Athletes]],Table4101317251247545298684173172[SALDO 34]),SUMIF(Table4101317251247545298684173172[ATHLETE 4],Table36111418263048555399694375173[[#This Row],[Athletes]],Table4101317251247545298684173172[SALDO 34]))</f>
        <v>3</v>
      </c>
      <c r="F14" s="19">
        <f>SUM(SUMIF(Table4101317251247545298684173172[ATHLETE 1],Table36111418263048555399694375173[[#This Row],[Athletes]],Table4101317251247545298684173172[PM 12]),SUMIF(Table4101317251247545298684173172[ATHLETE 2],Table36111418263048555399694375173[[#This Row],[Athletes]],Table4101317251247545298684173172[PM 12]),SUMIF(Table4101317251247545298684173172[ATHLETE 3],Table36111418263048555399694375173[[#This Row],[Athletes]],Table4101317251247545298684173172[PM 34]),SUMIF(Table4101317251247545298684173172[ATHLETE 4],Table36111418263048555399694375173[[#This Row],[Athletes]],Table4101317251247545298684173172[PM 34]))</f>
        <v>42</v>
      </c>
      <c r="G14" s="14" t="str">
        <f>IF(COUNTBLANK(Table4101317251247545298684173172[[SCORE 1]:[SCORE 2]])=0,IF(RANK(H14,$H$11:$H$14)=1,RANK(H14,$H$11:$H$14)&amp;"st",IF(RANK(H14,$H$11:$H$14)=2,RANK(H14,$H$11:$H$14)&amp;"nd",RANK(H14,$H$11:$H$14)&amp;"th")),"")</f>
        <v>3th</v>
      </c>
      <c r="H14" s="51">
        <f>Table36111418263048555399694375173[[#This Row],[WIN]]*1000000+Table36111418263048555399694375173[[#This Row],[Saldo]]*1000+Table36111418263048555399694375173[[#This Row],[PM]]</f>
        <v>2003042</v>
      </c>
      <c r="I14" s="2">
        <f t="shared" si="0"/>
        <v>2003042</v>
      </c>
      <c r="J14" s="2" t="str">
        <f>IF(COUNTBLANK(Table4101317251247545298684173172[[SCORE 1]:[SCORE 2]])=0,IF(RANK(I14,$I$11:$I$22)=1,RANK(I14,$I$11:$I$22)&amp;"st",IF(RANK(I14,$I$11:$I$22)=2,RANK(I14,$I$11:$I$22)&amp;"nd",IF(RANK(I14,$I$11:$I$22)=3,RANK(I14,$I$11:$I$22)&amp;"rd",RANK(I14,$I$11:$I$22)&amp;"th"))),"")</f>
        <v>5th</v>
      </c>
      <c r="K14" s="38" t="str">
        <f>Table36111418263048555399694375173[[#This Row],[Athletes]]</f>
        <v>Roberta G.</v>
      </c>
      <c r="L14" s="2" t="str">
        <f t="shared" si="1"/>
        <v>5th</v>
      </c>
      <c r="M14" s="90"/>
      <c r="N14" s="90"/>
      <c r="O14" s="90"/>
      <c r="P14" s="90"/>
      <c r="Q14" s="90"/>
      <c r="R14" s="90"/>
      <c r="T14" s="66"/>
      <c r="U14" s="67"/>
      <c r="V14" s="66"/>
      <c r="W14" s="66"/>
      <c r="X14" s="66"/>
      <c r="Y14" s="66"/>
    </row>
    <row r="15" spans="1:25">
      <c r="I15" s="2">
        <f>H17</f>
        <v>-13959</v>
      </c>
      <c r="J15" s="2" t="str">
        <f>IF(COUNTBLANK(Table4101317251247545298684173172[[SCORE 1]:[SCORE 2]])=0,IF(RANK(I15,$I$11:$I$22)=1,RANK(I15,$I$11:$I$22)&amp;"st",IF(RANK(I15,$I$11:$I$22)=2,RANK(I15,$I$11:$I$22)&amp;"nd",IF(RANK(I15,$I$11:$I$22)=3,RANK(I15,$I$11:$I$22)&amp;"rd",RANK(I15,$I$11:$I$22)&amp;"th"))),"")</f>
        <v>7th</v>
      </c>
      <c r="K15" s="38" t="str">
        <f>B17</f>
        <v>Julia C.</v>
      </c>
      <c r="L15" s="2"/>
      <c r="M15" s="418" t="s">
        <v>193</v>
      </c>
      <c r="N15" s="418" t="s">
        <v>194</v>
      </c>
      <c r="O15" s="542" t="s">
        <v>195</v>
      </c>
      <c r="P15" s="543"/>
      <c r="Q15" s="418" t="s">
        <v>196</v>
      </c>
      <c r="R15" s="418" t="s">
        <v>197</v>
      </c>
      <c r="V15" s="66"/>
      <c r="W15" s="66"/>
      <c r="X15" s="66"/>
      <c r="Y15" s="66"/>
    </row>
    <row r="16" spans="1:25" s="44" customFormat="1" ht="28.5" customHeight="1">
      <c r="A16" s="9" t="s">
        <v>184</v>
      </c>
      <c r="B16" s="48" t="s">
        <v>203</v>
      </c>
      <c r="C16" s="48" t="s">
        <v>186</v>
      </c>
      <c r="D16" s="48" t="s">
        <v>187</v>
      </c>
      <c r="E16" s="48" t="s">
        <v>188</v>
      </c>
      <c r="F16" s="48" t="s">
        <v>189</v>
      </c>
      <c r="G16" s="43" t="s">
        <v>8</v>
      </c>
      <c r="H16" s="79" t="s">
        <v>204</v>
      </c>
      <c r="I16" s="2">
        <f>H18</f>
        <v>2004050</v>
      </c>
      <c r="J16" s="2" t="str">
        <f>IF(COUNTBLANK(Table4101317251247545298684173172[[SCORE 1]:[SCORE 2]])=0,IF(RANK(I16,$I$11:$I$22)=1,RANK(I16,$I$11:$I$22)&amp;"st",IF(RANK(I16,$I$11:$I$22)=2,RANK(I16,$I$11:$I$22)&amp;"nd",IF(RANK(I16,$I$11:$I$22)=3,RANK(I16,$I$11:$I$22)&amp;"rd",RANK(I16,$I$11:$I$22)&amp;"th"))),"")</f>
        <v>4th</v>
      </c>
      <c r="K16" s="38" t="str">
        <f>B18</f>
        <v>Janelle</v>
      </c>
      <c r="L16" s="419" t="s">
        <v>192</v>
      </c>
      <c r="M16" s="428" t="str" cm="1">
        <f t="array" ref="M16">_xlfn.TEXTJOIN(", ", TRUE, _xlfn._xlws.FILTER($K$11:$K$18, $J$11:$J$18=$U$5, ""))</f>
        <v>Giovanna</v>
      </c>
      <c r="N16" s="428" t="str" cm="1">
        <f t="array" ref="N16">_xlfn.TEXTJOIN(", ", TRUE, _xlfn._xlws.FILTER($K$11:$K$18, $J$11:$J$18=$U$6, ""))</f>
        <v>Janelle</v>
      </c>
      <c r="O16" s="119">
        <v>0</v>
      </c>
      <c r="P16" s="119">
        <v>18</v>
      </c>
      <c r="Q16" s="428" t="str" cm="1">
        <f t="array" ref="Q16">_xlfn.TEXTJOIN(", ", TRUE, _xlfn._xlws.FILTER($K$11:$K$18, $J$11:$J$18=$U$7, ""))</f>
        <v>Roberta G.</v>
      </c>
      <c r="R16" s="428" t="str" cm="1">
        <f t="array" ref="R16">_xlfn.TEXTJOIN(", ", TRUE, _xlfn._xlws.FILTER($K$11:$K$18, $J$11:$J$18=$U$8, ""))</f>
        <v>Bella</v>
      </c>
      <c r="V16" s="92"/>
      <c r="W16" s="92"/>
      <c r="X16" s="92"/>
      <c r="Y16" s="92"/>
    </row>
    <row r="17" spans="1:25">
      <c r="A17" s="430" t="s">
        <v>209</v>
      </c>
      <c r="B17" s="118" t="s">
        <v>72</v>
      </c>
      <c r="C17" s="14">
        <f>SUM(COUNTIFS(Table4101317251247545298684173172[ATHLETE 1],Table61215192731495671100704476174[[#This Row],[Athletes]],Table4101317251247545298684173172[RESULT 12],Table36111418263048555399694375173[[#Headers],[WIN]]),COUNTIFS(Table4101317251247545298684173172[ATHLETE 2],Table61215192731495671100704476174[[#This Row],[Athletes]],Table4101317251247545298684173172[RESULT 12],Table36111418263048555399694375173[[#Headers],[WIN]]),COUNTIFS(Table4101317251247545298684173172[ATHLETE 3],Table61215192731495671100704476174[[#This Row],[Athletes]],Table4101317251247545298684173172[RESULT 34],Table36111418263048555399694375173[[#Headers],[WIN]]),COUNTIFS(Table4101317251247545298684173172[ATHLETE 4],Table61215192731495671100704476174[[#This Row],[Athletes]],Table4101317251247545298684173172[RESULT 34],Table36111418263048555399694375173[[#Headers],[WIN]]))</f>
        <v>0</v>
      </c>
      <c r="D17" s="12">
        <f>SUM(COUNTIFS(Table4101317251247545298684173172[ATHLETE 1],Table61215192731495671100704476174[[#This Row],[Athletes]],Table4101317251247545298684173172[RESULT 12],Table36111418263048555399694375173[[#Headers],[LOSE]]),COUNTIFS(Table4101317251247545298684173172[ATHLETE 2],Table61215192731495671100704476174[[#This Row],[Athletes]],Table4101317251247545298684173172[RESULT 12],Table36111418263048555399694375173[[#Headers],[LOSE]]),COUNTIFS(Table4101317251247545298684173172[ATHLETE 3],Table61215192731495671100704476174[[#This Row],[Athletes]],Table4101317251247545298684173172[RESULT 34],Table36111418263048555399694375173[[#Headers],[LOSE]]),COUNTIFS(Table4101317251247545298684173172[ATHLETE 4],Table61215192731495671100704476174[[#This Row],[Athletes]],Table4101317251247545298684173172[RESULT 34],Table36111418263048555399694375173[[#Headers],[LOSE]]))</f>
        <v>3</v>
      </c>
      <c r="E17" s="19">
        <f>SUM(SUMIF(Table4101317251247545298684173172[ATHLETE 1],Table61215192731495671100704476174[[#This Row],[Athletes]],Table4101317251247545298684173172[SALDO 12]),SUMIF(Table4101317251247545298684173172[ATHLETE 2],Table61215192731495671100704476174[[#This Row],[Athletes]],Table4101317251247545298684173172[SALDO 12]),SUMIF(Table4101317251247545298684173172[ATHLETE 3],Table61215192731495671100704476174[[#This Row],[Athletes]],Table4101317251247545298684173172[SALDO 34]),SUMIF(Table4101317251247545298684173172[ATHLETE 4],Table61215192731495671100704476174[[#This Row],[Athletes]],Table4101317251247545298684173172[SALDO 34]))</f>
        <v>-14</v>
      </c>
      <c r="F17" s="19">
        <f>SUM(SUMIF(Table4101317251247545298684173172[ATHLETE 1],Table61215192731495671100704476174[[#This Row],[Athletes]],Table4101317251247545298684173172[PM 12]),SUMIF(Table4101317251247545298684173172[ATHLETE 2],Table61215192731495671100704476174[[#This Row],[Athletes]],Table4101317251247545298684173172[PM 12]),SUMIF(Table4101317251247545298684173172[ATHLETE 3],Table61215192731495671100704476174[[#This Row],[Athletes]],Table4101317251247545298684173172[PM 34]),SUMIF(Table4101317251247545298684173172[ATHLETE 4],Table61215192731495671100704476174[[#This Row],[Athletes]],Table4101317251247545298684173172[PM 34]))</f>
        <v>41</v>
      </c>
      <c r="G17" s="14" t="str">
        <f>IF(COUNTBLANK(Table4101317251247545298684173172[[SCORE 1]:[SCORE 2]])=0,IF(RANK(H17,$H$17:$H$20)=1,RANK(H17,$H$17:$H$20)&amp;"st",IF(RANK(H17,$H$17:$H$20)=2,RANK(H17,$H$17:$H$20)&amp;"nd",RANK(H17,$H$17:$H$20)&amp;"th")),"")</f>
        <v>4th</v>
      </c>
      <c r="H17" s="51">
        <f>Table61215192731495671100704476174[[#This Row],[WIN]]*1000000+Table61215192731495671100704476174[[#This Row],[Saldo]]*1000+Table61215192731495671100704476174[[#This Row],[PM]]</f>
        <v>-13959</v>
      </c>
      <c r="I17" s="2">
        <f>H19</f>
        <v>2010053</v>
      </c>
      <c r="J17" s="2" t="str">
        <f>IF(COUNTBLANK(Table4101317251247545298684173172[[SCORE 1]:[SCORE 2]])=0,IF(RANK(I17,$I$11:$I$22)=1,RANK(I17,$I$11:$I$22)&amp;"st",IF(RANK(I17,$I$11:$I$22)=2,RANK(I17,$I$11:$I$22)&amp;"nd",IF(RANK(I17,$I$11:$I$22)=3,RANK(I17,$I$11:$I$22)&amp;"rd",RANK(I17,$I$11:$I$22)&amp;"th"))),"")</f>
        <v>2nd</v>
      </c>
      <c r="K17" s="38" t="str">
        <f>B19</f>
        <v>Fiorella</v>
      </c>
      <c r="L17" s="2" t="str">
        <f>J15</f>
        <v>7th</v>
      </c>
      <c r="M17" s="127" t="str">
        <f>IF(AND($O$17="lose",$O$12="lose"),$U$9,IF($O$17="lose",$U$7,""))</f>
        <v>5th</v>
      </c>
      <c r="N17" s="127" t="str">
        <f>IF(AND($O$17="lose",$O$12="lose"),$U$10,IF($O$17="lose",$U$8,""))</f>
        <v>6th</v>
      </c>
      <c r="O17" s="2" t="str">
        <f>IF(OR(O16="",P16=""),"",IF((O16&gt;P16),"WIN","LOSE"))</f>
        <v>LOSE</v>
      </c>
      <c r="P17" s="2" t="str">
        <f>IF(OR(O16="",P16=""),"",IF((O16&lt;P16),"WIN","LOSE"))</f>
        <v>WIN</v>
      </c>
      <c r="Q17" s="127" t="str">
        <f>IF(AND($P$17="lose",$O$12="lose"),$U$9,IF($P$17="lose",$U$7,""))</f>
        <v/>
      </c>
      <c r="R17" s="127" t="str">
        <f>IF(AND($P$17="lose",$O$12="lose"),$U$10,IF($P$17="lose",$U$8,""))</f>
        <v/>
      </c>
      <c r="V17" s="66"/>
      <c r="W17" s="66"/>
      <c r="X17" s="66"/>
      <c r="Y17" s="66"/>
    </row>
    <row r="18" spans="1:25">
      <c r="A18" s="430" t="s">
        <v>210</v>
      </c>
      <c r="B18" s="118" t="s">
        <v>69</v>
      </c>
      <c r="C18" s="14">
        <f>SUM(COUNTIFS(Table4101317251247545298684173172[ATHLETE 1],Table61215192731495671100704476174[[#This Row],[Athletes]],Table4101317251247545298684173172[RESULT 12],Table36111418263048555399694375173[[#Headers],[WIN]]),COUNTIFS(Table4101317251247545298684173172[ATHLETE 2],Table61215192731495671100704476174[[#This Row],[Athletes]],Table4101317251247545298684173172[RESULT 12],Table36111418263048555399694375173[[#Headers],[WIN]]),COUNTIFS(Table4101317251247545298684173172[ATHLETE 3],Table61215192731495671100704476174[[#This Row],[Athletes]],Table4101317251247545298684173172[RESULT 34],Table36111418263048555399694375173[[#Headers],[WIN]]),COUNTIFS(Table4101317251247545298684173172[ATHLETE 4],Table61215192731495671100704476174[[#This Row],[Athletes]],Table4101317251247545298684173172[RESULT 34],Table36111418263048555399694375173[[#Headers],[WIN]]))</f>
        <v>2</v>
      </c>
      <c r="D18" s="12">
        <f>SUM(COUNTIFS(Table4101317251247545298684173172[ATHLETE 1],Table61215192731495671100704476174[[#This Row],[Athletes]],Table4101317251247545298684173172[RESULT 12],Table36111418263048555399694375173[[#Headers],[LOSE]]),COUNTIFS(Table4101317251247545298684173172[ATHLETE 2],Table61215192731495671100704476174[[#This Row],[Athletes]],Table4101317251247545298684173172[RESULT 12],Table36111418263048555399694375173[[#Headers],[LOSE]]),COUNTIFS(Table4101317251247545298684173172[ATHLETE 3],Table61215192731495671100704476174[[#This Row],[Athletes]],Table4101317251247545298684173172[RESULT 34],Table36111418263048555399694375173[[#Headers],[LOSE]]),COUNTIFS(Table4101317251247545298684173172[ATHLETE 4],Table61215192731495671100704476174[[#This Row],[Athletes]],Table4101317251247545298684173172[RESULT 34],Table36111418263048555399694375173[[#Headers],[LOSE]]))</f>
        <v>1</v>
      </c>
      <c r="E18" s="19">
        <f>SUM(SUMIF(Table4101317251247545298684173172[ATHLETE 1],Table61215192731495671100704476174[[#This Row],[Athletes]],Table4101317251247545298684173172[SALDO 12]),SUMIF(Table4101317251247545298684173172[ATHLETE 2],Table61215192731495671100704476174[[#This Row],[Athletes]],Table4101317251247545298684173172[SALDO 12]),SUMIF(Table4101317251247545298684173172[ATHLETE 3],Table61215192731495671100704476174[[#This Row],[Athletes]],Table4101317251247545298684173172[SALDO 34]),SUMIF(Table4101317251247545298684173172[ATHLETE 4],Table61215192731495671100704476174[[#This Row],[Athletes]],Table4101317251247545298684173172[SALDO 34]))</f>
        <v>4</v>
      </c>
      <c r="F18" s="19">
        <f>SUM(SUMIF(Table4101317251247545298684173172[ATHLETE 1],Table61215192731495671100704476174[[#This Row],[Athletes]],Table4101317251247545298684173172[PM 12]),SUMIF(Table4101317251247545298684173172[ATHLETE 2],Table61215192731495671100704476174[[#This Row],[Athletes]],Table4101317251247545298684173172[PM 12]),SUMIF(Table4101317251247545298684173172[ATHLETE 3],Table61215192731495671100704476174[[#This Row],[Athletes]],Table4101317251247545298684173172[PM 34]),SUMIF(Table4101317251247545298684173172[ATHLETE 4],Table61215192731495671100704476174[[#This Row],[Athletes]],Table4101317251247545298684173172[PM 34]))</f>
        <v>50</v>
      </c>
      <c r="G18" s="14" t="str">
        <f>IF(COUNTBLANK(Table4101317251247545298684173172[[SCORE 1]:[SCORE 2]])=0,IF(RANK(H18,$H$17:$H$20)=1,RANK(H18,$H$17:$H$20)&amp;"st",IF(RANK(H18,$H$17:$H$20)=2,RANK(H18,$H$17:$H$20)&amp;"nd",RANK(H18,$H$17:$H$20)&amp;"th")),"")</f>
        <v>2nd</v>
      </c>
      <c r="H18" s="51">
        <f>Table61215192731495671100704476174[[#This Row],[WIN]]*1000000+Table61215192731495671100704476174[[#This Row],[Saldo]]*1000+Table61215192731495671100704476174[[#This Row],[PM]]</f>
        <v>2004050</v>
      </c>
      <c r="I18" s="2">
        <f>H20</f>
        <v>2000048</v>
      </c>
      <c r="J18" s="2" t="str">
        <f>IF(COUNTBLANK(Table4101317251247545298684173172[[SCORE 1]:[SCORE 2]])=0,IF(RANK(I18,$I$11:$I$22)=1,RANK(I18,$I$11:$I$22)&amp;"st",IF(RANK(I18,$I$11:$I$22)=2,RANK(I18,$I$11:$I$22)&amp;"nd",IF(RANK(I18,$I$11:$I$22)=3,RANK(I18,$I$11:$I$22)&amp;"rd",RANK(I18,$I$11:$I$22)&amp;"th"))),"")</f>
        <v>6th</v>
      </c>
      <c r="K18" s="38" t="str">
        <f>B20</f>
        <v>Bella</v>
      </c>
      <c r="L18" s="2" t="str">
        <f t="shared" ref="L18:L20" si="2">J16</f>
        <v>4th</v>
      </c>
      <c r="M18" s="90">
        <v>3</v>
      </c>
      <c r="N18" s="90">
        <v>4</v>
      </c>
      <c r="O18" s="90"/>
      <c r="P18" s="90"/>
      <c r="Q18" s="90">
        <v>5</v>
      </c>
      <c r="R18" s="90">
        <v>6</v>
      </c>
      <c r="V18" s="66"/>
      <c r="W18" s="66"/>
      <c r="X18" s="66"/>
      <c r="Y18" s="66"/>
    </row>
    <row r="19" spans="1:25">
      <c r="A19" s="430" t="s">
        <v>211</v>
      </c>
      <c r="B19" s="118" t="s">
        <v>65</v>
      </c>
      <c r="C19" s="14">
        <f>SUM(COUNTIFS(Table4101317251247545298684173172[ATHLETE 1],Table61215192731495671100704476174[[#This Row],[Athletes]],Table4101317251247545298684173172[RESULT 12],Table36111418263048555399694375173[[#Headers],[WIN]]),COUNTIFS(Table4101317251247545298684173172[ATHLETE 2],Table61215192731495671100704476174[[#This Row],[Athletes]],Table4101317251247545298684173172[RESULT 12],Table36111418263048555399694375173[[#Headers],[WIN]]),COUNTIFS(Table4101317251247545298684173172[ATHLETE 3],Table61215192731495671100704476174[[#This Row],[Athletes]],Table4101317251247545298684173172[RESULT 34],Table36111418263048555399694375173[[#Headers],[WIN]]),COUNTIFS(Table4101317251247545298684173172[ATHLETE 4],Table61215192731495671100704476174[[#This Row],[Athletes]],Table4101317251247545298684173172[RESULT 34],Table36111418263048555399694375173[[#Headers],[WIN]]))</f>
        <v>2</v>
      </c>
      <c r="D19" s="12">
        <f>SUM(COUNTIFS(Table4101317251247545298684173172[ATHLETE 1],Table61215192731495671100704476174[[#This Row],[Athletes]],Table4101317251247545298684173172[RESULT 12],Table36111418263048555399694375173[[#Headers],[LOSE]]),COUNTIFS(Table4101317251247545298684173172[ATHLETE 2],Table61215192731495671100704476174[[#This Row],[Athletes]],Table4101317251247545298684173172[RESULT 12],Table36111418263048555399694375173[[#Headers],[LOSE]]),COUNTIFS(Table4101317251247545298684173172[ATHLETE 3],Table61215192731495671100704476174[[#This Row],[Athletes]],Table4101317251247545298684173172[RESULT 34],Table36111418263048555399694375173[[#Headers],[LOSE]]),COUNTIFS(Table4101317251247545298684173172[ATHLETE 4],Table61215192731495671100704476174[[#This Row],[Athletes]],Table4101317251247545298684173172[RESULT 34],Table36111418263048555399694375173[[#Headers],[LOSE]]))</f>
        <v>1</v>
      </c>
      <c r="E19" s="19">
        <f>SUM(SUMIF(Table4101317251247545298684173172[ATHLETE 1],Table61215192731495671100704476174[[#This Row],[Athletes]],Table4101317251247545298684173172[SALDO 12]),SUMIF(Table4101317251247545298684173172[ATHLETE 2],Table61215192731495671100704476174[[#This Row],[Athletes]],Table4101317251247545298684173172[SALDO 12]),SUMIF(Table4101317251247545298684173172[ATHLETE 3],Table61215192731495671100704476174[[#This Row],[Athletes]],Table4101317251247545298684173172[SALDO 34]),SUMIF(Table4101317251247545298684173172[ATHLETE 4],Table61215192731495671100704476174[[#This Row],[Athletes]],Table4101317251247545298684173172[SALDO 34]))</f>
        <v>10</v>
      </c>
      <c r="F19" s="19">
        <f>SUM(SUMIF(Table4101317251247545298684173172[ATHLETE 1],Table61215192731495671100704476174[[#This Row],[Athletes]],Table4101317251247545298684173172[PM 12]),SUMIF(Table4101317251247545298684173172[ATHLETE 2],Table61215192731495671100704476174[[#This Row],[Athletes]],Table4101317251247545298684173172[PM 12]),SUMIF(Table4101317251247545298684173172[ATHLETE 3],Table61215192731495671100704476174[[#This Row],[Athletes]],Table4101317251247545298684173172[PM 34]),SUMIF(Table4101317251247545298684173172[ATHLETE 4],Table61215192731495671100704476174[[#This Row],[Athletes]],Table4101317251247545298684173172[PM 34]))</f>
        <v>53</v>
      </c>
      <c r="G19" s="14" t="str">
        <f>IF(COUNTBLANK(Table4101317251247545298684173172[[SCORE 1]:[SCORE 2]])=0,IF(RANK(H19,$H$17:$H$20)=1,RANK(H19,$H$17:$H$20)&amp;"st",IF(RANK(H19,$H$17:$H$20)=2,RANK(H19,$H$17:$H$20)&amp;"nd",RANK(H19,$H$17:$H$20)&amp;"th")),"")</f>
        <v>1st</v>
      </c>
      <c r="H19" s="51">
        <f>Table61215192731495671100704476174[[#This Row],[WIN]]*1000000+Table61215192731495671100704476174[[#This Row],[Saldo]]*1000+Table61215192731495671100704476174[[#This Row],[PM]]</f>
        <v>2010053</v>
      </c>
      <c r="L19" s="2" t="str">
        <f t="shared" si="2"/>
        <v>2nd</v>
      </c>
      <c r="M19" s="90"/>
      <c r="N19" s="90"/>
      <c r="O19" s="90"/>
      <c r="P19" s="90"/>
      <c r="Q19" s="90"/>
      <c r="R19" s="90"/>
      <c r="V19" s="66"/>
      <c r="W19" s="66"/>
      <c r="X19" s="66"/>
      <c r="Y19" s="66"/>
    </row>
    <row r="20" spans="1:25" ht="29.1">
      <c r="A20" s="430" t="s">
        <v>212</v>
      </c>
      <c r="B20" s="172" t="s">
        <v>67</v>
      </c>
      <c r="C20" s="14">
        <f>SUM(COUNTIFS(Table4101317251247545298684173172[ATHLETE 1],Table61215192731495671100704476174[[#This Row],[Athletes]],Table4101317251247545298684173172[RESULT 12],Table36111418263048555399694375173[[#Headers],[WIN]]),COUNTIFS(Table4101317251247545298684173172[ATHLETE 2],Table61215192731495671100704476174[[#This Row],[Athletes]],Table4101317251247545298684173172[RESULT 12],Table36111418263048555399694375173[[#Headers],[WIN]]),COUNTIFS(Table4101317251247545298684173172[ATHLETE 3],Table61215192731495671100704476174[[#This Row],[Athletes]],Table4101317251247545298684173172[RESULT 34],Table36111418263048555399694375173[[#Headers],[WIN]]),COUNTIFS(Table4101317251247545298684173172[ATHLETE 4],Table61215192731495671100704476174[[#This Row],[Athletes]],Table4101317251247545298684173172[RESULT 34],Table36111418263048555399694375173[[#Headers],[WIN]]))</f>
        <v>2</v>
      </c>
      <c r="D20" s="12">
        <f>SUM(COUNTIFS(Table4101317251247545298684173172[ATHLETE 1],Table61215192731495671100704476174[[#This Row],[Athletes]],Table4101317251247545298684173172[RESULT 12],Table36111418263048555399694375173[[#Headers],[LOSE]]),COUNTIFS(Table4101317251247545298684173172[ATHLETE 2],Table61215192731495671100704476174[[#This Row],[Athletes]],Table4101317251247545298684173172[RESULT 12],Table36111418263048555399694375173[[#Headers],[LOSE]]),COUNTIFS(Table4101317251247545298684173172[ATHLETE 3],Table61215192731495671100704476174[[#This Row],[Athletes]],Table4101317251247545298684173172[RESULT 34],Table36111418263048555399694375173[[#Headers],[LOSE]]),COUNTIFS(Table4101317251247545298684173172[ATHLETE 4],Table61215192731495671100704476174[[#This Row],[Athletes]],Table4101317251247545298684173172[RESULT 34],Table36111418263048555399694375173[[#Headers],[LOSE]]))</f>
        <v>1</v>
      </c>
      <c r="E20" s="19">
        <f>SUM(SUMIF(Table4101317251247545298684173172[ATHLETE 1],Table61215192731495671100704476174[[#This Row],[Athletes]],Table4101317251247545298684173172[SALDO 12]),SUMIF(Table4101317251247545298684173172[ATHLETE 2],Table61215192731495671100704476174[[#This Row],[Athletes]],Table4101317251247545298684173172[SALDO 12]),SUMIF(Table4101317251247545298684173172[ATHLETE 3],Table61215192731495671100704476174[[#This Row],[Athletes]],Table4101317251247545298684173172[SALDO 34]),SUMIF(Table4101317251247545298684173172[ATHLETE 4],Table61215192731495671100704476174[[#This Row],[Athletes]],Table4101317251247545298684173172[SALDO 34]))</f>
        <v>0</v>
      </c>
      <c r="F20" s="19">
        <f>SUM(SUMIF(Table4101317251247545298684173172[ATHLETE 1],Table61215192731495671100704476174[[#This Row],[Athletes]],Table4101317251247545298684173172[PM 12]),SUMIF(Table4101317251247545298684173172[ATHLETE 2],Table61215192731495671100704476174[[#This Row],[Athletes]],Table4101317251247545298684173172[PM 12]),SUMIF(Table4101317251247545298684173172[ATHLETE 3],Table61215192731495671100704476174[[#This Row],[Athletes]],Table4101317251247545298684173172[PM 34]),SUMIF(Table4101317251247545298684173172[ATHLETE 4],Table61215192731495671100704476174[[#This Row],[Athletes]],Table4101317251247545298684173172[PM 34]))</f>
        <v>48</v>
      </c>
      <c r="G20" s="14" t="str">
        <f>IF(COUNTBLANK(Table4101317251247545298684173172[[SCORE 1]:[SCORE 2]])=0,IF(RANK(H20,$H$17:$H$20)=1,RANK(H20,$H$17:$H$20)&amp;"st",IF(RANK(H20,$H$17:$H$20)=2,RANK(H20,$H$17:$H$20)&amp;"nd",RANK(H20,$H$17:$H$20)&amp;"th")),"")</f>
        <v>3th</v>
      </c>
      <c r="H20" s="51">
        <f>Table61215192731495671100704476174[[#This Row],[WIN]]*1000000+Table61215192731495671100704476174[[#This Row],[Saldo]]*1000+Table61215192731495671100704476174[[#This Row],[PM]]</f>
        <v>2000048</v>
      </c>
      <c r="L20" s="2" t="str">
        <f t="shared" si="2"/>
        <v>6th</v>
      </c>
      <c r="M20" s="548" t="s">
        <v>199</v>
      </c>
      <c r="N20" s="549"/>
      <c r="O20" s="549"/>
      <c r="P20" s="549"/>
      <c r="Q20" s="549"/>
      <c r="R20" s="549"/>
      <c r="V20" s="66"/>
      <c r="W20" s="66"/>
      <c r="X20" s="66"/>
      <c r="Y20" s="66"/>
    </row>
    <row r="21" spans="1:25">
      <c r="L21" s="2"/>
      <c r="M21" s="418" t="s">
        <v>193</v>
      </c>
      <c r="N21" s="418" t="s">
        <v>194</v>
      </c>
      <c r="O21" s="542" t="s">
        <v>195</v>
      </c>
      <c r="P21" s="543"/>
      <c r="Q21" s="418" t="s">
        <v>196</v>
      </c>
      <c r="R21" s="418" t="s">
        <v>197</v>
      </c>
      <c r="V21" s="66"/>
      <c r="W21" s="66"/>
      <c r="X21" s="66"/>
      <c r="Y21" s="66"/>
    </row>
    <row r="22" spans="1:25">
      <c r="M22" s="431" t="str">
        <f>IF(COUNTBLANK($O$11:$P$11),"",IF($O$12="lose",$Q$11,$M$11))</f>
        <v>Gabriela</v>
      </c>
      <c r="N22" s="431" t="str">
        <f>IF(COUNTBLANK($O$11:$P$11),"",IF($O$12="lose",$R$11,$N$11))</f>
        <v>Fiorella</v>
      </c>
      <c r="O22" s="119">
        <v>18</v>
      </c>
      <c r="P22" s="120">
        <v>0</v>
      </c>
      <c r="Q22" s="431" t="str">
        <f>IF(COUNTBLANK($O$16:$P$16),"",IF($O$17="lose",$Q$16,$M$16))</f>
        <v>Roberta G.</v>
      </c>
      <c r="R22" s="431" t="str">
        <f>IF(COUNTBLANK($O$16:$P$16),"",IF($O$17="lose",$R$16,$N$16))</f>
        <v>Bella</v>
      </c>
      <c r="V22" s="66"/>
      <c r="W22" s="66"/>
      <c r="X22" s="66"/>
      <c r="Y22" s="66"/>
    </row>
    <row r="23" spans="1:25">
      <c r="I23" s="2"/>
      <c r="J23" s="2"/>
      <c r="K23" s="2"/>
      <c r="M23" s="62" t="str">
        <f>IF(OR($O$22="",$P$22="",$O$23="win"),"",IF($M$24&gt;$N$24,$U$5,$U$6))</f>
        <v/>
      </c>
      <c r="N23" s="62" t="str">
        <f>IF(OR($O$22="",$P$22="",$O$23="win"),"",IF($M$24&lt;$N$24,$U$5,$U$6))</f>
        <v/>
      </c>
      <c r="O23" s="2" t="str">
        <f>IF(OR(O22="",P22=""),"",IF((O22&gt;P22),"WIN","LOSE"))</f>
        <v>WIN</v>
      </c>
      <c r="P23" s="2" t="str">
        <f>IF(OR(O22="",P22=""),"",IF((O22&lt;P22),"WIN","LOSE"))</f>
        <v>LOSE</v>
      </c>
      <c r="Q23" s="62" t="str">
        <f>IF($P$23="lose",$U$5,"")</f>
        <v>3rd</v>
      </c>
      <c r="R23" s="62" t="str">
        <f>IF($P$23="lose",$U$6,"")</f>
        <v>4th</v>
      </c>
      <c r="V23" s="66"/>
      <c r="W23" s="66"/>
      <c r="X23" s="66"/>
      <c r="Y23" s="66"/>
    </row>
    <row r="24" spans="1:25">
      <c r="I24" s="2"/>
      <c r="J24" s="2"/>
      <c r="K24" s="2"/>
      <c r="M24" s="61">
        <f>IF(M22="","",_xlfn.XLOOKUP(M22,$K$11:$K$22,$I$11:$I$22))</f>
        <v>2017049</v>
      </c>
      <c r="N24" s="61">
        <f>IF(N22="","",_xlfn.XLOOKUP(N22,$K$11:$K$22,$I$11:$I$22))</f>
        <v>2010053</v>
      </c>
      <c r="Q24" s="61">
        <f>IF(Q22="","",_xlfn.XLOOKUP(Q22,$K$11:$K$22,$I$11:$I$22))</f>
        <v>2003042</v>
      </c>
      <c r="R24" s="61">
        <f>IF(R22="","",_xlfn.XLOOKUP(R22,$K$11:$K$22,$I$11:$I$22))</f>
        <v>2000048</v>
      </c>
      <c r="V24" s="66"/>
      <c r="W24" s="66"/>
      <c r="X24" s="66"/>
      <c r="Y24" s="66"/>
    </row>
    <row r="25" spans="1:25">
      <c r="I25" s="2"/>
      <c r="J25" s="2"/>
      <c r="K25" s="2"/>
      <c r="V25" s="66"/>
      <c r="W25" s="66"/>
      <c r="X25" s="66"/>
      <c r="Y25" s="66"/>
    </row>
    <row r="26" spans="1:25">
      <c r="I26" s="2"/>
      <c r="J26" s="2"/>
      <c r="K26" s="2"/>
      <c r="V26" s="66"/>
      <c r="W26" s="66"/>
      <c r="X26" s="66"/>
      <c r="Y26" s="66"/>
    </row>
    <row r="27" spans="1:25" ht="30" thickBot="1">
      <c r="M27" s="548" t="s">
        <v>200</v>
      </c>
      <c r="N27" s="549"/>
      <c r="O27" s="549"/>
      <c r="P27" s="549"/>
      <c r="Q27" s="549"/>
      <c r="R27" s="549"/>
      <c r="V27" s="66"/>
      <c r="W27" s="66"/>
      <c r="X27" s="66"/>
      <c r="Y27" s="66"/>
    </row>
    <row r="28" spans="1:25" ht="15.95" thickBot="1">
      <c r="A28" s="123" t="s">
        <v>218</v>
      </c>
      <c r="B28" s="124">
        <v>45814</v>
      </c>
      <c r="M28" s="418" t="s">
        <v>193</v>
      </c>
      <c r="N28" s="418" t="s">
        <v>194</v>
      </c>
      <c r="O28" s="542" t="s">
        <v>195</v>
      </c>
      <c r="P28" s="543"/>
      <c r="Q28" s="418" t="s">
        <v>196</v>
      </c>
      <c r="R28" s="418" t="s">
        <v>197</v>
      </c>
      <c r="T28" s="66"/>
      <c r="U28" s="66"/>
      <c r="V28" s="66"/>
      <c r="W28" s="66"/>
      <c r="X28" s="66"/>
      <c r="Y28" s="66"/>
    </row>
    <row r="29" spans="1:25">
      <c r="M29" s="432" t="str">
        <f>IF(OR($O$22="",$P$22=""),"",IF($O$23="WIN",$M$22,$Q$22))</f>
        <v>Gabriela</v>
      </c>
      <c r="N29" s="121" t="str">
        <f>B20</f>
        <v>Bella</v>
      </c>
      <c r="O29" s="119">
        <v>0</v>
      </c>
      <c r="P29" s="119">
        <v>18</v>
      </c>
      <c r="Q29" s="432" t="str">
        <f>IF(OR($O$22="",$P$22=""),"",IF($O$23="WIN",$N$22,$R$22))</f>
        <v>Fiorella</v>
      </c>
      <c r="R29" s="122" t="str">
        <f>B14</f>
        <v>Roberta G.</v>
      </c>
      <c r="T29" s="66"/>
      <c r="U29" s="66"/>
      <c r="V29" s="66"/>
      <c r="W29" s="66"/>
      <c r="X29" s="66"/>
      <c r="Y29" s="66"/>
    </row>
    <row r="30" spans="1:25">
      <c r="M30" s="18" t="str">
        <f>IF(OR($O$29="",$P$29=""),"",IF($O$30="win",$U$3,$U$4))</f>
        <v>2nd</v>
      </c>
      <c r="O30" s="2" t="str">
        <f>IF(OR(O29="",P29=""),"",IF((O29&gt;P29),"WIN","LOSE"))</f>
        <v>LOSE</v>
      </c>
      <c r="P30" s="2" t="str">
        <f>IF(OR(O29="",P29=""),"",IF((O29&lt;P29),"WIN","LOSE"))</f>
        <v>WIN</v>
      </c>
      <c r="Q30" s="18" t="str">
        <f>IF(OR($O$29="",$P$29=""),"",IF($P$30="win",$U$3,$U$4))</f>
        <v>1st</v>
      </c>
      <c r="T30" s="66"/>
      <c r="U30" s="66"/>
      <c r="V30" s="66"/>
      <c r="W30" s="66"/>
      <c r="X30" s="66"/>
      <c r="Y30" s="66"/>
    </row>
    <row r="31" spans="1:25">
      <c r="T31" s="66"/>
      <c r="U31" s="66"/>
      <c r="V31" s="66"/>
      <c r="W31" s="66"/>
      <c r="X31" s="66"/>
      <c r="Y31" s="66"/>
    </row>
  </sheetData>
  <sheetProtection algorithmName="SHA-512" hashValue="DLUTToKMM0WA2zQW8IkG8XGhNghhcgqu0afxUOYFC7gsxK5dOYlITr8KPNS6b8LMKkqdHYeTzz7gTX2WHnxicg==" saltValue="NgzlJb2THetBUVb0fiJ/DQ==" spinCount="100000" sheet="1" objects="1" scenarios="1"/>
  <mergeCells count="10">
    <mergeCell ref="T1:U1"/>
    <mergeCell ref="A9:G9"/>
    <mergeCell ref="M9:R9"/>
    <mergeCell ref="O10:P10"/>
    <mergeCell ref="O15:P15"/>
    <mergeCell ref="M20:R20"/>
    <mergeCell ref="O21:P21"/>
    <mergeCell ref="M27:R27"/>
    <mergeCell ref="O28:P28"/>
    <mergeCell ref="A1:A7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E286-D1BE-C740-AEBF-3124FD460306}">
  <sheetPr codeName="Sheet6"/>
  <dimension ref="A1:AA56"/>
  <sheetViews>
    <sheetView workbookViewId="0">
      <selection sqref="A1:A12"/>
    </sheetView>
    <sheetView workbookViewId="1">
      <selection sqref="A1:A12"/>
    </sheetView>
  </sheetViews>
  <sheetFormatPr defaultColWidth="8.85546875" defaultRowHeight="15"/>
  <cols>
    <col min="1" max="1" width="9.7109375" customWidth="1"/>
    <col min="2" max="4" width="20" customWidth="1"/>
    <col min="5" max="6" width="9.7109375" customWidth="1"/>
    <col min="7" max="7" width="20" customWidth="1"/>
    <col min="8" max="8" width="20" hidden="1" customWidth="1"/>
    <col min="9" max="9" width="12" hidden="1" customWidth="1"/>
    <col min="10" max="10" width="10.7109375" hidden="1" customWidth="1"/>
    <col min="11" max="11" width="8" hidden="1" customWidth="1"/>
    <col min="12" max="12" width="20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20" customWidth="1"/>
    <col min="21" max="22" width="9.7109375" bestFit="1" customWidth="1"/>
  </cols>
  <sheetData>
    <row r="1" spans="1:21" ht="15" customHeight="1">
      <c r="A1" s="551" t="s">
        <v>223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224</v>
      </c>
      <c r="U1" s="545"/>
    </row>
    <row r="2" spans="1:21" ht="15" customHeight="1">
      <c r="A2" s="551"/>
      <c r="B2" s="13" t="s">
        <v>178</v>
      </c>
      <c r="C2" s="1" t="str">
        <f>$B$25</f>
        <v>Zak</v>
      </c>
      <c r="D2" s="32" t="str">
        <f>$B$28</f>
        <v>Jerry</v>
      </c>
      <c r="E2" s="146">
        <v>18</v>
      </c>
      <c r="F2" s="116">
        <v>15</v>
      </c>
      <c r="G2" s="31" t="str">
        <f>$B$26</f>
        <v>Rafael</v>
      </c>
      <c r="H2" s="63"/>
      <c r="I2" s="63"/>
      <c r="J2" s="63"/>
      <c r="K2" s="63"/>
      <c r="L2" s="16" t="str">
        <f>$B$27</f>
        <v>Amit H.</v>
      </c>
      <c r="M2" s="13">
        <f>IF(OR(Games_45056[[#This Row],[SCORE 1]]="",Games_45056[[#This Row],[SCORE 2]]=""),"",Games_45056[[#This Row],[SCORE 1]]-Games_45056[[#This Row],[SCORE 2]])</f>
        <v>3</v>
      </c>
      <c r="N2" s="13">
        <f>IF(OR(Games_45056[[#This Row],[SCORE 1]]="",Games_45056[[#This Row],[SCORE 2]]=""),"",Games_45056[[#This Row],[SCORE 2]]-Games_45056[[#This Row],[SCORE 1]])</f>
        <v>-3</v>
      </c>
      <c r="O2" s="13">
        <f>IF(Games_45056[[#This Row],[SCORE 1]]="","",Games_45056[[#This Row],[SCORE 1]])</f>
        <v>18</v>
      </c>
      <c r="P2" s="13">
        <f>IF(Games_45056[[#This Row],[SCORE 2]]="","",Games_45056[[#This Row],[SCORE 2]])</f>
        <v>15</v>
      </c>
      <c r="Q2" s="13" t="str">
        <f>IF(OR(Games_45056[[#This Row],[SCORE 1]]="",Games_45056[[#This Row],[SCORE 2]]=""),"",IF(Games_45056[[#This Row],[SALDO 12]]&gt;0, "WIN","LOSE"))</f>
        <v>WIN</v>
      </c>
      <c r="R2" s="13" t="str">
        <f>IF(OR(Games_45056[[#This Row],[SCORE 1]]="",Games_45056[[#This Row],[SCORE 2]]=""),"",IF(Games_45056[[#This Row],[SALDO 34]]&gt;0, "WIN","LOSE"))</f>
        <v>LOSE</v>
      </c>
      <c r="T2" s="35" t="s">
        <v>179</v>
      </c>
      <c r="U2" s="35" t="s">
        <v>8</v>
      </c>
    </row>
    <row r="3" spans="1:21">
      <c r="A3" s="551"/>
      <c r="B3" s="13" t="s">
        <v>180</v>
      </c>
      <c r="C3" s="1" t="str">
        <f>$B$32</f>
        <v>Jovan</v>
      </c>
      <c r="D3" s="32" t="str">
        <f>$B$35</f>
        <v>Matheus L.</v>
      </c>
      <c r="E3" s="146">
        <v>18</v>
      </c>
      <c r="F3" s="116">
        <v>6</v>
      </c>
      <c r="G3" s="31" t="str">
        <f>$B$33</f>
        <v>Guti</v>
      </c>
      <c r="H3" s="63"/>
      <c r="I3" s="63"/>
      <c r="J3" s="63"/>
      <c r="K3" s="63"/>
      <c r="L3" s="16" t="str">
        <f>$B$34</f>
        <v>Tizoc</v>
      </c>
      <c r="M3" s="13">
        <f>IF(OR(Games_45056[[#This Row],[SCORE 1]]="",Games_45056[[#This Row],[SCORE 2]]=""),"",Games_45056[[#This Row],[SCORE 1]]-Games_45056[[#This Row],[SCORE 2]])</f>
        <v>12</v>
      </c>
      <c r="N3" s="13">
        <f>IF(OR(Games_45056[[#This Row],[SCORE 1]]="",Games_45056[[#This Row],[SCORE 2]]=""),"",Games_45056[[#This Row],[SCORE 2]]-Games_45056[[#This Row],[SCORE 1]])</f>
        <v>-12</v>
      </c>
      <c r="O3" s="13">
        <f>IF(Games_45056[[#This Row],[SCORE 1]]="","",Games_45056[[#This Row],[SCORE 1]])</f>
        <v>18</v>
      </c>
      <c r="P3" s="13">
        <f>IF(Games_45056[[#This Row],[SCORE 2]]="","",Games_45056[[#This Row],[SCORE 2]])</f>
        <v>6</v>
      </c>
      <c r="Q3" s="13" t="str">
        <f>IF(OR(Games_45056[[#This Row],[SCORE 1]]="",Games_45056[[#This Row],[SCORE 2]]=""),"",IF(Games_45056[[#This Row],[SALDO 12]]&gt;0, "WIN","LOSE"))</f>
        <v>WIN</v>
      </c>
      <c r="R3" s="13" t="str">
        <f>IF(OR(Games_45056[[#This Row],[SCORE 1]]="",Games_45056[[#This Row],[SCORE 2]]=""),"",IF(Games_45056[[#This Row],[SALDO 34]]&gt;0, "WIN","LOSE"))</f>
        <v>LOSE</v>
      </c>
      <c r="T3" s="66" t="str">
        <f>_xlfn.XLOOKUP(Table1520283250607293215359[[#This Row],[Rank]],$M$44:$R$44,$M$43:$R$43,"")</f>
        <v>Matheus L.</v>
      </c>
      <c r="U3" s="67" t="s">
        <v>19</v>
      </c>
    </row>
    <row r="4" spans="1:21">
      <c r="A4" s="551"/>
      <c r="B4" s="13" t="s">
        <v>181</v>
      </c>
      <c r="C4" s="1" t="str">
        <f>$B$39</f>
        <v>Rannyere</v>
      </c>
      <c r="D4" s="32" t="str">
        <f>$B$42</f>
        <v>Luka</v>
      </c>
      <c r="E4" s="146">
        <v>14</v>
      </c>
      <c r="F4" s="116">
        <v>18</v>
      </c>
      <c r="G4" s="31" t="str">
        <f>$B$40</f>
        <v>Felipe Romanelli</v>
      </c>
      <c r="H4" s="63"/>
      <c r="I4" s="63"/>
      <c r="J4" s="63"/>
      <c r="K4" s="63"/>
      <c r="L4" s="16" t="str">
        <f>$B$41</f>
        <v>Matheus T.</v>
      </c>
      <c r="M4" s="13">
        <f>IF(OR(Games_45056[[#This Row],[SCORE 1]]="",Games_45056[[#This Row],[SCORE 2]]=""),"",Games_45056[[#This Row],[SCORE 1]]-Games_45056[[#This Row],[SCORE 2]])</f>
        <v>-4</v>
      </c>
      <c r="N4" s="13">
        <f>IF(OR(Games_45056[[#This Row],[SCORE 1]]="",Games_45056[[#This Row],[SCORE 2]]=""),"",Games_45056[[#This Row],[SCORE 2]]-Games_45056[[#This Row],[SCORE 1]])</f>
        <v>4</v>
      </c>
      <c r="O4" s="13">
        <f>IF(Games_45056[[#This Row],[SCORE 1]]="","",Games_45056[[#This Row],[SCORE 1]])</f>
        <v>14</v>
      </c>
      <c r="P4" s="13">
        <f>IF(Games_45056[[#This Row],[SCORE 2]]="","",Games_45056[[#This Row],[SCORE 2]])</f>
        <v>18</v>
      </c>
      <c r="Q4" s="13" t="str">
        <f>IF(OR(Games_45056[[#This Row],[SCORE 1]]="",Games_45056[[#This Row],[SCORE 2]]=""),"",IF(Games_45056[[#This Row],[SALDO 12]]&gt;0, "WIN","LOSE"))</f>
        <v>LOSE</v>
      </c>
      <c r="R4" s="13" t="str">
        <f>IF(OR(Games_45056[[#This Row],[SCORE 1]]="",Games_45056[[#This Row],[SCORE 2]]=""),"",IF(Games_45056[[#This Row],[SALDO 34]]&gt;0, "WIN","LOSE"))</f>
        <v>WIN</v>
      </c>
      <c r="T4" s="66" t="str">
        <f>_xlfn.XLOOKUP(Table1520283250607293215359[[#This Row],[Rank]],$M$44:$R$44,$M$43:$R$43,"")</f>
        <v>Luiz Zuneda</v>
      </c>
      <c r="U4" s="67" t="s">
        <v>22</v>
      </c>
    </row>
    <row r="5" spans="1:21">
      <c r="A5" s="551"/>
      <c r="B5" s="13" t="s">
        <v>225</v>
      </c>
      <c r="C5" s="1" t="str">
        <f>$B$46</f>
        <v>Deko (Couto)</v>
      </c>
      <c r="D5" s="32" t="str">
        <f>$B$49</f>
        <v>Pedro Itajai</v>
      </c>
      <c r="E5" s="146">
        <v>18</v>
      </c>
      <c r="F5" s="116">
        <v>13</v>
      </c>
      <c r="G5" s="31" t="str">
        <f>$B$47</f>
        <v>Fernando Fabricio (Furby)</v>
      </c>
      <c r="H5" s="63"/>
      <c r="I5" s="63"/>
      <c r="J5" s="63"/>
      <c r="K5" s="63"/>
      <c r="L5" s="16" t="str">
        <f>$B$48</f>
        <v>Leozinho</v>
      </c>
      <c r="M5" s="13">
        <f>IF(OR(Games_45056[[#This Row],[SCORE 1]]="",Games_45056[[#This Row],[SCORE 2]]=""),"",Games_45056[[#This Row],[SCORE 1]]-Games_45056[[#This Row],[SCORE 2]])</f>
        <v>5</v>
      </c>
      <c r="N5" s="13">
        <f>IF(OR(Games_45056[[#This Row],[SCORE 1]]="",Games_45056[[#This Row],[SCORE 2]]=""),"",Games_45056[[#This Row],[SCORE 2]]-Games_45056[[#This Row],[SCORE 1]])</f>
        <v>-5</v>
      </c>
      <c r="O5" s="13">
        <f>IF(Games_45056[[#This Row],[SCORE 1]]="","",Games_45056[[#This Row],[SCORE 1]])</f>
        <v>18</v>
      </c>
      <c r="P5" s="13">
        <f>IF(Games_45056[[#This Row],[SCORE 2]]="","",Games_45056[[#This Row],[SCORE 2]])</f>
        <v>13</v>
      </c>
      <c r="Q5" s="13" t="str">
        <f>IF(OR(Games_45056[[#This Row],[SCORE 1]]="",Games_45056[[#This Row],[SCORE 2]]=""),"",IF(Games_45056[[#This Row],[SALDO 12]]&gt;0, "WIN","LOSE"))</f>
        <v>WIN</v>
      </c>
      <c r="R5" s="13" t="str">
        <f>IF(OR(Games_45056[[#This Row],[SCORE 1]]="",Games_45056[[#This Row],[SCORE 2]]=""),"",IF(Games_45056[[#This Row],[SALDO 34]]&gt;0, "WIN","LOSE"))</f>
        <v>LOSE</v>
      </c>
      <c r="T5" s="66" t="str">
        <f>_xlfn.XLOOKUP(Table1520283250607293215359[[#This Row],[Rank]],$M$37:$R$37,$M$36:$R$36,"")</f>
        <v>Bebeto</v>
      </c>
      <c r="U5" s="67" t="s">
        <v>25</v>
      </c>
    </row>
    <row r="6" spans="1:21">
      <c r="A6" s="551"/>
      <c r="B6" s="13" t="s">
        <v>178</v>
      </c>
      <c r="C6" s="1" t="str">
        <f>$B$25</f>
        <v>Zak</v>
      </c>
      <c r="D6" s="32" t="str">
        <f>$B$27</f>
        <v>Amit H.</v>
      </c>
      <c r="E6" s="146">
        <v>18</v>
      </c>
      <c r="F6" s="116">
        <v>4</v>
      </c>
      <c r="G6" s="31" t="str">
        <f>$B$26</f>
        <v>Rafael</v>
      </c>
      <c r="H6" s="63"/>
      <c r="I6" s="63"/>
      <c r="J6" s="63"/>
      <c r="K6" s="63"/>
      <c r="L6" s="16" t="str">
        <f>$B$29</f>
        <v>Bruno C.</v>
      </c>
      <c r="M6" s="13">
        <f>IF(OR(Games_45056[[#This Row],[SCORE 1]]="",Games_45056[[#This Row],[SCORE 2]]=""),"",Games_45056[[#This Row],[SCORE 1]]-Games_45056[[#This Row],[SCORE 2]])</f>
        <v>14</v>
      </c>
      <c r="N6" s="13">
        <f>IF(OR(Games_45056[[#This Row],[SCORE 1]]="",Games_45056[[#This Row],[SCORE 2]]=""),"",Games_45056[[#This Row],[SCORE 2]]-Games_45056[[#This Row],[SCORE 1]])</f>
        <v>-14</v>
      </c>
      <c r="O6" s="13">
        <f>IF(Games_45056[[#This Row],[SCORE 1]]="","",Games_45056[[#This Row],[SCORE 1]])</f>
        <v>18</v>
      </c>
      <c r="P6" s="13">
        <f>IF(Games_45056[[#This Row],[SCORE 2]]="","",Games_45056[[#This Row],[SCORE 2]])</f>
        <v>4</v>
      </c>
      <c r="Q6" s="13" t="str">
        <f>IF(OR(Games_45056[[#This Row],[SCORE 1]]="",Games_45056[[#This Row],[SCORE 2]]=""),"",IF(Games_45056[[#This Row],[SALDO 12]]&gt;0, "WIN","LOSE"))</f>
        <v>WIN</v>
      </c>
      <c r="R6" s="13" t="str">
        <f>IF(OR(Games_45056[[#This Row],[SCORE 1]]="",Games_45056[[#This Row],[SCORE 2]]=""),"",IF(Games_45056[[#This Row],[SALDO 34]]&gt;0, "WIN","LOSE"))</f>
        <v>LOSE</v>
      </c>
      <c r="T6" s="66" t="str">
        <f>_xlfn.XLOOKUP(Table1520283250607293215359[[#This Row],[Rank]],$M$37:$R$37,$M$36:$R$36,"")</f>
        <v>Marcelo</v>
      </c>
      <c r="U6" s="67" t="s">
        <v>28</v>
      </c>
    </row>
    <row r="7" spans="1:21">
      <c r="A7" s="551"/>
      <c r="B7" s="13" t="s">
        <v>180</v>
      </c>
      <c r="C7" s="1" t="str">
        <f>$B$32</f>
        <v>Jovan</v>
      </c>
      <c r="D7" s="32" t="str">
        <f>$B$34</f>
        <v>Tizoc</v>
      </c>
      <c r="E7" s="146">
        <v>8</v>
      </c>
      <c r="F7" s="116">
        <v>18</v>
      </c>
      <c r="G7" s="31" t="str">
        <f>$B$33</f>
        <v>Guti</v>
      </c>
      <c r="H7" s="63"/>
      <c r="I7" s="63"/>
      <c r="J7" s="63"/>
      <c r="K7" s="63"/>
      <c r="L7" s="16" t="str">
        <f>$B$36</f>
        <v>Marcelo</v>
      </c>
      <c r="M7" s="13">
        <f>IF(OR(Games_45056[[#This Row],[SCORE 1]]="",Games_45056[[#This Row],[SCORE 2]]=""),"",Games_45056[[#This Row],[SCORE 1]]-Games_45056[[#This Row],[SCORE 2]])</f>
        <v>-10</v>
      </c>
      <c r="N7" s="13">
        <f>IF(OR(Games_45056[[#This Row],[SCORE 1]]="",Games_45056[[#This Row],[SCORE 2]]=""),"",Games_45056[[#This Row],[SCORE 2]]-Games_45056[[#This Row],[SCORE 1]])</f>
        <v>10</v>
      </c>
      <c r="O7" s="13">
        <f>IF(Games_45056[[#This Row],[SCORE 1]]="","",Games_45056[[#This Row],[SCORE 1]])</f>
        <v>8</v>
      </c>
      <c r="P7" s="13">
        <f>IF(Games_45056[[#This Row],[SCORE 2]]="","",Games_45056[[#This Row],[SCORE 2]])</f>
        <v>18</v>
      </c>
      <c r="Q7" s="13" t="str">
        <f>IF(OR(Games_45056[[#This Row],[SCORE 1]]="",Games_45056[[#This Row],[SCORE 2]]=""),"",IF(Games_45056[[#This Row],[SALDO 12]]&gt;0, "WIN","LOSE"))</f>
        <v>LOSE</v>
      </c>
      <c r="R7" s="13" t="str">
        <f>IF(OR(Games_45056[[#This Row],[SCORE 1]]="",Games_45056[[#This Row],[SCORE 2]]=""),"",IF(Games_45056[[#This Row],[SALDO 34]]&gt;0, "WIN","LOSE"))</f>
        <v>WIN</v>
      </c>
      <c r="T7" s="66" t="str" cm="1">
        <f t="array" ref="T7">_xlfn.TEXTJOIN(", ", TRUE, _xlfn._xlws.FILTER($T$35:$W$35, $T$34:$W$34=U7,""))</f>
        <v>Zak</v>
      </c>
      <c r="U7" s="67" t="s">
        <v>31</v>
      </c>
    </row>
    <row r="8" spans="1:21">
      <c r="A8" s="551"/>
      <c r="B8" s="13" t="s">
        <v>181</v>
      </c>
      <c r="C8" s="1" t="str">
        <f>$B$39</f>
        <v>Rannyere</v>
      </c>
      <c r="D8" s="32" t="str">
        <f>$B$41</f>
        <v>Matheus T.</v>
      </c>
      <c r="E8" s="146">
        <v>13</v>
      </c>
      <c r="F8" s="116">
        <v>18</v>
      </c>
      <c r="G8" s="31" t="str">
        <f>$B$40</f>
        <v>Felipe Romanelli</v>
      </c>
      <c r="H8" s="63"/>
      <c r="I8" s="63"/>
      <c r="J8" s="63"/>
      <c r="K8" s="63"/>
      <c r="L8" s="16" t="str">
        <f>$B$43</f>
        <v>Bebeto</v>
      </c>
      <c r="M8" s="13">
        <f>IF(OR(Games_45056[[#This Row],[SCORE 1]]="",Games_45056[[#This Row],[SCORE 2]]=""),"",Games_45056[[#This Row],[SCORE 1]]-Games_45056[[#This Row],[SCORE 2]])</f>
        <v>-5</v>
      </c>
      <c r="N8" s="13">
        <f>IF(OR(Games_45056[[#This Row],[SCORE 1]]="",Games_45056[[#This Row],[SCORE 2]]=""),"",Games_45056[[#This Row],[SCORE 2]]-Games_45056[[#This Row],[SCORE 1]])</f>
        <v>5</v>
      </c>
      <c r="O8" s="13">
        <f>IF(Games_45056[[#This Row],[SCORE 1]]="","",Games_45056[[#This Row],[SCORE 1]])</f>
        <v>13</v>
      </c>
      <c r="P8" s="13">
        <f>IF(Games_45056[[#This Row],[SCORE 2]]="","",Games_45056[[#This Row],[SCORE 2]])</f>
        <v>18</v>
      </c>
      <c r="Q8" s="13" t="str">
        <f>IF(OR(Games_45056[[#This Row],[SCORE 1]]="",Games_45056[[#This Row],[SCORE 2]]=""),"",IF(Games_45056[[#This Row],[SALDO 12]]&gt;0, "WIN","LOSE"))</f>
        <v>LOSE</v>
      </c>
      <c r="R8" s="13" t="str">
        <f>IF(OR(Games_45056[[#This Row],[SCORE 1]]="",Games_45056[[#This Row],[SCORE 2]]=""),"",IF(Games_45056[[#This Row],[SALDO 34]]&gt;0, "WIN","LOSE"))</f>
        <v>WIN</v>
      </c>
      <c r="T8" s="66" t="str" cm="1">
        <f t="array" ref="T8">_xlfn.TEXTJOIN(", ", TRUE, _xlfn._xlws.FILTER($T$35:$W$35, $T$34:$W$34=U8,""))</f>
        <v>Matheus T.</v>
      </c>
      <c r="U8" s="67" t="s">
        <v>34</v>
      </c>
    </row>
    <row r="9" spans="1:21">
      <c r="A9" s="551"/>
      <c r="B9" s="13" t="s">
        <v>225</v>
      </c>
      <c r="C9" s="1" t="str">
        <f>$B$46</f>
        <v>Deko (Couto)</v>
      </c>
      <c r="D9" s="32" t="str">
        <f>$B$48</f>
        <v>Leozinho</v>
      </c>
      <c r="E9" s="146">
        <v>12</v>
      </c>
      <c r="F9" s="116">
        <v>18</v>
      </c>
      <c r="G9" s="31" t="str">
        <f>$B$47</f>
        <v>Fernando Fabricio (Furby)</v>
      </c>
      <c r="H9" s="63"/>
      <c r="I9" s="63"/>
      <c r="J9" s="63"/>
      <c r="K9" s="63"/>
      <c r="L9" s="16" t="str">
        <f>$B$50</f>
        <v>Luiz Zuneda</v>
      </c>
      <c r="M9" s="13">
        <f>IF(OR(Games_45056[[#This Row],[SCORE 1]]="",Games_45056[[#This Row],[SCORE 2]]=""),"",Games_45056[[#This Row],[SCORE 1]]-Games_45056[[#This Row],[SCORE 2]])</f>
        <v>-6</v>
      </c>
      <c r="N9" s="13">
        <f>IF(OR(Games_45056[[#This Row],[SCORE 1]]="",Games_45056[[#This Row],[SCORE 2]]=""),"",Games_45056[[#This Row],[SCORE 2]]-Games_45056[[#This Row],[SCORE 1]])</f>
        <v>6</v>
      </c>
      <c r="O9" s="13">
        <f>IF(Games_45056[[#This Row],[SCORE 1]]="","",Games_45056[[#This Row],[SCORE 1]])</f>
        <v>12</v>
      </c>
      <c r="P9" s="13">
        <f>IF(Games_45056[[#This Row],[SCORE 2]]="","",Games_45056[[#This Row],[SCORE 2]])</f>
        <v>18</v>
      </c>
      <c r="Q9" s="13" t="str">
        <f>IF(OR(Games_45056[[#This Row],[SCORE 1]]="",Games_45056[[#This Row],[SCORE 2]]=""),"",IF(Games_45056[[#This Row],[SALDO 12]]&gt;0, "WIN","LOSE"))</f>
        <v>LOSE</v>
      </c>
      <c r="R9" s="13" t="str">
        <f>IF(OR(Games_45056[[#This Row],[SCORE 1]]="",Games_45056[[#This Row],[SCORE 2]]=""),"",IF(Games_45056[[#This Row],[SALDO 34]]&gt;0, "WIN","LOSE"))</f>
        <v>WIN</v>
      </c>
      <c r="T9" s="66" t="str" cm="1">
        <f t="array" ref="T9">_xlfn.TEXTJOIN(", ", TRUE, _xlfn._xlws.FILTER($T$35:$W$35, $T$34:$W$34=U9,""))</f>
        <v>Jerry</v>
      </c>
      <c r="U9" s="67" t="s">
        <v>37</v>
      </c>
    </row>
    <row r="10" spans="1:21">
      <c r="A10" s="551"/>
      <c r="B10" s="13" t="s">
        <v>178</v>
      </c>
      <c r="C10" s="1" t="str">
        <f>$B$25</f>
        <v>Zak</v>
      </c>
      <c r="D10" s="32" t="str">
        <f>$B$26</f>
        <v>Rafael</v>
      </c>
      <c r="E10" s="146">
        <v>18</v>
      </c>
      <c r="F10" s="116">
        <v>14</v>
      </c>
      <c r="G10" s="31" t="str">
        <f>$B$28</f>
        <v>Jerry</v>
      </c>
      <c r="H10" s="63"/>
      <c r="I10" s="63"/>
      <c r="J10" s="63"/>
      <c r="K10" s="63"/>
      <c r="L10" s="16" t="str">
        <f>$B$29</f>
        <v>Bruno C.</v>
      </c>
      <c r="M10" s="13">
        <f>IF(OR(Games_45056[[#This Row],[SCORE 1]]="",Games_45056[[#This Row],[SCORE 2]]=""),"",Games_45056[[#This Row],[SCORE 1]]-Games_45056[[#This Row],[SCORE 2]])</f>
        <v>4</v>
      </c>
      <c r="N10" s="13">
        <f>IF(OR(Games_45056[[#This Row],[SCORE 1]]="",Games_45056[[#This Row],[SCORE 2]]=""),"",Games_45056[[#This Row],[SCORE 2]]-Games_45056[[#This Row],[SCORE 1]])</f>
        <v>-4</v>
      </c>
      <c r="O10" s="13">
        <f>IF(Games_45056[[#This Row],[SCORE 1]]="","",Games_45056[[#This Row],[SCORE 1]])</f>
        <v>18</v>
      </c>
      <c r="P10" s="13">
        <f>IF(Games_45056[[#This Row],[SCORE 2]]="","",Games_45056[[#This Row],[SCORE 2]])</f>
        <v>14</v>
      </c>
      <c r="Q10" s="13" t="str">
        <f>IF(OR(Games_45056[[#This Row],[SCORE 1]]="",Games_45056[[#This Row],[SCORE 2]]=""),"",IF(Games_45056[[#This Row],[SALDO 12]]&gt;0, "WIN","LOSE"))</f>
        <v>WIN</v>
      </c>
      <c r="R10" s="13" t="str">
        <f>IF(OR(Games_45056[[#This Row],[SCORE 1]]="",Games_45056[[#This Row],[SCORE 2]]=""),"",IF(Games_45056[[#This Row],[SALDO 34]]&gt;0, "WIN","LOSE"))</f>
        <v>LOSE</v>
      </c>
      <c r="T10" s="66" t="str" cm="1">
        <f t="array" ref="T10">_xlfn.TEXTJOIN(", ", TRUE, _xlfn._xlws.FILTER($T$35:$W$35, $T$34:$W$34=U10,""))</f>
        <v>Pedro Itajai</v>
      </c>
      <c r="U10" s="67" t="s">
        <v>41</v>
      </c>
    </row>
    <row r="11" spans="1:21">
      <c r="A11" s="551"/>
      <c r="B11" s="13" t="s">
        <v>180</v>
      </c>
      <c r="C11" s="1" t="str">
        <f>$B$32</f>
        <v>Jovan</v>
      </c>
      <c r="D11" s="32" t="str">
        <f>$B$33</f>
        <v>Guti</v>
      </c>
      <c r="E11" s="146">
        <v>11</v>
      </c>
      <c r="F11" s="116">
        <v>18</v>
      </c>
      <c r="G11" s="31" t="str">
        <f>$B$35</f>
        <v>Matheus L.</v>
      </c>
      <c r="H11" s="63"/>
      <c r="I11" s="63"/>
      <c r="J11" s="63"/>
      <c r="K11" s="63"/>
      <c r="L11" s="16" t="str">
        <f>$B$36</f>
        <v>Marcelo</v>
      </c>
      <c r="M11" s="13">
        <f>IF(OR(Games_45056[[#This Row],[SCORE 1]]="",Games_45056[[#This Row],[SCORE 2]]=""),"",Games_45056[[#This Row],[SCORE 1]]-Games_45056[[#This Row],[SCORE 2]])</f>
        <v>-7</v>
      </c>
      <c r="N11" s="13">
        <f>IF(OR(Games_45056[[#This Row],[SCORE 1]]="",Games_45056[[#This Row],[SCORE 2]]=""),"",Games_45056[[#This Row],[SCORE 2]]-Games_45056[[#This Row],[SCORE 1]])</f>
        <v>7</v>
      </c>
      <c r="O11" s="13">
        <f>IF(Games_45056[[#This Row],[SCORE 1]]="","",Games_45056[[#This Row],[SCORE 1]])</f>
        <v>11</v>
      </c>
      <c r="P11" s="13">
        <f>IF(Games_45056[[#This Row],[SCORE 2]]="","",Games_45056[[#This Row],[SCORE 2]])</f>
        <v>18</v>
      </c>
      <c r="Q11" s="13" t="str">
        <f>IF(OR(Games_45056[[#This Row],[SCORE 1]]="",Games_45056[[#This Row],[SCORE 2]]=""),"",IF(Games_45056[[#This Row],[SALDO 12]]&gt;0, "WIN","LOSE"))</f>
        <v>LOSE</v>
      </c>
      <c r="R11" s="13" t="str">
        <f>IF(OR(Games_45056[[#This Row],[SCORE 1]]="",Games_45056[[#This Row],[SCORE 2]]=""),"",IF(Games_45056[[#This Row],[SALDO 34]]&gt;0, "WIN","LOSE"))</f>
        <v>WIN</v>
      </c>
      <c r="T11" s="17" t="str">
        <f>B42</f>
        <v>Luka</v>
      </c>
      <c r="U11" s="67" t="s">
        <v>44</v>
      </c>
    </row>
    <row r="12" spans="1:21">
      <c r="A12" s="551"/>
      <c r="B12" s="13" t="s">
        <v>181</v>
      </c>
      <c r="C12" s="1" t="str">
        <f>$B$39</f>
        <v>Rannyere</v>
      </c>
      <c r="D12" s="32" t="str">
        <f>$B$40</f>
        <v>Felipe Romanelli</v>
      </c>
      <c r="E12" s="146">
        <v>13</v>
      </c>
      <c r="F12" s="116">
        <v>18</v>
      </c>
      <c r="G12" s="31" t="str">
        <f>$B$42</f>
        <v>Luka</v>
      </c>
      <c r="H12" s="63"/>
      <c r="I12" s="63"/>
      <c r="J12" s="63"/>
      <c r="K12" s="63"/>
      <c r="L12" s="16" t="str">
        <f>$B$43</f>
        <v>Bebeto</v>
      </c>
      <c r="M12" s="13">
        <f>IF(OR(Games_45056[[#This Row],[SCORE 1]]="",Games_45056[[#This Row],[SCORE 2]]=""),"",Games_45056[[#This Row],[SCORE 1]]-Games_45056[[#This Row],[SCORE 2]])</f>
        <v>-5</v>
      </c>
      <c r="N12" s="13">
        <f>IF(OR(Games_45056[[#This Row],[SCORE 1]]="",Games_45056[[#This Row],[SCORE 2]]=""),"",Games_45056[[#This Row],[SCORE 2]]-Games_45056[[#This Row],[SCORE 1]])</f>
        <v>5</v>
      </c>
      <c r="O12" s="13">
        <f>IF(Games_45056[[#This Row],[SCORE 1]]="","",Games_45056[[#This Row],[SCORE 1]])</f>
        <v>13</v>
      </c>
      <c r="P12" s="13">
        <f>IF(Games_45056[[#This Row],[SCORE 2]]="","",Games_45056[[#This Row],[SCORE 2]])</f>
        <v>18</v>
      </c>
      <c r="Q12" s="13" t="str">
        <f>IF(OR(Games_45056[[#This Row],[SCORE 1]]="",Games_45056[[#This Row],[SCORE 2]]=""),"",IF(Games_45056[[#This Row],[SALDO 12]]&gt;0, "WIN","LOSE"))</f>
        <v>LOSE</v>
      </c>
      <c r="R12" s="13" t="str">
        <f>IF(OR(Games_45056[[#This Row],[SCORE 1]]="",Games_45056[[#This Row],[SCORE 2]]=""),"",IF(Games_45056[[#This Row],[SALDO 34]]&gt;0, "WIN","LOSE"))</f>
        <v>WIN</v>
      </c>
      <c r="T12" s="66" t="str" cm="1">
        <f t="array" ref="T12">IF(COUNTBLANK(Games_45056[[SCORE 1]:[SCORE 2]])=0,_xlfn.TEXTJOIN(", ", TRUE, _xlfn._xlws.FILTER($K$25:$K$44, $J$25:$J$44=U12, "")),"")</f>
        <v>Felipe Romanelli</v>
      </c>
      <c r="U12" s="67" t="s">
        <v>39</v>
      </c>
    </row>
    <row r="13" spans="1:21">
      <c r="A13" s="423"/>
      <c r="B13" s="429" t="s">
        <v>225</v>
      </c>
      <c r="C13" s="1" t="str">
        <f>$B$46</f>
        <v>Deko (Couto)</v>
      </c>
      <c r="D13" s="32" t="str">
        <f>$B$47</f>
        <v>Fernando Fabricio (Furby)</v>
      </c>
      <c r="E13" s="146">
        <v>8</v>
      </c>
      <c r="F13" s="117">
        <v>18</v>
      </c>
      <c r="G13" s="31" t="str">
        <f>$B$49</f>
        <v>Pedro Itajai</v>
      </c>
      <c r="H13" s="63"/>
      <c r="I13" s="63"/>
      <c r="J13" s="63"/>
      <c r="K13" s="63"/>
      <c r="L13" s="16" t="str">
        <f>$B$50</f>
        <v>Luiz Zuneda</v>
      </c>
      <c r="M13" s="429">
        <f>IF(OR(Games_45056[[#This Row],[SCORE 1]]="",Games_45056[[#This Row],[SCORE 2]]=""),"",Games_45056[[#This Row],[SCORE 1]]-Games_45056[[#This Row],[SCORE 2]])</f>
        <v>-10</v>
      </c>
      <c r="N13" s="429">
        <f>IF(OR(Games_45056[[#This Row],[SCORE 1]]="",Games_45056[[#This Row],[SCORE 2]]=""),"",Games_45056[[#This Row],[SCORE 2]]-Games_45056[[#This Row],[SCORE 1]])</f>
        <v>10</v>
      </c>
      <c r="O13" s="429">
        <f>IF(Games_45056[[#This Row],[SCORE 1]]="","",Games_45056[[#This Row],[SCORE 1]])</f>
        <v>8</v>
      </c>
      <c r="P13" s="429">
        <f>IF(Games_45056[[#This Row],[SCORE 2]]="","",Games_45056[[#This Row],[SCORE 2]])</f>
        <v>18</v>
      </c>
      <c r="Q13" s="429" t="str">
        <f>IF(OR(Games_45056[[#This Row],[SCORE 1]]="",Games_45056[[#This Row],[SCORE 2]]=""),"",IF(Games_45056[[#This Row],[SALDO 12]]&gt;0, "WIN","LOSE"))</f>
        <v>LOSE</v>
      </c>
      <c r="R13" s="429" t="str">
        <f>IF(OR(Games_45056[[#This Row],[SCORE 1]]="",Games_45056[[#This Row],[SCORE 2]]=""),"",IF(Games_45056[[#This Row],[SALDO 34]]&gt;0, "WIN","LOSE"))</f>
        <v>WIN</v>
      </c>
      <c r="T13" s="66" t="str" cm="1">
        <f t="array" ref="T13">IF(COUNTBLANK(Games_45056[[SCORE 1]:[SCORE 2]])=0,_xlfn.TEXTJOIN(", ", TRUE, _xlfn._xlws.FILTER($K$25:$K$44, $J$25:$J$44=U13, "")),"")</f>
        <v>Guti</v>
      </c>
      <c r="U13" s="67" t="s">
        <v>49</v>
      </c>
    </row>
    <row r="14" spans="1:21">
      <c r="A14" s="423"/>
      <c r="B14" s="13" t="s">
        <v>178</v>
      </c>
      <c r="C14" s="1" t="str">
        <f>$B$25</f>
        <v>Zak</v>
      </c>
      <c r="D14" s="32" t="str">
        <f>$B$29</f>
        <v>Bruno C.</v>
      </c>
      <c r="E14" s="146">
        <v>18</v>
      </c>
      <c r="F14" s="116">
        <v>16</v>
      </c>
      <c r="G14" s="31" t="str">
        <f>$B$27</f>
        <v>Amit H.</v>
      </c>
      <c r="H14" s="63"/>
      <c r="I14" s="63"/>
      <c r="J14" s="63"/>
      <c r="K14" s="63"/>
      <c r="L14" s="16" t="str">
        <f>$B$28</f>
        <v>Jerry</v>
      </c>
      <c r="M14" s="13">
        <f>IF(OR(Games_45056[[#This Row],[SCORE 1]]="",Games_45056[[#This Row],[SCORE 2]]=""),"",Games_45056[[#This Row],[SCORE 1]]-Games_45056[[#This Row],[SCORE 2]])</f>
        <v>2</v>
      </c>
      <c r="N14" s="13">
        <f>IF(OR(Games_45056[[#This Row],[SCORE 1]]="",Games_45056[[#This Row],[SCORE 2]]=""),"",Games_45056[[#This Row],[SCORE 2]]-Games_45056[[#This Row],[SCORE 1]])</f>
        <v>-2</v>
      </c>
      <c r="O14" s="13">
        <f>IF(Games_45056[[#This Row],[SCORE 1]]="","",Games_45056[[#This Row],[SCORE 1]])</f>
        <v>18</v>
      </c>
      <c r="P14" s="13">
        <f>IF(Games_45056[[#This Row],[SCORE 2]]="","",Games_45056[[#This Row],[SCORE 2]])</f>
        <v>16</v>
      </c>
      <c r="Q14" s="13" t="str">
        <f>IF(OR(Games_45056[[#This Row],[SCORE 1]]="",Games_45056[[#This Row],[SCORE 2]]=""),"",IF(Games_45056[[#This Row],[SALDO 12]]&gt;0, "WIN","LOSE"))</f>
        <v>WIN</v>
      </c>
      <c r="R14" s="13" t="str">
        <f>IF(OR(Games_45056[[#This Row],[SCORE 1]]="",Games_45056[[#This Row],[SCORE 2]]=""),"",IF(Games_45056[[#This Row],[SALDO 34]]&gt;0, "WIN","LOSE"))</f>
        <v>LOSE</v>
      </c>
      <c r="T14" s="66" t="str" cm="1">
        <f t="array" ref="T14">IF(COUNTBLANK(Games_45056[[SCORE 1]:[SCORE 2]])=0,_xlfn.TEXTJOIN(", ", TRUE, _xlfn._xlws.FILTER($K$25:$K$44, $J$25:$J$44=U14, "")),"")</f>
        <v>Rafael</v>
      </c>
      <c r="U14" s="67" t="s">
        <v>51</v>
      </c>
    </row>
    <row r="15" spans="1:21">
      <c r="A15" s="423"/>
      <c r="B15" s="13" t="s">
        <v>180</v>
      </c>
      <c r="C15" s="1" t="str">
        <f>$B$32</f>
        <v>Jovan</v>
      </c>
      <c r="D15" s="32" t="str">
        <f>$B$36</f>
        <v>Marcelo</v>
      </c>
      <c r="E15" s="146">
        <v>17</v>
      </c>
      <c r="F15" s="116">
        <v>19</v>
      </c>
      <c r="G15" s="31" t="str">
        <f>$B$34</f>
        <v>Tizoc</v>
      </c>
      <c r="H15" s="63"/>
      <c r="I15" s="63"/>
      <c r="J15" s="63"/>
      <c r="K15" s="63"/>
      <c r="L15" s="16" t="str">
        <f>$B$35</f>
        <v>Matheus L.</v>
      </c>
      <c r="M15" s="13">
        <f>IF(OR(Games_45056[[#This Row],[SCORE 1]]="",Games_45056[[#This Row],[SCORE 2]]=""),"",Games_45056[[#This Row],[SCORE 1]]-Games_45056[[#This Row],[SCORE 2]])</f>
        <v>-2</v>
      </c>
      <c r="N15" s="13">
        <f>IF(OR(Games_45056[[#This Row],[SCORE 1]]="",Games_45056[[#This Row],[SCORE 2]]=""),"",Games_45056[[#This Row],[SCORE 2]]-Games_45056[[#This Row],[SCORE 1]])</f>
        <v>2</v>
      </c>
      <c r="O15" s="13">
        <f>IF(Games_45056[[#This Row],[SCORE 1]]="","",Games_45056[[#This Row],[SCORE 1]])</f>
        <v>17</v>
      </c>
      <c r="P15" s="13">
        <f>IF(Games_45056[[#This Row],[SCORE 2]]="","",Games_45056[[#This Row],[SCORE 2]])</f>
        <v>19</v>
      </c>
      <c r="Q15" s="13" t="str">
        <f>IF(OR(Games_45056[[#This Row],[SCORE 1]]="",Games_45056[[#This Row],[SCORE 2]]=""),"",IF(Games_45056[[#This Row],[SALDO 12]]&gt;0, "WIN","LOSE"))</f>
        <v>LOSE</v>
      </c>
      <c r="R15" s="13" t="str">
        <f>IF(OR(Games_45056[[#This Row],[SCORE 1]]="",Games_45056[[#This Row],[SCORE 2]]=""),"",IF(Games_45056[[#This Row],[SALDO 34]]&gt;0, "WIN","LOSE"))</f>
        <v>WIN</v>
      </c>
      <c r="T15" s="66" t="str" cm="1">
        <f t="array" ref="T15">IF(COUNTBLANK(Games_45056[[SCORE 1]:[SCORE 2]])=0,_xlfn.TEXTJOIN(", ", TRUE, _xlfn._xlws.FILTER($K$25:$K$44, $J$25:$J$44=U15, "")),"")</f>
        <v>Deko (Couto)</v>
      </c>
      <c r="U15" s="67" t="s">
        <v>47</v>
      </c>
    </row>
    <row r="16" spans="1:21">
      <c r="A16" s="423"/>
      <c r="B16" s="13" t="s">
        <v>181</v>
      </c>
      <c r="C16" s="1" t="str">
        <f>$B$39</f>
        <v>Rannyere</v>
      </c>
      <c r="D16" s="32" t="str">
        <f>$B$43</f>
        <v>Bebeto</v>
      </c>
      <c r="E16" s="146">
        <v>9</v>
      </c>
      <c r="F16" s="116">
        <v>18</v>
      </c>
      <c r="G16" s="31" t="str">
        <f>$B$41</f>
        <v>Matheus T.</v>
      </c>
      <c r="H16" s="63"/>
      <c r="I16" s="63"/>
      <c r="J16" s="63"/>
      <c r="K16" s="63"/>
      <c r="L16" s="16" t="str">
        <f>$B$42</f>
        <v>Luka</v>
      </c>
      <c r="M16" s="13">
        <f>IF(OR(Games_45056[[#This Row],[SCORE 1]]="",Games_45056[[#This Row],[SCORE 2]]=""),"",Games_45056[[#This Row],[SCORE 1]]-Games_45056[[#This Row],[SCORE 2]])</f>
        <v>-9</v>
      </c>
      <c r="N16" s="13">
        <f>IF(OR(Games_45056[[#This Row],[SCORE 1]]="",Games_45056[[#This Row],[SCORE 2]]=""),"",Games_45056[[#This Row],[SCORE 2]]-Games_45056[[#This Row],[SCORE 1]])</f>
        <v>9</v>
      </c>
      <c r="O16" s="13">
        <f>IF(Games_45056[[#This Row],[SCORE 1]]="","",Games_45056[[#This Row],[SCORE 1]])</f>
        <v>9</v>
      </c>
      <c r="P16" s="13">
        <f>IF(Games_45056[[#This Row],[SCORE 2]]="","",Games_45056[[#This Row],[SCORE 2]])</f>
        <v>18</v>
      </c>
      <c r="Q16" s="13" t="str">
        <f>IF(OR(Games_45056[[#This Row],[SCORE 1]]="",Games_45056[[#This Row],[SCORE 2]]=""),"",IF(Games_45056[[#This Row],[SALDO 12]]&gt;0, "WIN","LOSE"))</f>
        <v>LOSE</v>
      </c>
      <c r="R16" s="13" t="str">
        <f>IF(OR(Games_45056[[#This Row],[SCORE 1]]="",Games_45056[[#This Row],[SCORE 2]]=""),"",IF(Games_45056[[#This Row],[SALDO 34]]&gt;0, "WIN","LOSE"))</f>
        <v>WIN</v>
      </c>
      <c r="T16" s="66" t="str" cm="1">
        <f t="array" ref="T16">IF(COUNTBLANK(Games_45056[[SCORE 1]:[SCORE 2]])=0,_xlfn.TEXTJOIN(", ", TRUE, _xlfn._xlws.FILTER($K$25:$K$44, $J$25:$J$44=U16, "")),"")</f>
        <v>Amit H.</v>
      </c>
      <c r="U16" s="67" t="s">
        <v>57</v>
      </c>
    </row>
    <row r="17" spans="1:27">
      <c r="A17" s="423"/>
      <c r="B17" s="429" t="s">
        <v>225</v>
      </c>
      <c r="C17" s="1" t="str">
        <f>$B$46</f>
        <v>Deko (Couto)</v>
      </c>
      <c r="D17" s="32" t="str">
        <f>$B$50</f>
        <v>Luiz Zuneda</v>
      </c>
      <c r="E17" s="146">
        <v>18</v>
      </c>
      <c r="F17" s="146">
        <v>15</v>
      </c>
      <c r="G17" s="31" t="str">
        <f>$B$48</f>
        <v>Leozinho</v>
      </c>
      <c r="H17" s="63"/>
      <c r="I17" s="63"/>
      <c r="J17" s="63"/>
      <c r="K17" s="63"/>
      <c r="L17" s="16" t="str">
        <f>$B$49</f>
        <v>Pedro Itajai</v>
      </c>
      <c r="M17" s="429">
        <f>IF(OR(Games_45056[[#This Row],[SCORE 1]]="",Games_45056[[#This Row],[SCORE 2]]=""),"",Games_45056[[#This Row],[SCORE 1]]-Games_45056[[#This Row],[SCORE 2]])</f>
        <v>3</v>
      </c>
      <c r="N17" s="429">
        <f>IF(OR(Games_45056[[#This Row],[SCORE 1]]="",Games_45056[[#This Row],[SCORE 2]]=""),"",Games_45056[[#This Row],[SCORE 2]]-Games_45056[[#This Row],[SCORE 1]])</f>
        <v>-3</v>
      </c>
      <c r="O17" s="429">
        <f>IF(Games_45056[[#This Row],[SCORE 1]]="","",Games_45056[[#This Row],[SCORE 1]])</f>
        <v>18</v>
      </c>
      <c r="P17" s="429">
        <f>IF(Games_45056[[#This Row],[SCORE 2]]="","",Games_45056[[#This Row],[SCORE 2]])</f>
        <v>15</v>
      </c>
      <c r="Q17" s="429" t="str">
        <f>IF(OR(Games_45056[[#This Row],[SCORE 1]]="",Games_45056[[#This Row],[SCORE 2]]=""),"",IF(Games_45056[[#This Row],[SALDO 12]]&gt;0, "WIN","LOSE"))</f>
        <v>WIN</v>
      </c>
      <c r="R17" s="429" t="str">
        <f>IF(OR(Games_45056[[#This Row],[SCORE 1]]="",Games_45056[[#This Row],[SCORE 2]]=""),"",IF(Games_45056[[#This Row],[SALDO 34]]&gt;0, "WIN","LOSE"))</f>
        <v>LOSE</v>
      </c>
      <c r="T17" s="66" t="str" cm="1">
        <f t="array" ref="T17">IF(COUNTBLANK(Games_45056[[SCORE 1]:[SCORE 2]])=0,_xlfn.TEXTJOIN(", ", TRUE, _xlfn._xlws.FILTER($K$25:$K$44, $J$25:$J$44=U17, "")),"")</f>
        <v>Leozinho</v>
      </c>
      <c r="U17" s="67" t="s">
        <v>60</v>
      </c>
    </row>
    <row r="18" spans="1:27">
      <c r="A18" s="423"/>
      <c r="B18" s="13" t="s">
        <v>178</v>
      </c>
      <c r="C18" s="1" t="str">
        <f>$B$27</f>
        <v>Amit H.</v>
      </c>
      <c r="D18" s="32" t="str">
        <f>$B$29</f>
        <v>Bruno C.</v>
      </c>
      <c r="E18" s="146">
        <v>11</v>
      </c>
      <c r="F18" s="116">
        <v>18</v>
      </c>
      <c r="G18" s="31" t="str">
        <f>$B$26</f>
        <v>Rafael</v>
      </c>
      <c r="H18" s="63"/>
      <c r="I18" s="63"/>
      <c r="J18" s="63"/>
      <c r="K18" s="63"/>
      <c r="L18" s="16" t="str">
        <f>$B$28</f>
        <v>Jerry</v>
      </c>
      <c r="M18" s="13">
        <f>IF(OR(Games_45056[[#This Row],[SCORE 1]]="",Games_45056[[#This Row],[SCORE 2]]=""),"",Games_45056[[#This Row],[SCORE 1]]-Games_45056[[#This Row],[SCORE 2]])</f>
        <v>-7</v>
      </c>
      <c r="N18" s="13">
        <f>IF(OR(Games_45056[[#This Row],[SCORE 1]]="",Games_45056[[#This Row],[SCORE 2]]=""),"",Games_45056[[#This Row],[SCORE 2]]-Games_45056[[#This Row],[SCORE 1]])</f>
        <v>7</v>
      </c>
      <c r="O18" s="13">
        <f>IF(Games_45056[[#This Row],[SCORE 1]]="","",Games_45056[[#This Row],[SCORE 1]])</f>
        <v>11</v>
      </c>
      <c r="P18" s="13">
        <f>IF(Games_45056[[#This Row],[SCORE 2]]="","",Games_45056[[#This Row],[SCORE 2]])</f>
        <v>18</v>
      </c>
      <c r="Q18" s="13" t="str">
        <f>IF(OR(Games_45056[[#This Row],[SCORE 1]]="",Games_45056[[#This Row],[SCORE 2]]=""),"",IF(Games_45056[[#This Row],[SALDO 12]]&gt;0, "WIN","LOSE"))</f>
        <v>LOSE</v>
      </c>
      <c r="R18" s="13" t="str">
        <f>IF(OR(Games_45056[[#This Row],[SCORE 1]]="",Games_45056[[#This Row],[SCORE 2]]=""),"",IF(Games_45056[[#This Row],[SALDO 34]]&gt;0, "WIN","LOSE"))</f>
        <v>WIN</v>
      </c>
      <c r="T18" s="66" t="str" cm="1">
        <f t="array" ref="T18">IF(COUNTBLANK(Games_45056[[SCORE 1]:[SCORE 2]])=0,_xlfn.TEXTJOIN(", ", TRUE, _xlfn._xlws.FILTER($K$25:$K$44, $J$25:$J$44=U18, "")),"")</f>
        <v>Jovan</v>
      </c>
      <c r="U18" s="67" t="s">
        <v>55</v>
      </c>
    </row>
    <row r="19" spans="1:27">
      <c r="A19" s="423"/>
      <c r="B19" s="13" t="s">
        <v>180</v>
      </c>
      <c r="C19" s="1" t="str">
        <f>$B$34</f>
        <v>Tizoc</v>
      </c>
      <c r="D19" s="32" t="str">
        <f>$B$36</f>
        <v>Marcelo</v>
      </c>
      <c r="E19" s="146">
        <v>10</v>
      </c>
      <c r="F19" s="116">
        <v>18</v>
      </c>
      <c r="G19" s="31" t="str">
        <f>$B$33</f>
        <v>Guti</v>
      </c>
      <c r="H19" s="63"/>
      <c r="I19" s="63"/>
      <c r="J19" s="63"/>
      <c r="K19" s="63"/>
      <c r="L19" s="16" t="str">
        <f>$B$35</f>
        <v>Matheus L.</v>
      </c>
      <c r="M19" s="13">
        <f>IF(OR(Games_45056[[#This Row],[SCORE 1]]="",Games_45056[[#This Row],[SCORE 2]]=""),"",Games_45056[[#This Row],[SCORE 1]]-Games_45056[[#This Row],[SCORE 2]])</f>
        <v>-8</v>
      </c>
      <c r="N19" s="13">
        <f>IF(OR(Games_45056[[#This Row],[SCORE 1]]="",Games_45056[[#This Row],[SCORE 2]]=""),"",Games_45056[[#This Row],[SCORE 2]]-Games_45056[[#This Row],[SCORE 1]])</f>
        <v>8</v>
      </c>
      <c r="O19" s="13">
        <f>IF(Games_45056[[#This Row],[SCORE 1]]="","",Games_45056[[#This Row],[SCORE 1]])</f>
        <v>10</v>
      </c>
      <c r="P19" s="13">
        <f>IF(Games_45056[[#This Row],[SCORE 2]]="","",Games_45056[[#This Row],[SCORE 2]])</f>
        <v>18</v>
      </c>
      <c r="Q19" s="13" t="str">
        <f>IF(OR(Games_45056[[#This Row],[SCORE 1]]="",Games_45056[[#This Row],[SCORE 2]]=""),"",IF(Games_45056[[#This Row],[SALDO 12]]&gt;0, "WIN","LOSE"))</f>
        <v>LOSE</v>
      </c>
      <c r="R19" s="13" t="str">
        <f>IF(OR(Games_45056[[#This Row],[SCORE 1]]="",Games_45056[[#This Row],[SCORE 2]]=""),"",IF(Games_45056[[#This Row],[SALDO 34]]&gt;0, "WIN","LOSE"))</f>
        <v>WIN</v>
      </c>
      <c r="T19" s="66" t="str" cm="1">
        <f t="array" ref="T19">IF(COUNTBLANK(Games_45056[[SCORE 1]:[SCORE 2]])=0,_xlfn.TEXTJOIN(", ", TRUE, _xlfn._xlws.FILTER($K$25:$K$44, $J$25:$J$44=U19, "")),"")</f>
        <v>Fernando Fabricio (Furby)</v>
      </c>
      <c r="U19" s="67" t="s">
        <v>226</v>
      </c>
    </row>
    <row r="20" spans="1:27">
      <c r="A20" s="423"/>
      <c r="B20" s="13" t="s">
        <v>181</v>
      </c>
      <c r="C20" s="1" t="str">
        <f>$B$41</f>
        <v>Matheus T.</v>
      </c>
      <c r="D20" s="32" t="str">
        <f>$B$43</f>
        <v>Bebeto</v>
      </c>
      <c r="E20" s="146">
        <v>18</v>
      </c>
      <c r="F20" s="116">
        <v>15</v>
      </c>
      <c r="G20" s="31" t="str">
        <f>$B$40</f>
        <v>Felipe Romanelli</v>
      </c>
      <c r="H20" s="63"/>
      <c r="I20" s="63"/>
      <c r="J20" s="63"/>
      <c r="K20" s="63"/>
      <c r="L20" s="16" t="str">
        <f>$B$42</f>
        <v>Luka</v>
      </c>
      <c r="M20" s="13">
        <f>IF(OR(Games_45056[[#This Row],[SCORE 1]]="",Games_45056[[#This Row],[SCORE 2]]=""),"",Games_45056[[#This Row],[SCORE 1]]-Games_45056[[#This Row],[SCORE 2]])</f>
        <v>3</v>
      </c>
      <c r="N20" s="13">
        <f>IF(OR(Games_45056[[#This Row],[SCORE 1]]="",Games_45056[[#This Row],[SCORE 2]]=""),"",Games_45056[[#This Row],[SCORE 2]]-Games_45056[[#This Row],[SCORE 1]])</f>
        <v>-3</v>
      </c>
      <c r="O20" s="13">
        <f>IF(Games_45056[[#This Row],[SCORE 1]]="","",Games_45056[[#This Row],[SCORE 1]])</f>
        <v>18</v>
      </c>
      <c r="P20" s="13">
        <f>IF(Games_45056[[#This Row],[SCORE 2]]="","",Games_45056[[#This Row],[SCORE 2]])</f>
        <v>15</v>
      </c>
      <c r="Q20" s="13" t="str">
        <f>IF(OR(Games_45056[[#This Row],[SCORE 1]]="",Games_45056[[#This Row],[SCORE 2]]=""),"",IF(Games_45056[[#This Row],[SALDO 12]]&gt;0, "WIN","LOSE"))</f>
        <v>WIN</v>
      </c>
      <c r="R20" s="13" t="str">
        <f>IF(OR(Games_45056[[#This Row],[SCORE 1]]="",Games_45056[[#This Row],[SCORE 2]]=""),"",IF(Games_45056[[#This Row],[SALDO 34]]&gt;0, "WIN","LOSE"))</f>
        <v>LOSE</v>
      </c>
      <c r="T20" s="66" t="str" cm="1">
        <f t="array" ref="T20">IF(COUNTBLANK(Games_45056[[SCORE 1]:[SCORE 2]])=0,_xlfn.TEXTJOIN(", ", TRUE, _xlfn._xlws.FILTER($K$25:$K$44, $J$25:$J$44=U20, "")),"")</f>
        <v>Bruno C.</v>
      </c>
      <c r="U20" s="67" t="s">
        <v>227</v>
      </c>
    </row>
    <row r="21" spans="1:27">
      <c r="A21" s="423"/>
      <c r="B21" s="429" t="s">
        <v>225</v>
      </c>
      <c r="C21" s="1" t="str">
        <f>$B$48</f>
        <v>Leozinho</v>
      </c>
      <c r="D21" s="32" t="str">
        <f>$B$50</f>
        <v>Luiz Zuneda</v>
      </c>
      <c r="E21" s="146">
        <v>18</v>
      </c>
      <c r="F21" s="146">
        <v>8</v>
      </c>
      <c r="G21" s="31" t="str">
        <f>$B$47</f>
        <v>Fernando Fabricio (Furby)</v>
      </c>
      <c r="H21" s="63"/>
      <c r="I21" s="63"/>
      <c r="J21" s="63"/>
      <c r="K21" s="63"/>
      <c r="L21" s="16" t="str">
        <f>$B$49</f>
        <v>Pedro Itajai</v>
      </c>
      <c r="M21" s="429">
        <f>IF(OR(Games_45056[[#This Row],[SCORE 1]]="",Games_45056[[#This Row],[SCORE 2]]=""),"",Games_45056[[#This Row],[SCORE 1]]-Games_45056[[#This Row],[SCORE 2]])</f>
        <v>10</v>
      </c>
      <c r="N21" s="429">
        <f>IF(OR(Games_45056[[#This Row],[SCORE 1]]="",Games_45056[[#This Row],[SCORE 2]]=""),"",Games_45056[[#This Row],[SCORE 2]]-Games_45056[[#This Row],[SCORE 1]])</f>
        <v>-10</v>
      </c>
      <c r="O21" s="429">
        <f>IF(Games_45056[[#This Row],[SCORE 1]]="","",Games_45056[[#This Row],[SCORE 1]])</f>
        <v>18</v>
      </c>
      <c r="P21" s="429">
        <f>IF(Games_45056[[#This Row],[SCORE 2]]="","",Games_45056[[#This Row],[SCORE 2]])</f>
        <v>8</v>
      </c>
      <c r="Q21" s="429" t="str">
        <f>IF(OR(Games_45056[[#This Row],[SCORE 1]]="",Games_45056[[#This Row],[SCORE 2]]=""),"",IF(Games_45056[[#This Row],[SALDO 12]]&gt;0, "WIN","LOSE"))</f>
        <v>WIN</v>
      </c>
      <c r="R21" s="429" t="str">
        <f>IF(OR(Games_45056[[#This Row],[SCORE 1]]="",Games_45056[[#This Row],[SCORE 2]]=""),"",IF(Games_45056[[#This Row],[SALDO 34]]&gt;0, "WIN","LOSE"))</f>
        <v>LOSE</v>
      </c>
      <c r="T21" s="66" t="str" cm="1">
        <f t="array" ref="T21">IF(COUNTBLANK(Games_45056[[SCORE 1]:[SCORE 2]])=0,_xlfn.TEXTJOIN(", ", TRUE, _xlfn._xlws.FILTER($K$25:$K$44, $J$25:$J$44=U21, "")),"")</f>
        <v>Tizoc</v>
      </c>
      <c r="U21" s="67" t="s">
        <v>228</v>
      </c>
    </row>
    <row r="22" spans="1:27">
      <c r="T22" s="66" t="str" cm="1">
        <f t="array" ref="T22">IF(COUNTBLANK(Games_45056[[SCORE 1]:[SCORE 2]])=0,_xlfn.TEXTJOIN(", ", TRUE, _xlfn._xlws.FILTER($K$25:$K$44, $J$25:$J$44=U22, "")),"")</f>
        <v>Rannyere</v>
      </c>
      <c r="U22" s="67" t="s">
        <v>229</v>
      </c>
    </row>
    <row r="23" spans="1:27" ht="30" customHeight="1">
      <c r="A23" s="546" t="s">
        <v>182</v>
      </c>
      <c r="B23" s="547"/>
      <c r="C23" s="547"/>
      <c r="D23" s="547"/>
      <c r="E23" s="547"/>
      <c r="F23" s="547"/>
      <c r="G23" s="547"/>
      <c r="H23" s="420"/>
      <c r="I23" s="420"/>
      <c r="J23" s="420"/>
      <c r="K23" s="420"/>
      <c r="M23" s="548" t="s">
        <v>183</v>
      </c>
      <c r="N23" s="549"/>
      <c r="O23" s="549"/>
      <c r="P23" s="549"/>
      <c r="Q23" s="549"/>
      <c r="R23" s="549"/>
      <c r="T23" s="90" t="s">
        <v>198</v>
      </c>
      <c r="U23" s="90"/>
    </row>
    <row r="24" spans="1:27" ht="15.95">
      <c r="A24" s="6" t="s">
        <v>184</v>
      </c>
      <c r="B24" s="7" t="s">
        <v>203</v>
      </c>
      <c r="C24" s="7" t="s">
        <v>186</v>
      </c>
      <c r="D24" s="7" t="s">
        <v>187</v>
      </c>
      <c r="E24" s="7" t="s">
        <v>188</v>
      </c>
      <c r="F24" s="7" t="s">
        <v>189</v>
      </c>
      <c r="G24" s="7" t="s">
        <v>8</v>
      </c>
      <c r="H24" s="80" t="s">
        <v>204</v>
      </c>
      <c r="I24" s="20" t="s">
        <v>191</v>
      </c>
      <c r="J24" s="20" t="s">
        <v>192</v>
      </c>
      <c r="K24" s="20" t="s">
        <v>1</v>
      </c>
      <c r="L24" s="20" t="s">
        <v>192</v>
      </c>
      <c r="M24" s="418" t="s">
        <v>193</v>
      </c>
      <c r="N24" s="418" t="s">
        <v>194</v>
      </c>
      <c r="O24" s="542" t="s">
        <v>195</v>
      </c>
      <c r="P24" s="543"/>
      <c r="Q24" s="418" t="s">
        <v>196</v>
      </c>
      <c r="R24" s="418" t="s">
        <v>197</v>
      </c>
      <c r="U24" s="90"/>
    </row>
    <row r="25" spans="1:27">
      <c r="A25" s="4" t="s">
        <v>205</v>
      </c>
      <c r="B25" s="128" t="s">
        <v>86</v>
      </c>
      <c r="C25" s="14">
        <f>SUM(COUNTIFS(Games_45056[ATHLETE 1],Analysis_95157[[#This Row],[Athletes]],Games_45056[RESULT 12],Analysis_95157[[#Headers],[WIN]]),COUNTIFS(Games_45056[ATHLETE 2],Analysis_95157[[#This Row],[Athletes]],Games_45056[RESULT 12],Analysis_95157[[#Headers],[WIN]]),COUNTIFS(Games_45056[ATHLETE 3],Analysis_95157[[#This Row],[Athletes]],Games_45056[RESULT 34],Analysis_95157[[#Headers],[WIN]]),COUNTIFS(Games_45056[ATHLETE 4],Analysis_95157[[#This Row],[Athletes]],Games_45056[RESULT 34],Analysis_95157[[#Headers],[WIN]]))</f>
        <v>4</v>
      </c>
      <c r="D25" s="14">
        <f>SUM(COUNTIFS(Games_45056[ATHLETE 1],Analysis_95157[[#This Row],[Athletes]],Games_45056[RESULT 12],Analysis_95157[[#Headers],[LOSE]]),COUNTIFS(Games_45056[ATHLETE 2],Analysis_95157[[#This Row],[Athletes]],Games_45056[RESULT 12],Analysis_95157[[#Headers],[LOSE]]),COUNTIFS(Games_45056[ATHLETE 3],Analysis_95157[[#This Row],[Athletes]],Games_45056[RESULT 34],Analysis_95157[[#Headers],[LOSE]]),COUNTIFS(Games_45056[ATHLETE 4],Analysis_95157[[#This Row],[Athletes]],Games_45056[RESULT 34],Analysis_95157[[#Headers],[LOSE]]))</f>
        <v>0</v>
      </c>
      <c r="E25" s="19">
        <f>SUM(SUMIF(Games_45056[ATHLETE 1],Analysis_95157[[#This Row],[Athletes]],Games_45056[SALDO 12]),SUMIF(Games_45056[ATHLETE 2],Analysis_95157[[#This Row],[Athletes]],Games_45056[SALDO 12]),SUMIF(Games_45056[ATHLETE 3],Analysis_95157[[#This Row],[Athletes]],Games_45056[SALDO 34]),SUMIF(Games_45056[ATHLETE 4],Analysis_95157[[#This Row],[Athletes]],Games_45056[SALDO 34]))</f>
        <v>23</v>
      </c>
      <c r="F25" s="19">
        <f>SUM(SUMIF(Games_45056[ATHLETE 1],Analysis_95157[[#This Row],[Athletes]],Games_45056[PM 12]),SUMIF(Games_45056[ATHLETE 2],Analysis_95157[[#This Row],[Athletes]],Games_45056[PM 12]),SUMIF(Games_45056[ATHLETE 3],Analysis_95157[[#This Row],[Athletes]],Games_45056[PM 34]),SUMIF(Games_45056[ATHLETE 4],Analysis_95157[[#This Row],[Athletes]],Games_45056[PM 34]))</f>
        <v>72</v>
      </c>
      <c r="G25" s="14" t="str">
        <f>IF(COUNTBLANK(Games_45056[[SCORE 1]:[SCORE 2]])=0,IF(RANK(H25,$H$25:$H$29)=1,RANK(H25,$H$25:$H$29)&amp;"st",IF(RANK(H25,$H$25:$H$29)=2,RANK(H25,$H$25:$H$29)&amp;"nd",IF(RANK(H25,$H$25:$H$29)=3,RANK(H25,$H$25:$H$29)&amp;"rd",RANK(H25,$H$25:$H$29)&amp;"th"))),"")</f>
        <v>1st</v>
      </c>
      <c r="H25" s="51">
        <f>IF(COUNTBLANK(Games_45056[[SCORE 1]:[SCORE 2]])=0,Analysis_95157[[#This Row],[WIN]]*1000000+Analysis_95157[[#This Row],[Saldo]]*1000+Analysis_95157[[#This Row],[PM]],"")</f>
        <v>4023072</v>
      </c>
      <c r="I25" s="2">
        <f>Analysis_95157[[#This Row],[Rank support]]</f>
        <v>4023072</v>
      </c>
      <c r="J25" s="2" t="str">
        <f>IF(COUNTBLANK(Games_45056[[SCORE 1]:[SCORE 2]])=0,IF(RANK(I25,$I$25:$I$44)=1,RANK(I25,$I$25:$I$44)&amp;"st",IF(RANK(I25,$I$25:$I$44)=2,RANK(I25,$I$25:$I$44)&amp;"nd",IF(RANK(I25,$I$25:$I$44)=3,RANK(I25,$I$25:$I$44)&amp;"rd",RANK(I25,$I$25:$I$44)&amp;"th"))),"")</f>
        <v>3rd</v>
      </c>
      <c r="K25" s="38" t="str">
        <f>Analysis_95157[[#This Row],[Athletes]]</f>
        <v>Zak</v>
      </c>
      <c r="L25" s="44" t="str">
        <f>J25</f>
        <v>3rd</v>
      </c>
      <c r="M25" s="428" t="str" cm="1">
        <f t="array" ref="M25">_xlfn.TEXTJOIN(", ", TRUE, _xlfn._xlws.FILTER($K$25:$K$44, $J$25:$J$44=$U$3, ""))</f>
        <v>Matheus L.</v>
      </c>
      <c r="N25" s="428" t="str" cm="1">
        <f t="array" ref="N25">_xlfn.TEXTJOIN(", ", TRUE, _xlfn._xlws.FILTER($K$25:$K$44, $J$25:$J$44=$U$4, ""))</f>
        <v>Luiz Zuneda</v>
      </c>
      <c r="O25" s="119">
        <v>18</v>
      </c>
      <c r="P25" s="120">
        <v>0</v>
      </c>
      <c r="Q25" s="162" t="str">
        <f>B28</f>
        <v>Jerry</v>
      </c>
      <c r="R25" s="162" t="str">
        <f>B49</f>
        <v>Pedro Itajai</v>
      </c>
      <c r="S25" s="68"/>
      <c r="T25" s="90" cm="1">
        <f t="array" ref="T25:AA25">CHOOSE({1,2,3,4,5,6,7,8}, M27, N27, Q27, R27, M32, N32, Q32, R32)</f>
        <v>4029073</v>
      </c>
      <c r="U25" s="90">
        <v>4029072</v>
      </c>
      <c r="V25">
        <v>2004066</v>
      </c>
      <c r="W25">
        <v>2002059</v>
      </c>
      <c r="X25">
        <v>4023072</v>
      </c>
      <c r="Y25">
        <v>3011067</v>
      </c>
      <c r="Z25">
        <v>3004063</v>
      </c>
      <c r="AA25">
        <v>2007063</v>
      </c>
    </row>
    <row r="26" spans="1:27">
      <c r="A26" s="3" t="s">
        <v>206</v>
      </c>
      <c r="B26" s="128" t="s">
        <v>83</v>
      </c>
      <c r="C26" s="14">
        <f>SUM(COUNTIFS(Games_45056[ATHLETE 1],Analysis_95157[[#This Row],[Athletes]],Games_45056[RESULT 12],Analysis_95157[[#Headers],[WIN]]),COUNTIFS(Games_45056[ATHLETE 2],Analysis_95157[[#This Row],[Athletes]],Games_45056[RESULT 12],Analysis_95157[[#Headers],[WIN]]),COUNTIFS(Games_45056[ATHLETE 3],Analysis_95157[[#This Row],[Athletes]],Games_45056[RESULT 34],Analysis_95157[[#Headers],[WIN]]),COUNTIFS(Games_45056[ATHLETE 4],Analysis_95157[[#This Row],[Athletes]],Games_45056[RESULT 34],Analysis_95157[[#Headers],[WIN]]))</f>
        <v>2</v>
      </c>
      <c r="D26" s="14">
        <f>SUM(COUNTIFS(Games_45056[ATHLETE 1],Analysis_95157[[#This Row],[Athletes]],Games_45056[RESULT 12],Analysis_95157[[#Headers],[LOSE]]),COUNTIFS(Games_45056[ATHLETE 2],Analysis_95157[[#This Row],[Athletes]],Games_45056[RESULT 12],Analysis_95157[[#Headers],[LOSE]]),COUNTIFS(Games_45056[ATHLETE 3],Analysis_95157[[#This Row],[Athletes]],Games_45056[RESULT 34],Analysis_95157[[#Headers],[LOSE]]),COUNTIFS(Games_45056[ATHLETE 4],Analysis_95157[[#This Row],[Athletes]],Games_45056[RESULT 34],Analysis_95157[[#Headers],[LOSE]]))</f>
        <v>2</v>
      </c>
      <c r="E26" s="19">
        <f>SUM(SUMIF(Games_45056[ATHLETE 1],Analysis_95157[[#This Row],[Athletes]],Games_45056[SALDO 12]),SUMIF(Games_45056[ATHLETE 2],Analysis_95157[[#This Row],[Athletes]],Games_45056[SALDO 12]),SUMIF(Games_45056[ATHLETE 3],Analysis_95157[[#This Row],[Athletes]],Games_45056[SALDO 34]),SUMIF(Games_45056[ATHLETE 4],Analysis_95157[[#This Row],[Athletes]],Games_45056[SALDO 34]))</f>
        <v>-6</v>
      </c>
      <c r="F26" s="19">
        <f>SUM(SUMIF(Games_45056[ATHLETE 1],Analysis_95157[[#This Row],[Athletes]],Games_45056[PM 12]),SUMIF(Games_45056[ATHLETE 2],Analysis_95157[[#This Row],[Athletes]],Games_45056[PM 12]),SUMIF(Games_45056[ATHLETE 3],Analysis_95157[[#This Row],[Athletes]],Games_45056[PM 34]),SUMIF(Games_45056[ATHLETE 4],Analysis_95157[[#This Row],[Athletes]],Games_45056[PM 34]))</f>
        <v>55</v>
      </c>
      <c r="G26" s="14" t="str">
        <f>IF(COUNTBLANK(Games_45056[[SCORE 1]:[SCORE 2]])=0,IF(RANK(H26,$H$25:$H$29)=1,RANK(H26,$H$25:$H$29)&amp;"st",IF(RANK(H26,$H$25:$H$29)=2,RANK(H26,$H$25:$H$29)&amp;"nd",IF(RANK(H26,$H$25:$H$29)=3,RANK(H26,$H$25:$H$29)&amp;"rd",RANK(H26,$H$25:$H$29)&amp;"th"))),"")</f>
        <v>3rd</v>
      </c>
      <c r="H26" s="51">
        <f>IF(COUNTBLANK(Games_45056[[SCORE 1]:[SCORE 2]])=0,Analysis_95157[[#This Row],[WIN]]*1000000+Analysis_95157[[#This Row],[Saldo]]*1000+Analysis_95157[[#This Row],[PM]],"")</f>
        <v>1994055</v>
      </c>
      <c r="I26" s="2">
        <f>Analysis_95157[[#This Row],[Rank support]]</f>
        <v>1994055</v>
      </c>
      <c r="J26" s="2" t="str">
        <f>IF(COUNTBLANK(Games_45056[[SCORE 1]:[SCORE 2]])=0,IF(RANK(I26,$I$25:$I$44)=1,RANK(I26,$I$25:$I$44)&amp;"st",IF(RANK(I26,$I$25:$I$44)=2,RANK(I26,$I$25:$I$44)&amp;"nd",IF(RANK(I26,$I$25:$I$44)=3,RANK(I26,$I$25:$I$44)&amp;"rd",RANK(I26,$I$25:$I$44)&amp;"th"))),"")</f>
        <v>12th</v>
      </c>
      <c r="K26" s="38" t="str">
        <f>Analysis_95157[[#This Row],[Athletes]]</f>
        <v>Rafael</v>
      </c>
      <c r="L26" s="44" t="str">
        <f t="shared" ref="L26:L28" si="0">J26</f>
        <v>12th</v>
      </c>
      <c r="M26" s="127" t="str">
        <f>IF(OR(O26="",O31=""),"",IF($O$26="lose",IF(RANK(M27,$T$32:$W$32)=1,$U$7,IF(RANK(M27,$T$32:$W$32)=2,$U$8,IF(RANK(M27,$T$32:$W$32)=3,$U$9,$U$10))),""))</f>
        <v/>
      </c>
      <c r="N26" s="127" t="str">
        <f>IF(OR(O26="",O31=""),"",IF($O$26="lose",IF(RANK(N27,$T$32:$W$32)=1,$U$7,IF(RANK(N27,$T$32:$W$32)=2,$U$8,IF(RANK(N27,$T$32:$W$32)=3,$U$9,$U$10))),""))</f>
        <v/>
      </c>
      <c r="O26" s="2" t="str">
        <f>IF(OR(O25="",P25=""),"",IF((O25&gt;P25),"WIN","LOSE"))</f>
        <v>WIN</v>
      </c>
      <c r="P26" s="2" t="str">
        <f>IF(OR(O25="",P25=""),"",IF((O25&lt;P25),"WIN","LOSE"))</f>
        <v>LOSE</v>
      </c>
      <c r="Q26" s="127" t="str">
        <f>IF(OR(O26="",O31=""),"",IF($P$26="lose",IF(RANK(Q27,$T$32:$W$32)=1,$U$7,IF(RANK(Q27,$T$32:$W$32)=2,$U$8,IF(RANK(Q27,$T$32:$W$32)=3,$U$9,$U$10))),""))</f>
        <v>7th</v>
      </c>
      <c r="R26" s="127" t="str">
        <f>IF(OR(O26="",O31=""),"",IF($P$26="lose",IF(RANK(R27,$T$32:$W$32)=1,$U$7,IF(RANK(R27,$T$32:$W$32)=2,$U$8,IF(RANK(R27,$T$32:$W$32)=3,$U$9,$U$10))),""))</f>
        <v>8th</v>
      </c>
      <c r="S26" s="17"/>
    </row>
    <row r="27" spans="1:27">
      <c r="A27" s="3" t="s">
        <v>207</v>
      </c>
      <c r="B27" s="128" t="s">
        <v>88</v>
      </c>
      <c r="C27" s="14">
        <f>SUM(COUNTIFS(Games_45056[ATHLETE 1],Analysis_95157[[#This Row],[Athletes]],Games_45056[RESULT 12],Analysis_95157[[#Headers],[WIN]]),COUNTIFS(Games_45056[ATHLETE 2],Analysis_95157[[#This Row],[Athletes]],Games_45056[RESULT 12],Analysis_95157[[#Headers],[WIN]]),COUNTIFS(Games_45056[ATHLETE 3],Analysis_95157[[#This Row],[Athletes]],Games_45056[RESULT 34],Analysis_95157[[#Headers],[WIN]]),COUNTIFS(Games_45056[ATHLETE 4],Analysis_95157[[#This Row],[Athletes]],Games_45056[RESULT 34],Analysis_95157[[#Headers],[WIN]]))</f>
        <v>1</v>
      </c>
      <c r="D27" s="14">
        <f>SUM(COUNTIFS(Games_45056[ATHLETE 1],Analysis_95157[[#This Row],[Athletes]],Games_45056[RESULT 12],Analysis_95157[[#Headers],[LOSE]]),COUNTIFS(Games_45056[ATHLETE 2],Analysis_95157[[#This Row],[Athletes]],Games_45056[RESULT 12],Analysis_95157[[#Headers],[LOSE]]),COUNTIFS(Games_45056[ATHLETE 3],Analysis_95157[[#This Row],[Athletes]],Games_45056[RESULT 34],Analysis_95157[[#Headers],[LOSE]]),COUNTIFS(Games_45056[ATHLETE 4],Analysis_95157[[#This Row],[Athletes]],Games_45056[RESULT 34],Analysis_95157[[#Headers],[LOSE]]))</f>
        <v>3</v>
      </c>
      <c r="E27" s="19">
        <f>SUM(SUMIF(Games_45056[ATHLETE 1],Analysis_95157[[#This Row],[Athletes]],Games_45056[SALDO 12]),SUMIF(Games_45056[ATHLETE 2],Analysis_95157[[#This Row],[Athletes]],Games_45056[SALDO 12]),SUMIF(Games_45056[ATHLETE 3],Analysis_95157[[#This Row],[Athletes]],Games_45056[SALDO 34]),SUMIF(Games_45056[ATHLETE 4],Analysis_95157[[#This Row],[Athletes]],Games_45056[SALDO 34]))</f>
        <v>2</v>
      </c>
      <c r="F27" s="19">
        <f>SUM(SUMIF(Games_45056[ATHLETE 1],Analysis_95157[[#This Row],[Athletes]],Games_45056[PM 12]),SUMIF(Games_45056[ATHLETE 2],Analysis_95157[[#This Row],[Athletes]],Games_45056[PM 12]),SUMIF(Games_45056[ATHLETE 3],Analysis_95157[[#This Row],[Athletes]],Games_45056[PM 34]),SUMIF(Games_45056[ATHLETE 4],Analysis_95157[[#This Row],[Athletes]],Games_45056[PM 34]))</f>
        <v>60</v>
      </c>
      <c r="G27" s="14" t="str">
        <f>IF(COUNTBLANK(Games_45056[[SCORE 1]:[SCORE 2]])=0,IF(RANK(H27,$H$25:$H$29)=1,RANK(H27,$H$25:$H$29)&amp;"st",IF(RANK(H27,$H$25:$H$29)=2,RANK(H27,$H$25:$H$29)&amp;"nd",IF(RANK(H27,$H$25:$H$29)=3,RANK(H27,$H$25:$H$29)&amp;"rd",RANK(H27,$H$25:$H$29)&amp;"th"))),"")</f>
        <v>4th</v>
      </c>
      <c r="H27" s="51">
        <f>IF(COUNTBLANK(Games_45056[[SCORE 1]:[SCORE 2]])=0,Analysis_95157[[#This Row],[WIN]]*1000000+Analysis_95157[[#This Row],[Saldo]]*1000+Analysis_95157[[#This Row],[PM]],"")</f>
        <v>1002060</v>
      </c>
      <c r="I27" s="2">
        <f>Analysis_95157[[#This Row],[Rank support]]</f>
        <v>1002060</v>
      </c>
      <c r="J27" s="2" t="str">
        <f>IF(COUNTBLANK(Games_45056[[SCORE 1]:[SCORE 2]])=0,IF(RANK(I27,$I$25:$I$44)=1,RANK(I27,$I$25:$I$44)&amp;"st",IF(RANK(I27,$I$25:$I$44)=2,RANK(I27,$I$25:$I$44)&amp;"nd",IF(RANK(I27,$I$25:$I$44)=3,RANK(I27,$I$25:$I$44)&amp;"rd",RANK(I27,$I$25:$I$44)&amp;"th"))),"")</f>
        <v>14th</v>
      </c>
      <c r="K27" s="38" t="str">
        <f>Analysis_95157[[#This Row],[Athletes]]</f>
        <v>Amit H.</v>
      </c>
      <c r="L27" s="44" t="str">
        <f t="shared" si="0"/>
        <v>14th</v>
      </c>
      <c r="M27" s="90">
        <f>_xlfn.XLOOKUP(M25,$K$25:$K$44,$I$25:$I$44,"")</f>
        <v>4029073</v>
      </c>
      <c r="N27" s="90">
        <f>_xlfn.XLOOKUP(N25,$K$25:$K$44,$I$25:$I$44,"")</f>
        <v>4029072</v>
      </c>
      <c r="O27" s="90" t="str">
        <f t="shared" ref="O27:P27" si="1">_xlfn.XLOOKUP(O25,$K$25:$K$40,$I$25:$I$40,"")</f>
        <v/>
      </c>
      <c r="P27" s="90" t="str">
        <f t="shared" si="1"/>
        <v/>
      </c>
      <c r="Q27" s="90">
        <f>_xlfn.XLOOKUP(Q25,$K$25:$K$44,$I$25:$I$44,"")</f>
        <v>2004066</v>
      </c>
      <c r="R27" s="90">
        <f>_xlfn.XLOOKUP(R25,$K$25:$K$44,$I$25:$I$44,"")</f>
        <v>2002059</v>
      </c>
    </row>
    <row r="28" spans="1:27">
      <c r="A28" s="3" t="s">
        <v>208</v>
      </c>
      <c r="B28" s="128" t="s">
        <v>89</v>
      </c>
      <c r="C28" s="14">
        <f>SUM(COUNTIFS(Games_45056[ATHLETE 1],Analysis_95157[[#This Row],[Athletes]],Games_45056[RESULT 12],Analysis_95157[[#Headers],[WIN]]),COUNTIFS(Games_45056[ATHLETE 2],Analysis_95157[[#This Row],[Athletes]],Games_45056[RESULT 12],Analysis_95157[[#Headers],[WIN]]),COUNTIFS(Games_45056[ATHLETE 3],Analysis_95157[[#This Row],[Athletes]],Games_45056[RESULT 34],Analysis_95157[[#Headers],[WIN]]),COUNTIFS(Games_45056[ATHLETE 4],Analysis_95157[[#This Row],[Athletes]],Games_45056[RESULT 34],Analysis_95157[[#Headers],[WIN]]))</f>
        <v>2</v>
      </c>
      <c r="D28" s="14">
        <f>SUM(COUNTIFS(Games_45056[ATHLETE 1],Analysis_95157[[#This Row],[Athletes]],Games_45056[RESULT 12],Analysis_95157[[#Headers],[LOSE]]),COUNTIFS(Games_45056[ATHLETE 2],Analysis_95157[[#This Row],[Athletes]],Games_45056[RESULT 12],Analysis_95157[[#Headers],[LOSE]]),COUNTIFS(Games_45056[ATHLETE 3],Analysis_95157[[#This Row],[Athletes]],Games_45056[RESULT 34],Analysis_95157[[#Headers],[LOSE]]),COUNTIFS(Games_45056[ATHLETE 4],Analysis_95157[[#This Row],[Athletes]],Games_45056[RESULT 34],Analysis_95157[[#Headers],[LOSE]]))</f>
        <v>2</v>
      </c>
      <c r="E28" s="19">
        <f>SUM(SUMIF(Games_45056[ATHLETE 1],Analysis_95157[[#This Row],[Athletes]],Games_45056[SALDO 12]),SUMIF(Games_45056[ATHLETE 2],Analysis_95157[[#This Row],[Athletes]],Games_45056[SALDO 12]),SUMIF(Games_45056[ATHLETE 3],Analysis_95157[[#This Row],[Athletes]],Games_45056[SALDO 34]),SUMIF(Games_45056[ATHLETE 4],Analysis_95157[[#This Row],[Athletes]],Games_45056[SALDO 34]))</f>
        <v>4</v>
      </c>
      <c r="F28" s="19">
        <f>SUM(SUMIF(Games_45056[ATHLETE 1],Analysis_95157[[#This Row],[Athletes]],Games_45056[PM 12]),SUMIF(Games_45056[ATHLETE 2],Analysis_95157[[#This Row],[Athletes]],Games_45056[PM 12]),SUMIF(Games_45056[ATHLETE 3],Analysis_95157[[#This Row],[Athletes]],Games_45056[PM 34]),SUMIF(Games_45056[ATHLETE 4],Analysis_95157[[#This Row],[Athletes]],Games_45056[PM 34]))</f>
        <v>66</v>
      </c>
      <c r="G28" s="14" t="str">
        <f>IF(COUNTBLANK(Games_45056[[SCORE 1]:[SCORE 2]])=0,IF(RANK(H28,$H$25:$H$29)=1,RANK(H28,$H$25:$H$29)&amp;"st",IF(RANK(H28,$H$25:$H$29)=2,RANK(H28,$H$25:$H$29)&amp;"nd",IF(RANK(H28,$H$25:$H$29)=3,RANK(H28,$H$25:$H$29)&amp;"rd",RANK(H28,$H$25:$H$29)&amp;"th"))),"")</f>
        <v>2nd</v>
      </c>
      <c r="H28" s="51">
        <f>IF(COUNTBLANK(Games_45056[[SCORE 1]:[SCORE 2]])=0,Analysis_95157[[#This Row],[WIN]]*1000000+Analysis_95157[[#This Row],[Saldo]]*1000+Analysis_95157[[#This Row],[PM]],"")</f>
        <v>2004066</v>
      </c>
      <c r="I28" s="2">
        <f>Analysis_95157[[#This Row],[Rank support]]</f>
        <v>2004066</v>
      </c>
      <c r="J28" s="2" t="str">
        <f>IF(COUNTBLANK(Games_45056[[SCORE 1]:[SCORE 2]])=0,IF(RANK(I28,$I$25:$I$44)=1,RANK(I28,$I$25:$I$44)&amp;"st",IF(RANK(I28,$I$25:$I$44)=2,RANK(I28,$I$25:$I$44)&amp;"nd",IF(RANK(I28,$I$25:$I$44)=3,RANK(I28,$I$25:$I$44)&amp;"rd",RANK(I28,$I$25:$I$44)&amp;"th"))),"")</f>
        <v>8th</v>
      </c>
      <c r="K28" s="38" t="str">
        <f>Analysis_95157[[#This Row],[Athletes]]</f>
        <v>Jerry</v>
      </c>
      <c r="L28" s="44" t="str">
        <f t="shared" si="0"/>
        <v>8th</v>
      </c>
      <c r="M28" s="90">
        <f>IFERROR(RANK(M27,_xlfn.ANCHORARRAY($T$25),0),"")</f>
        <v>1</v>
      </c>
      <c r="N28" s="90">
        <f>IFERROR(RANK(N27,_xlfn.ANCHORARRAY($T$25),0),"")</f>
        <v>2</v>
      </c>
      <c r="O28" s="90"/>
      <c r="P28" s="90"/>
      <c r="Q28" s="90">
        <f>IFERROR(RANK(Q27,_xlfn.ANCHORARRAY($T$25),0),"")</f>
        <v>7</v>
      </c>
      <c r="R28" s="90">
        <f>IFERROR(RANK(R27,_xlfn.ANCHORARRAY($T$25),0),"")</f>
        <v>8</v>
      </c>
    </row>
    <row r="29" spans="1:27" ht="15.95">
      <c r="A29" s="5" t="s">
        <v>230</v>
      </c>
      <c r="B29" s="128" t="s">
        <v>91</v>
      </c>
      <c r="C29" s="14">
        <f>SUM(COUNTIFS(Games_45056[ATHLETE 1],Analysis_95157[[#This Row],[Athletes]],Games_45056[RESULT 12],Analysis_95157[[#Headers],[WIN]]),COUNTIFS(Games_45056[ATHLETE 2],Analysis_95157[[#This Row],[Athletes]],Games_45056[RESULT 12],Analysis_95157[[#Headers],[WIN]]),COUNTIFS(Games_45056[ATHLETE 3],Analysis_95157[[#This Row],[Athletes]],Games_45056[RESULT 34],Analysis_95157[[#Headers],[WIN]]),COUNTIFS(Games_45056[ATHLETE 4],Analysis_95157[[#This Row],[Athletes]],Games_45056[RESULT 34],Analysis_95157[[#Headers],[WIN]]))</f>
        <v>1</v>
      </c>
      <c r="D29" s="14">
        <f>SUM(COUNTIFS(Games_45056[ATHLETE 1],Analysis_95157[[#This Row],[Athletes]],Games_45056[RESULT 12],Analysis_95157[[#Headers],[LOSE]]),COUNTIFS(Games_45056[ATHLETE 2],Analysis_95157[[#This Row],[Athletes]],Games_45056[RESULT 12],Analysis_95157[[#Headers],[LOSE]]),COUNTIFS(Games_45056[ATHLETE 3],Analysis_95157[[#This Row],[Athletes]],Games_45056[RESULT 34],Analysis_95157[[#Headers],[LOSE]]),COUNTIFS(Games_45056[ATHLETE 4],Analysis_95157[[#This Row],[Athletes]],Games_45056[RESULT 34],Analysis_95157[[#Headers],[LOSE]]))</f>
        <v>3</v>
      </c>
      <c r="E29" s="19">
        <f>SUM(SUMIF(Games_45056[ATHLETE 1],Analysis_95157[[#This Row],[Athletes]],Games_45056[SALDO 12]),SUMIF(Games_45056[ATHLETE 2],Analysis_95157[[#This Row],[Athletes]],Games_45056[SALDO 12]),SUMIF(Games_45056[ATHLETE 3],Analysis_95157[[#This Row],[Athletes]],Games_45056[SALDO 34]),SUMIF(Games_45056[ATHLETE 4],Analysis_95157[[#This Row],[Athletes]],Games_45056[SALDO 34]))</f>
        <v>-23</v>
      </c>
      <c r="F29" s="19">
        <f>SUM(SUMIF(Games_45056[ATHLETE 1],Analysis_95157[[#This Row],[Athletes]],Games_45056[PM 12]),SUMIF(Games_45056[ATHLETE 2],Analysis_95157[[#This Row],[Athletes]],Games_45056[PM 12]),SUMIF(Games_45056[ATHLETE 3],Analysis_95157[[#This Row],[Athletes]],Games_45056[PM 34]),SUMIF(Games_45056[ATHLETE 4],Analysis_95157[[#This Row],[Athletes]],Games_45056[PM 34]))</f>
        <v>47</v>
      </c>
      <c r="G29" s="14" t="str">
        <f>IF(COUNTBLANK(Games_45056[[SCORE 1]:[SCORE 2]])=0,IF(RANK(H29,$H$25:$H$29)=1,RANK(H29,$H$25:$H$29)&amp;"st",IF(RANK(H29,$H$25:$H$29)=2,RANK(H29,$H$25:$H$29)&amp;"nd",IF(RANK(H29,$H$25:$H$29)=3,RANK(H29,$H$25:$H$29)&amp;"rd",RANK(H29,$H$25:$H$29)&amp;"th"))),"")</f>
        <v>5th</v>
      </c>
      <c r="H29" s="51">
        <f>IF(COUNTBLANK(Games_45056[[SCORE 1]:[SCORE 2]])=0,Analysis_95157[[#This Row],[WIN]]*1000000+Analysis_95157[[#This Row],[Saldo]]*1000+Analysis_95157[[#This Row],[PM]],"")</f>
        <v>977047</v>
      </c>
      <c r="I29" s="2">
        <f>Analysis_95157[[#This Row],[Rank support]]</f>
        <v>977047</v>
      </c>
      <c r="J29" s="2" t="str">
        <f>IF(COUNTBLANK(Games_45056[[SCORE 1]:[SCORE 2]])=0,IF(RANK(I29,$I$25:$I$44)=1,RANK(I29,$I$25:$I$44)&amp;"st",IF(RANK(I29,$I$25:$I$44)=2,RANK(I29,$I$25:$I$44)&amp;"nd",IF(RANK(I29,$I$25:$I$44)=3,RANK(I29,$I$25:$I$44)&amp;"rd",RANK(I29,$I$25:$I$44)&amp;"th"))),"")</f>
        <v>18th</v>
      </c>
      <c r="K29" s="38" t="str">
        <f>Analysis_95157[[#This Row],[Athletes]]</f>
        <v>Bruno C.</v>
      </c>
      <c r="L29" s="44" t="str">
        <f>J29</f>
        <v>18th</v>
      </c>
      <c r="M29" s="418" t="s">
        <v>193</v>
      </c>
      <c r="N29" s="418" t="s">
        <v>194</v>
      </c>
      <c r="O29" s="542" t="s">
        <v>195</v>
      </c>
      <c r="P29" s="543"/>
      <c r="Q29" s="418" t="s">
        <v>196</v>
      </c>
      <c r="R29" s="418" t="s">
        <v>197</v>
      </c>
    </row>
    <row r="30" spans="1:27" s="44" customFormat="1" ht="28.5" customHeight="1">
      <c r="A30"/>
      <c r="B30"/>
      <c r="C30"/>
      <c r="D30"/>
      <c r="E30"/>
      <c r="F30"/>
      <c r="G30"/>
      <c r="H30"/>
      <c r="I30" s="2">
        <f>H32</f>
        <v>993054</v>
      </c>
      <c r="J30" s="2" t="str">
        <f>IF(COUNTBLANK(Games_45056[[SCORE 1]:[SCORE 2]])=0,IF(RANK(I30,$I$25:$I$44)=1,RANK(I30,$I$25:$I$44)&amp;"st",IF(RANK(I30,$I$25:$I$44)=2,RANK(I30,$I$25:$I$44)&amp;"nd",IF(RANK(I30,$I$25:$I$44)=3,RANK(I30,$I$25:$I$44)&amp;"rd",RANK(I30,$I$25:$I$44)&amp;"th"))),"")</f>
        <v>16th</v>
      </c>
      <c r="K30" s="38" t="str">
        <f>B32</f>
        <v>Jovan</v>
      </c>
      <c r="M30" s="147" t="str" cm="1">
        <f t="array" ref="M30">_xlfn.TEXTJOIN(", ", TRUE, _xlfn._xlws.FILTER($K$25:$K$44, $J$25:$J$44=$U$5, ""))</f>
        <v>Zak</v>
      </c>
      <c r="N30" s="147" t="str" cm="1">
        <f t="array" ref="N30">_xlfn.TEXTJOIN(", ", TRUE, _xlfn._xlws.FILTER($K$25:$K$44, $J$25:$J$44=$U$6, ""))</f>
        <v>Matheus T.</v>
      </c>
      <c r="O30" s="119">
        <v>0</v>
      </c>
      <c r="P30" s="119">
        <v>18</v>
      </c>
      <c r="Q30" s="147" t="str" cm="1">
        <f t="array" ref="Q30">_xlfn.TEXTJOIN(", ", TRUE, _xlfn._xlws.FILTER($K$25:$K$44, $J$25:$J$44=$U$7, ""))</f>
        <v>Bebeto</v>
      </c>
      <c r="R30" s="162" t="str">
        <f>B36</f>
        <v>Marcelo</v>
      </c>
      <c r="T30"/>
      <c r="U30"/>
    </row>
    <row r="31" spans="1:27" ht="15.95">
      <c r="A31" s="9" t="s">
        <v>184</v>
      </c>
      <c r="B31" s="148" t="s">
        <v>203</v>
      </c>
      <c r="C31" s="48" t="s">
        <v>186</v>
      </c>
      <c r="D31" s="48" t="s">
        <v>187</v>
      </c>
      <c r="E31" s="48" t="s">
        <v>188</v>
      </c>
      <c r="F31" s="48" t="s">
        <v>189</v>
      </c>
      <c r="G31" s="419" t="s">
        <v>8</v>
      </c>
      <c r="H31" s="126" t="s">
        <v>204</v>
      </c>
      <c r="I31" s="2">
        <f>H33</f>
        <v>1999053</v>
      </c>
      <c r="J31" s="2" t="str">
        <f>IF(COUNTBLANK(Games_45056[[SCORE 1]:[SCORE 2]])=0,IF(RANK(I31,$I$25:$I$44)=1,RANK(I31,$I$25:$I$44)&amp;"st",IF(RANK(I31,$I$25:$I$44)=2,RANK(I31,$I$25:$I$44)&amp;"nd",IF(RANK(I31,$I$25:$I$44)=3,RANK(I31,$I$25:$I$44)&amp;"rd",RANK(I31,$I$25:$I$44)&amp;"th"))),"")</f>
        <v>11th</v>
      </c>
      <c r="K31" s="38" t="str">
        <f t="shared" ref="K31:K34" si="2">B33</f>
        <v>Guti</v>
      </c>
      <c r="L31" s="419" t="s">
        <v>192</v>
      </c>
      <c r="M31" s="127" t="str">
        <f>IF(OR(O26="",O31=""),"",IF($O$31="lose",IF(RANK(M32,$T$32:$W$32)=1,$U$7,IF(RANK(M32,$T$32:$W$32)=2,$U$8,IF(RANK(M32,$T$32:$W$32)=3,$U$9,$U$10))),""))</f>
        <v>5th</v>
      </c>
      <c r="N31" s="127" t="str">
        <f>IF(OR(O26="",O31=""),"",IF($O$31="lose",IF(RANK(N32,$T$32:$W$32)=1,$U$7,IF(RANK(N32,$T$32:$W$32)=2,$U$8,IF(RANK(N32,$T$32:$W$32)=3,$U$9,$U$10))),""))</f>
        <v>6th</v>
      </c>
      <c r="O31" s="2" t="str">
        <f>IF(OR(O30="",P30=""),"",IF((O30&gt;P30),"WIN","LOSE"))</f>
        <v>LOSE</v>
      </c>
      <c r="P31" s="2" t="str">
        <f>IF(OR(O30="",P30=""),"",IF((O30&lt;P30),"WIN","LOSE"))</f>
        <v>WIN</v>
      </c>
      <c r="Q31" s="127" t="str">
        <f>IF(OR(O26="",O31=""),"",IF($P$31="lose",IF(RANK(Q32,$T$32:$W$32)=1,$U$7,IF(RANK(Q32,$T$32:$W$32)=2,$U$8,IF(RANK(Q32,$T$32:$W$32)=3,$U$9,$U$10))),""))</f>
        <v/>
      </c>
      <c r="R31" s="127" t="str">
        <f>IF(OR(O26="",O31=""),"",IF($P$31="lose",IF(RANK(R32,$T$32:$W$32)=1,$U$7,IF(RANK(R32,$T$32:$W$32)=2,$U$8,IF(RANK(R32,$T$32:$W$32)=3,$U$9,$U$10))),""))</f>
        <v/>
      </c>
      <c r="V31" s="90"/>
      <c r="W31" s="90"/>
      <c r="X31" s="90"/>
      <c r="Y31" s="90"/>
      <c r="Z31" s="90"/>
      <c r="AA31" s="90"/>
    </row>
    <row r="32" spans="1:27">
      <c r="A32" s="430" t="s">
        <v>209</v>
      </c>
      <c r="B32" s="128" t="s">
        <v>96</v>
      </c>
      <c r="C32" s="14">
        <f>SUM(COUNTIFS(Games_45056[ATHLETE 1],Analysis_105258[[#This Row],[Athletes]],Games_45056[RESULT 12],Analysis_95157[[#Headers],[WIN]]),COUNTIFS(Games_45056[ATHLETE 2],Analysis_105258[[#This Row],[Athletes]],Games_45056[RESULT 12],Analysis_95157[[#Headers],[WIN]]),COUNTIFS(Games_45056[ATHLETE 3],Analysis_105258[[#This Row],[Athletes]],Games_45056[RESULT 34],Analysis_95157[[#Headers],[WIN]]),COUNTIFS(Games_45056[ATHLETE 4],Analysis_105258[[#This Row],[Athletes]],Games_45056[RESULT 34],Analysis_95157[[#Headers],[WIN]]))</f>
        <v>1</v>
      </c>
      <c r="D32" s="14">
        <f>SUM(COUNTIFS(Games_45056[ATHLETE 1],Analysis_105258[[#This Row],[Athletes]],Games_45056[RESULT 12],Analysis_95157[[#Headers],[LOSE]]),COUNTIFS(Games_45056[ATHLETE 2],Analysis_105258[[#This Row],[Athletes]],Games_45056[RESULT 12],Analysis_95157[[#Headers],[LOSE]]),COUNTIFS(Games_45056[ATHLETE 3],Analysis_105258[[#This Row],[Athletes]],Games_45056[RESULT 34],Analysis_95157[[#Headers],[LOSE]]),COUNTIFS(Games_45056[ATHLETE 4],Analysis_105258[[#This Row],[Athletes]],Games_45056[RESULT 34],Analysis_95157[[#Headers],[LOSE]]))</f>
        <v>3</v>
      </c>
      <c r="E32" s="19">
        <f>SUM(SUMIF(Games_45056[ATHLETE 1],Analysis_105258[[#This Row],[Athletes]],Games_45056[SALDO 12]),SUMIF(Games_45056[ATHLETE 2],Analysis_105258[[#This Row],[Athletes]],Games_45056[SALDO 12]),SUMIF(Games_45056[ATHLETE 3],Analysis_105258[[#This Row],[Athletes]],Games_45056[SALDO 34]),SUMIF(Games_45056[ATHLETE 4],Analysis_105258[[#This Row],[Athletes]],Games_45056[SALDO 34]))</f>
        <v>-7</v>
      </c>
      <c r="F32" s="19">
        <f>SUM(SUMIF(Games_45056[ATHLETE 1],Analysis_105258[[#This Row],[Athletes]],Games_45056[PM 12]),SUMIF(Games_45056[ATHLETE 2],Analysis_105258[[#This Row],[Athletes]],Games_45056[PM 12]),SUMIF(Games_45056[ATHLETE 3],Analysis_105258[[#This Row],[Athletes]],Games_45056[PM 34]),SUMIF(Games_45056[ATHLETE 4],Analysis_105258[[#This Row],[Athletes]],Games_45056[PM 34]))</f>
        <v>54</v>
      </c>
      <c r="G32" s="14" t="str">
        <f>IF(COUNTBLANK(Games_45056[[SCORE 1]:[SCORE 2]])=0,IF(RANK(H32,$H$32:$H$36)=1,RANK(H32,$H$32:$H$36)&amp;"st",IF(RANK(H32,$H$32:$H$36)=2,RANK(H32,$H$32:$H$36)&amp;"nd",IF(RANK(H32,$H$32:$H$36)=3,RANK(H32,$H$32:$H$36)&amp;"rd",RANK(H32,$H$32:$H$36)&amp;"th"))),"")</f>
        <v>4th</v>
      </c>
      <c r="H32" s="51">
        <f>IF(COUNTBLANK(Games_45056[[SCORE 1]:[SCORE 2]])=0,Analysis_105258[[#This Row],[WIN]]*1000000+Analysis_105258[[#This Row],[Saldo]]*1000+Analysis_105258[[#This Row],[PM]],"")</f>
        <v>993054</v>
      </c>
      <c r="I32" s="2">
        <f>H34</f>
        <v>972043</v>
      </c>
      <c r="J32" s="2" t="str">
        <f>IF(COUNTBLANK(Games_45056[[SCORE 1]:[SCORE 2]])=0,IF(RANK(I32,$I$25:$I$44)=1,RANK(I32,$I$25:$I$44)&amp;"st",IF(RANK(I32,$I$25:$I$44)=2,RANK(I32,$I$25:$I$44)&amp;"nd",IF(RANK(I32,$I$25:$I$44)=3,RANK(I32,$I$25:$I$44)&amp;"rd",RANK(I32,$I$25:$I$44)&amp;"th"))),"")</f>
        <v>19th</v>
      </c>
      <c r="K32" s="38" t="str">
        <f t="shared" si="2"/>
        <v>Tizoc</v>
      </c>
      <c r="L32" s="44" t="str">
        <f>J30</f>
        <v>16th</v>
      </c>
      <c r="M32" s="90">
        <f>_xlfn.XLOOKUP(M30,$K$25:$K$44,$I$25:$I$44,"")</f>
        <v>4023072</v>
      </c>
      <c r="N32" s="90">
        <f>_xlfn.XLOOKUP(N30,$K$25:$K$44,$I$25:$I$44,"")</f>
        <v>3011067</v>
      </c>
      <c r="O32" s="90" t="str">
        <f t="shared" ref="O32:P32" si="3">_xlfn.XLOOKUP(O30,$K$25:$K$40,$I$25:$I$40,"")</f>
        <v/>
      </c>
      <c r="P32" s="90" t="str">
        <f t="shared" si="3"/>
        <v/>
      </c>
      <c r="Q32" s="90">
        <f>_xlfn.XLOOKUP(Q30,$K$25:$K$44,$I$25:$I$44,"")</f>
        <v>3004063</v>
      </c>
      <c r="R32" s="90">
        <f>_xlfn.XLOOKUP(R30,$K$25:$K$44,$I$25:$I$44,"")</f>
        <v>2007063</v>
      </c>
      <c r="T32" s="90" cm="1">
        <f t="array" ref="T32:U32">IF(O26="","",IF(O26="lose",CHOOSE({1,2},M27,N27),CHOOSE({1,2},Q27,R27)))</f>
        <v>2004066</v>
      </c>
      <c r="U32" s="90">
        <v>2002059</v>
      </c>
      <c r="V32" s="90" cm="1">
        <f t="array" ref="V32:W32">IF(O31="","",IF(O31="lose",CHOOSE({1,2},M32,N32),CHOOSE({1,2},Q32,R32)))</f>
        <v>4023072</v>
      </c>
      <c r="W32" s="90">
        <v>3011067</v>
      </c>
      <c r="X32" s="90"/>
      <c r="Y32" s="90"/>
      <c r="Z32" s="90"/>
      <c r="AA32" s="90"/>
    </row>
    <row r="33" spans="1:27">
      <c r="A33" s="430" t="s">
        <v>210</v>
      </c>
      <c r="B33" s="128" t="s">
        <v>93</v>
      </c>
      <c r="C33" s="14">
        <f>SUM(COUNTIFS(Games_45056[ATHLETE 1],Analysis_105258[[#This Row],[Athletes]],Games_45056[RESULT 12],Analysis_95157[[#Headers],[WIN]]),COUNTIFS(Games_45056[ATHLETE 2],Analysis_105258[[#This Row],[Athletes]],Games_45056[RESULT 12],Analysis_95157[[#Headers],[WIN]]),COUNTIFS(Games_45056[ATHLETE 3],Analysis_105258[[#This Row],[Athletes]],Games_45056[RESULT 34],Analysis_95157[[#Headers],[WIN]]),COUNTIFS(Games_45056[ATHLETE 4],Analysis_105258[[#This Row],[Athletes]],Games_45056[RESULT 34],Analysis_95157[[#Headers],[WIN]]))</f>
        <v>2</v>
      </c>
      <c r="D33" s="14">
        <f>SUM(COUNTIFS(Games_45056[ATHLETE 1],Analysis_105258[[#This Row],[Athletes]],Games_45056[RESULT 12],Analysis_95157[[#Headers],[LOSE]]),COUNTIFS(Games_45056[ATHLETE 2],Analysis_105258[[#This Row],[Athletes]],Games_45056[RESULT 12],Analysis_95157[[#Headers],[LOSE]]),COUNTIFS(Games_45056[ATHLETE 3],Analysis_105258[[#This Row],[Athletes]],Games_45056[RESULT 34],Analysis_95157[[#Headers],[LOSE]]),COUNTIFS(Games_45056[ATHLETE 4],Analysis_105258[[#This Row],[Athletes]],Games_45056[RESULT 34],Analysis_95157[[#Headers],[LOSE]]))</f>
        <v>2</v>
      </c>
      <c r="E33" s="19">
        <f>SUM(SUMIF(Games_45056[ATHLETE 1],Analysis_105258[[#This Row],[Athletes]],Games_45056[SALDO 12]),SUMIF(Games_45056[ATHLETE 2],Analysis_105258[[#This Row],[Athletes]],Games_45056[SALDO 12]),SUMIF(Games_45056[ATHLETE 3],Analysis_105258[[#This Row],[Athletes]],Games_45056[SALDO 34]),SUMIF(Games_45056[ATHLETE 4],Analysis_105258[[#This Row],[Athletes]],Games_45056[SALDO 34]))</f>
        <v>-1</v>
      </c>
      <c r="F33" s="19">
        <f>SUM(SUMIF(Games_45056[ATHLETE 1],Analysis_105258[[#This Row],[Athletes]],Games_45056[PM 12]),SUMIF(Games_45056[ATHLETE 2],Analysis_105258[[#This Row],[Athletes]],Games_45056[PM 12]),SUMIF(Games_45056[ATHLETE 3],Analysis_105258[[#This Row],[Athletes]],Games_45056[PM 34]),SUMIF(Games_45056[ATHLETE 4],Analysis_105258[[#This Row],[Athletes]],Games_45056[PM 34]))</f>
        <v>53</v>
      </c>
      <c r="G33" s="14" t="str">
        <f>IF(COUNTBLANK(Games_45056[[SCORE 1]:[SCORE 2]])=0,IF(RANK(H33,$H$32:$H$36)=1,RANK(H33,$H$32:$H$36)&amp;"st",IF(RANK(H33,$H$32:$H$36)=2,RANK(H33,$H$32:$H$36)&amp;"nd",IF(RANK(H33,$H$32:$H$36)=3,RANK(H33,$H$32:$H$36)&amp;"rd",RANK(H33,$H$32:$H$36)&amp;"th"))),"")</f>
        <v>3rd</v>
      </c>
      <c r="H33" s="51">
        <f>IF(COUNTBLANK(Games_45056[[SCORE 1]:[SCORE 2]])=0,Analysis_105258[[#This Row],[WIN]]*1000000+Analysis_105258[[#This Row],[Saldo]]*1000+Analysis_105258[[#This Row],[PM]],"")</f>
        <v>1999053</v>
      </c>
      <c r="I33" s="2">
        <f>H35</f>
        <v>4029073</v>
      </c>
      <c r="J33" s="2" t="str">
        <f>IF(COUNTBLANK(Games_45056[[SCORE 1]:[SCORE 2]])=0,IF(RANK(I33,$I$25:$I$44)=1,RANK(I33,$I$25:$I$44)&amp;"st",IF(RANK(I33,$I$25:$I$44)=2,RANK(I33,$I$25:$I$44)&amp;"nd",IF(RANK(I33,$I$25:$I$44)=3,RANK(I33,$I$25:$I$44)&amp;"rd",RANK(I33,$I$25:$I$44)&amp;"th"))),"")</f>
        <v>1st</v>
      </c>
      <c r="K33" s="38" t="str">
        <f t="shared" si="2"/>
        <v>Matheus L.</v>
      </c>
      <c r="L33" s="44" t="str">
        <f t="shared" ref="L33:L36" si="4">J31</f>
        <v>11th</v>
      </c>
      <c r="M33" s="90">
        <f>IFERROR(RANK(M32,_xlfn.ANCHORARRAY($T$25),0),"")</f>
        <v>3</v>
      </c>
      <c r="N33" s="90">
        <f>IFERROR(RANK(N32,_xlfn.ANCHORARRAY($T$25),0),"")</f>
        <v>4</v>
      </c>
      <c r="O33" s="90" t="str">
        <f>IFERROR(RANK(O32,$M$27:$R$27:$M$32:$R$32,1),"")</f>
        <v/>
      </c>
      <c r="P33" s="90" t="str">
        <f>IFERROR(RANK(P32,$M$27:$R$27:$M$32:$R$32,1),"")</f>
        <v/>
      </c>
      <c r="Q33" s="90">
        <f>IFERROR(RANK(Q32,_xlfn.ANCHORARRAY($T$25),0),"")</f>
        <v>5</v>
      </c>
      <c r="R33" s="90">
        <f>IFERROR(RANK(R32,_xlfn.ANCHORARRAY($T$25),0),"")</f>
        <v>6</v>
      </c>
      <c r="V33" s="90"/>
      <c r="W33" s="90"/>
      <c r="X33" s="90"/>
      <c r="Y33" s="90"/>
      <c r="Z33" s="90"/>
      <c r="AA33" s="90"/>
    </row>
    <row r="34" spans="1:27" ht="29.1">
      <c r="A34" s="430" t="s">
        <v>211</v>
      </c>
      <c r="B34" s="128" t="s">
        <v>92</v>
      </c>
      <c r="C34" s="14">
        <f>SUM(COUNTIFS(Games_45056[ATHLETE 1],Analysis_105258[[#This Row],[Athletes]],Games_45056[RESULT 12],Analysis_95157[[#Headers],[WIN]]),COUNTIFS(Games_45056[ATHLETE 2],Analysis_105258[[#This Row],[Athletes]],Games_45056[RESULT 12],Analysis_95157[[#Headers],[WIN]]),COUNTIFS(Games_45056[ATHLETE 3],Analysis_105258[[#This Row],[Athletes]],Games_45056[RESULT 34],Analysis_95157[[#Headers],[WIN]]),COUNTIFS(Games_45056[ATHLETE 4],Analysis_105258[[#This Row],[Athletes]],Games_45056[RESULT 34],Analysis_95157[[#Headers],[WIN]]))</f>
        <v>1</v>
      </c>
      <c r="D34" s="14">
        <f>SUM(COUNTIFS(Games_45056[ATHLETE 1],Analysis_105258[[#This Row],[Athletes]],Games_45056[RESULT 12],Analysis_95157[[#Headers],[LOSE]]),COUNTIFS(Games_45056[ATHLETE 2],Analysis_105258[[#This Row],[Athletes]],Games_45056[RESULT 12],Analysis_95157[[#Headers],[LOSE]]),COUNTIFS(Games_45056[ATHLETE 3],Analysis_105258[[#This Row],[Athletes]],Games_45056[RESULT 34],Analysis_95157[[#Headers],[LOSE]]),COUNTIFS(Games_45056[ATHLETE 4],Analysis_105258[[#This Row],[Athletes]],Games_45056[RESULT 34],Analysis_95157[[#Headers],[LOSE]]))</f>
        <v>3</v>
      </c>
      <c r="E34" s="19">
        <f>SUM(SUMIF(Games_45056[ATHLETE 1],Analysis_105258[[#This Row],[Athletes]],Games_45056[SALDO 12]),SUMIF(Games_45056[ATHLETE 2],Analysis_105258[[#This Row],[Athletes]],Games_45056[SALDO 12]),SUMIF(Games_45056[ATHLETE 3],Analysis_105258[[#This Row],[Athletes]],Games_45056[SALDO 34]),SUMIF(Games_45056[ATHLETE 4],Analysis_105258[[#This Row],[Athletes]],Games_45056[SALDO 34]))</f>
        <v>-28</v>
      </c>
      <c r="F34" s="19">
        <f>SUM(SUMIF(Games_45056[ATHLETE 1],Analysis_105258[[#This Row],[Athletes]],Games_45056[PM 12]),SUMIF(Games_45056[ATHLETE 2],Analysis_105258[[#This Row],[Athletes]],Games_45056[PM 12]),SUMIF(Games_45056[ATHLETE 3],Analysis_105258[[#This Row],[Athletes]],Games_45056[PM 34]),SUMIF(Games_45056[ATHLETE 4],Analysis_105258[[#This Row],[Athletes]],Games_45056[PM 34]))</f>
        <v>43</v>
      </c>
      <c r="G34" s="14" t="str">
        <f>IF(COUNTBLANK(Games_45056[[SCORE 1]:[SCORE 2]])=0,IF(RANK(H34,$H$32:$H$36)=1,RANK(H34,$H$32:$H$36)&amp;"st",IF(RANK(H34,$H$32:$H$36)=2,RANK(H34,$H$32:$H$36)&amp;"nd",IF(RANK(H34,$H$32:$H$36)=3,RANK(H34,$H$32:$H$36)&amp;"rd",RANK(H34,$H$32:$H$36)&amp;"th"))),"")</f>
        <v>5th</v>
      </c>
      <c r="H34" s="51">
        <f>IF(COUNTBLANK(Games_45056[[SCORE 1]:[SCORE 2]])=0,Analysis_105258[[#This Row],[WIN]]*1000000+Analysis_105258[[#This Row],[Saldo]]*1000+Analysis_105258[[#This Row],[PM]],"")</f>
        <v>972043</v>
      </c>
      <c r="I34" s="2">
        <f>H36</f>
        <v>2007063</v>
      </c>
      <c r="J34" s="2" t="str">
        <f>IF(COUNTBLANK(Games_45056[[SCORE 1]:[SCORE 2]])=0,IF(RANK(I34,$I$25:$I$44)=1,RANK(I34,$I$25:$I$44)&amp;"st",IF(RANK(I34,$I$25:$I$44)=2,RANK(I34,$I$25:$I$44)&amp;"nd",IF(RANK(I34,$I$25:$I$44)=3,RANK(I34,$I$25:$I$44)&amp;"rd",RANK(I34,$I$25:$I$44)&amp;"th"))),"")</f>
        <v>7th</v>
      </c>
      <c r="K34" s="38" t="str">
        <f t="shared" si="2"/>
        <v>Marcelo</v>
      </c>
      <c r="L34" s="44" t="str">
        <f t="shared" si="4"/>
        <v>19th</v>
      </c>
      <c r="M34" s="548" t="s">
        <v>199</v>
      </c>
      <c r="N34" s="549"/>
      <c r="O34" s="549"/>
      <c r="P34" s="549"/>
      <c r="Q34" s="549"/>
      <c r="R34" s="549"/>
      <c r="T34" s="90" t="str" cm="1">
        <f t="array" ref="T34:U34">(IF(O26="lose",CHOOSE({1,2},M26,N26),CHOOSE({1,2},Q26,R26)))</f>
        <v>7th</v>
      </c>
      <c r="U34" s="90" t="str">
        <v>8th</v>
      </c>
      <c r="V34" s="90" t="str" cm="1">
        <f t="array" ref="V34:W34">(IF(O31="lose",CHOOSE({1,2},N31,M31),CHOOSE({1,2},Q31,R31)))</f>
        <v>6th</v>
      </c>
      <c r="W34" s="90" t="str">
        <v>5th</v>
      </c>
      <c r="X34" s="90"/>
      <c r="Y34" s="90"/>
      <c r="Z34" s="90"/>
      <c r="AA34" s="90"/>
    </row>
    <row r="35" spans="1:27">
      <c r="A35" s="430" t="s">
        <v>212</v>
      </c>
      <c r="B35" s="128" t="s">
        <v>78</v>
      </c>
      <c r="C35" s="14">
        <f>SUM(COUNTIFS(Games_45056[ATHLETE 1],Analysis_105258[[#This Row],[Athletes]],Games_45056[RESULT 12],Analysis_95157[[#Headers],[WIN]]),COUNTIFS(Games_45056[ATHLETE 2],Analysis_105258[[#This Row],[Athletes]],Games_45056[RESULT 12],Analysis_95157[[#Headers],[WIN]]),COUNTIFS(Games_45056[ATHLETE 3],Analysis_105258[[#This Row],[Athletes]],Games_45056[RESULT 34],Analysis_95157[[#Headers],[WIN]]),COUNTIFS(Games_45056[ATHLETE 4],Analysis_105258[[#This Row],[Athletes]],Games_45056[RESULT 34],Analysis_95157[[#Headers],[WIN]]))</f>
        <v>4</v>
      </c>
      <c r="D35" s="14">
        <f>SUM(COUNTIFS(Games_45056[ATHLETE 1],Analysis_105258[[#This Row],[Athletes]],Games_45056[RESULT 12],Analysis_95157[[#Headers],[LOSE]]),COUNTIFS(Games_45056[ATHLETE 2],Analysis_105258[[#This Row],[Athletes]],Games_45056[RESULT 12],Analysis_95157[[#Headers],[LOSE]]),COUNTIFS(Games_45056[ATHLETE 3],Analysis_105258[[#This Row],[Athletes]],Games_45056[RESULT 34],Analysis_95157[[#Headers],[LOSE]]),COUNTIFS(Games_45056[ATHLETE 4],Analysis_105258[[#This Row],[Athletes]],Games_45056[RESULT 34],Analysis_95157[[#Headers],[LOSE]]))</f>
        <v>0</v>
      </c>
      <c r="E35" s="19">
        <f>SUM(SUMIF(Games_45056[ATHLETE 1],Analysis_105258[[#This Row],[Athletes]],Games_45056[SALDO 12]),SUMIF(Games_45056[ATHLETE 2],Analysis_105258[[#This Row],[Athletes]],Games_45056[SALDO 12]),SUMIF(Games_45056[ATHLETE 3],Analysis_105258[[#This Row],[Athletes]],Games_45056[SALDO 34]),SUMIF(Games_45056[ATHLETE 4],Analysis_105258[[#This Row],[Athletes]],Games_45056[SALDO 34]))</f>
        <v>29</v>
      </c>
      <c r="F35" s="19">
        <f>SUM(SUMIF(Games_45056[ATHLETE 1],Analysis_105258[[#This Row],[Athletes]],Games_45056[PM 12]),SUMIF(Games_45056[ATHLETE 2],Analysis_105258[[#This Row],[Athletes]],Games_45056[PM 12]),SUMIF(Games_45056[ATHLETE 3],Analysis_105258[[#This Row],[Athletes]],Games_45056[PM 34]),SUMIF(Games_45056[ATHLETE 4],Analysis_105258[[#This Row],[Athletes]],Games_45056[PM 34]))</f>
        <v>73</v>
      </c>
      <c r="G35" s="14" t="str">
        <f>IF(COUNTBLANK(Games_45056[[SCORE 1]:[SCORE 2]])=0,IF(RANK(H35,$H$32:$H$36)=1,RANK(H35,$H$32:$H$36)&amp;"st",IF(RANK(H35,$H$32:$H$36)=2,RANK(H35,$H$32:$H$36)&amp;"nd",IF(RANK(H35,$H$32:$H$36)=3,RANK(H35,$H$32:$H$36)&amp;"rd",RANK(H35,$H$32:$H$36)&amp;"th"))),"")</f>
        <v>1st</v>
      </c>
      <c r="H35" s="51">
        <f>IF(COUNTBLANK(Games_45056[[SCORE 1]:[SCORE 2]])=0,Analysis_105258[[#This Row],[WIN]]*1000000+Analysis_105258[[#This Row],[Saldo]]*1000+Analysis_105258[[#This Row],[PM]],"")</f>
        <v>4029073</v>
      </c>
      <c r="I35" s="2">
        <f>H39</f>
        <v>-22951</v>
      </c>
      <c r="J35" s="2" t="str">
        <f>IF(COUNTBLANK(Games_45056[[SCORE 1]:[SCORE 2]])=0,IF(RANK(I35,$I$25:$I$44)=1,RANK(I35,$I$25:$I$44)&amp;"st",IF(RANK(I35,$I$25:$I$44)=2,RANK(I35,$I$25:$I$44)&amp;"nd",IF(RANK(I35,$I$25:$I$44)=3,RANK(I35,$I$25:$I$44)&amp;"rd",RANK(I35,$I$25:$I$44)&amp;"th"))),"")</f>
        <v>20th</v>
      </c>
      <c r="K35" s="38" t="str">
        <f>B39</f>
        <v>Rannyere</v>
      </c>
      <c r="L35" s="44" t="str">
        <f t="shared" si="4"/>
        <v>1st</v>
      </c>
      <c r="M35" s="418" t="s">
        <v>193</v>
      </c>
      <c r="N35" s="418" t="s">
        <v>194</v>
      </c>
      <c r="O35" s="542" t="s">
        <v>195</v>
      </c>
      <c r="P35" s="543"/>
      <c r="Q35" s="418" t="s">
        <v>196</v>
      </c>
      <c r="R35" s="418" t="s">
        <v>197</v>
      </c>
      <c r="T35" s="90" t="str" cm="1">
        <f t="array" ref="T35:U35">IF(O26="","",IF(O26="lose",CHOOSE({1,2},M25,N25),CHOOSE({1,2},Q25,R25)))</f>
        <v>Jerry</v>
      </c>
      <c r="U35" s="90" t="str">
        <v>Pedro Itajai</v>
      </c>
      <c r="V35" s="90" t="str" cm="1">
        <f t="array" ref="V35:W35">IF(O31="","",IF(O31="lose",CHOOSE({1,2},N30,M30),CHOOSE({1,2},Q30,R30)))</f>
        <v>Matheus T.</v>
      </c>
      <c r="W35" s="90" t="str">
        <v>Zak</v>
      </c>
      <c r="X35" s="90"/>
      <c r="Y35" s="90"/>
      <c r="Z35" s="90"/>
      <c r="AA35" s="90"/>
    </row>
    <row r="36" spans="1:27">
      <c r="A36" s="430" t="s">
        <v>231</v>
      </c>
      <c r="B36" s="128" t="s">
        <v>79</v>
      </c>
      <c r="C36" s="14">
        <f>SUM(COUNTIFS(Games_45056[ATHLETE 1],Analysis_105258[[#This Row],[Athletes]],Games_45056[RESULT 12],Analysis_95157[[#Headers],[WIN]]),COUNTIFS(Games_45056[ATHLETE 2],Analysis_105258[[#This Row],[Athletes]],Games_45056[RESULT 12],Analysis_95157[[#Headers],[WIN]]),COUNTIFS(Games_45056[ATHLETE 3],Analysis_105258[[#This Row],[Athletes]],Games_45056[RESULT 34],Analysis_95157[[#Headers],[WIN]]),COUNTIFS(Games_45056[ATHLETE 4],Analysis_105258[[#This Row],[Athletes]],Games_45056[RESULT 34],Analysis_95157[[#Headers],[WIN]]))</f>
        <v>2</v>
      </c>
      <c r="D36" s="14">
        <f>SUM(COUNTIFS(Games_45056[ATHLETE 1],Analysis_105258[[#This Row],[Athletes]],Games_45056[RESULT 12],Analysis_95157[[#Headers],[LOSE]]),COUNTIFS(Games_45056[ATHLETE 2],Analysis_105258[[#This Row],[Athletes]],Games_45056[RESULT 12],Analysis_95157[[#Headers],[LOSE]]),COUNTIFS(Games_45056[ATHLETE 3],Analysis_105258[[#This Row],[Athletes]],Games_45056[RESULT 34],Analysis_95157[[#Headers],[LOSE]]),COUNTIFS(Games_45056[ATHLETE 4],Analysis_105258[[#This Row],[Athletes]],Games_45056[RESULT 34],Analysis_95157[[#Headers],[LOSE]]))</f>
        <v>2</v>
      </c>
      <c r="E36" s="46">
        <f>SUM(SUMIF(Games_45056[ATHLETE 1],Analysis_105258[[#This Row],[Athletes]],Games_45056[SALDO 12]),SUMIF(Games_45056[ATHLETE 2],Analysis_105258[[#This Row],[Athletes]],Games_45056[SALDO 12]),SUMIF(Games_45056[ATHLETE 3],Analysis_105258[[#This Row],[Athletes]],Games_45056[SALDO 34]),SUMIF(Games_45056[ATHLETE 4],Analysis_105258[[#This Row],[Athletes]],Games_45056[SALDO 34]))</f>
        <v>7</v>
      </c>
      <c r="F36" s="46">
        <f>SUM(SUMIF(Games_45056[ATHLETE 1],Analysis_105258[[#This Row],[Athletes]],Games_45056[PM 12]),SUMIF(Games_45056[ATHLETE 2],Analysis_105258[[#This Row],[Athletes]],Games_45056[PM 12]),SUMIF(Games_45056[ATHLETE 3],Analysis_105258[[#This Row],[Athletes]],Games_45056[PM 34]),SUMIF(Games_45056[ATHLETE 4],Analysis_105258[[#This Row],[Athletes]],Games_45056[PM 34]))</f>
        <v>63</v>
      </c>
      <c r="G36" s="14" t="str">
        <f>IF(COUNTBLANK(Games_45056[[SCORE 1]:[SCORE 2]])=0,IF(RANK(H36,$H$32:$H$36)=1,RANK(H36,$H$32:$H$36)&amp;"st",IF(RANK(H36,$H$32:$H$36)=2,RANK(H36,$H$32:$H$36)&amp;"nd",IF(RANK(H36,$H$32:$H$36)=3,RANK(H36,$H$32:$H$36)&amp;"rd",RANK(H36,$H$32:$H$36)&amp;"th"))),"")</f>
        <v>2nd</v>
      </c>
      <c r="H36" s="51">
        <f>IF(COUNTBLANK(Games_45056[[SCORE 1]:[SCORE 2]])=0,Analysis_105258[[#This Row],[WIN]]*1000000+Analysis_105258[[#This Row],[Saldo]]*1000+Analysis_105258[[#This Row],[PM]],"")</f>
        <v>2007063</v>
      </c>
      <c r="I36" s="2">
        <f>H40</f>
        <v>2001064</v>
      </c>
      <c r="J36" s="2" t="str">
        <f>IF(COUNTBLANK(Games_45056[[SCORE 1]:[SCORE 2]])=0,IF(RANK(I36,$I$25:$I$44)=1,RANK(I36,$I$25:$I$44)&amp;"st",IF(RANK(I36,$I$25:$I$44)=2,RANK(I36,$I$25:$I$44)&amp;"nd",IF(RANK(I36,$I$25:$I$44)=3,RANK(I36,$I$25:$I$44)&amp;"rd",RANK(I36,$I$25:$I$44)&amp;"th"))),"")</f>
        <v>10th</v>
      </c>
      <c r="K36" s="38" t="str">
        <f t="shared" ref="K36:K39" si="5">B40</f>
        <v>Felipe Romanelli</v>
      </c>
      <c r="L36" s="44" t="str">
        <f t="shared" si="4"/>
        <v>7th</v>
      </c>
      <c r="M36" s="428" t="str">
        <f>IF($O$26="","",IF($O$26="win",M25,Q25))</f>
        <v>Matheus L.</v>
      </c>
      <c r="N36" s="428" t="str">
        <f>IF($O$26="","",IF($O$26="win",$N25,$R25))</f>
        <v>Luiz Zuneda</v>
      </c>
      <c r="O36" s="119">
        <v>18</v>
      </c>
      <c r="P36" s="120">
        <v>8</v>
      </c>
      <c r="Q36" s="428" t="str">
        <f>IF($O$31="","",IF($O$31="win",$M30,$Q30))</f>
        <v>Bebeto</v>
      </c>
      <c r="R36" s="428" t="str">
        <f>IF($O$31="","",IF($O$31="win",$N30,$R30))</f>
        <v>Marcelo</v>
      </c>
    </row>
    <row r="37" spans="1:27">
      <c r="I37" s="2">
        <f>H41</f>
        <v>3011067</v>
      </c>
      <c r="J37" s="2" t="str">
        <f>IF(COUNTBLANK(Games_45056[[SCORE 1]:[SCORE 2]])=0,IF(RANK(I37,$I$25:$I$44)=1,RANK(I37,$I$25:$I$44)&amp;"st",IF(RANK(I37,$I$25:$I$44)=2,RANK(I37,$I$25:$I$44)&amp;"nd",IF(RANK(I37,$I$25:$I$44)=3,RANK(I37,$I$25:$I$44)&amp;"rd",RANK(I37,$I$25:$I$44)&amp;"th"))),"")</f>
        <v>4th</v>
      </c>
      <c r="K37" s="38" t="str">
        <f t="shared" si="5"/>
        <v>Matheus T.</v>
      </c>
      <c r="M37" s="62" t="str">
        <f>IF(OR($O$36="",$P$36="",$O$37="win"),"",IF($M$38&gt;$N$38,$U$5,$U$6))</f>
        <v/>
      </c>
      <c r="N37" s="62" t="str">
        <f>IF(OR($O$36="",$P$36="",$O$37="win"),"",IF($M$38&lt;$N$38,$U$5,$U$6))</f>
        <v/>
      </c>
      <c r="O37" s="2" t="str">
        <f>IF(OR(O36="",P36=""),"",IF((O36&gt;P36),"WIN","LOSE"))</f>
        <v>WIN</v>
      </c>
      <c r="P37" s="2" t="str">
        <f>IF(OR(O36="",P36=""),"",IF((O36&lt;P36),"WIN","LOSE"))</f>
        <v>LOSE</v>
      </c>
      <c r="Q37" s="62" t="str">
        <f>IF(OR($O$36="",$P$36="",$P$37="win"),"",IF($Q$38&gt;$R$38,$U$5,$U$6))</f>
        <v>3rd</v>
      </c>
      <c r="R37" s="62" t="str">
        <f>IF(OR($O$36="",$P$36="",$P$37="win"),"",IF($Q$38&lt;$R$38,$U$5,$U$6))</f>
        <v>4th</v>
      </c>
    </row>
    <row r="38" spans="1:27" ht="15.95">
      <c r="A38" s="9" t="s">
        <v>184</v>
      </c>
      <c r="B38" s="148" t="s">
        <v>203</v>
      </c>
      <c r="C38" s="10" t="s">
        <v>186</v>
      </c>
      <c r="D38" s="10" t="s">
        <v>187</v>
      </c>
      <c r="E38" s="10" t="s">
        <v>188</v>
      </c>
      <c r="F38" s="10" t="s">
        <v>189</v>
      </c>
      <c r="G38" s="7" t="s">
        <v>8</v>
      </c>
      <c r="H38" s="78" t="s">
        <v>204</v>
      </c>
      <c r="I38" s="2">
        <f>H42</f>
        <v>2007065</v>
      </c>
      <c r="J38" s="2" t="str">
        <f>IF(COUNTBLANK(Games_45056[[SCORE 1]:[SCORE 2]])=0,IF(RANK(I38,$I$25:$I$44)=1,RANK(I38,$I$25:$I$44)&amp;"st",IF(RANK(I38,$I$25:$I$44)=2,RANK(I38,$I$25:$I$44)&amp;"nd",IF(RANK(I38,$I$25:$I$44)=3,RANK(I38,$I$25:$I$44)&amp;"rd",RANK(I38,$I$25:$I$44)&amp;"th"))),"")</f>
        <v>6th</v>
      </c>
      <c r="K38" s="38" t="str">
        <f t="shared" si="5"/>
        <v>Luka</v>
      </c>
      <c r="L38" s="20" t="s">
        <v>192</v>
      </c>
      <c r="M38" s="91">
        <f>IF(M39="","",_xlfn.XLOOKUP(M39,$K$25:$K$40,$I$25:$I$40))</f>
        <v>4029073</v>
      </c>
      <c r="N38" s="91" t="e">
        <f>IF(N39="","",_xlfn.XLOOKUP(N39,$K$25:$K$40,$I$25:$I$40))</f>
        <v>#N/A</v>
      </c>
      <c r="O38" s="91"/>
      <c r="P38" s="91"/>
      <c r="Q38" s="91">
        <f>IF(Q39="","",_xlfn.XLOOKUP(Q39,$K$25:$K$44,$I$25:$I$44))</f>
        <v>3004063</v>
      </c>
      <c r="R38" s="91">
        <f>IF(R39="","",_xlfn.XLOOKUP(R39,$K$25:$K$44,$I$25:$I$44))</f>
        <v>2007063</v>
      </c>
    </row>
    <row r="39" spans="1:27">
      <c r="A39" s="430" t="s">
        <v>213</v>
      </c>
      <c r="B39" s="128" t="s">
        <v>98</v>
      </c>
      <c r="C39" s="14">
        <f>SUM(COUNTIFS(Games_45056[ATHLETE 1],Analysis_115460[[#This Row],[Athletes]],Games_45056[RESULT 12],Analysis_95157[[#Headers],[WIN]]),COUNTIFS(Games_45056[ATHLETE 2],Analysis_115460[[#This Row],[Athletes]],Games_45056[RESULT 12],Analysis_95157[[#Headers],[WIN]]),COUNTIFS(Games_45056[ATHLETE 3],Analysis_115460[[#This Row],[Athletes]],Games_45056[RESULT 34],Analysis_95157[[#Headers],[WIN]]),COUNTIFS(Games_45056[ATHLETE 4],Analysis_115460[[#This Row],[Athletes]],Games_45056[RESULT 34],Analysis_95157[[#Headers],[WIN]]))</f>
        <v>0</v>
      </c>
      <c r="D39" s="14">
        <f>SUM(COUNTIFS(Games_45056[ATHLETE 1],Analysis_115460[[#This Row],[Athletes]],Games_45056[RESULT 12],Analysis_95157[[#Headers],[LOSE]]),COUNTIFS(Games_45056[ATHLETE 2],Analysis_115460[[#This Row],[Athletes]],Games_45056[RESULT 12],Analysis_95157[[#Headers],[LOSE]]),COUNTIFS(Games_45056[ATHLETE 3],Analysis_115460[[#This Row],[Athletes]],Games_45056[RESULT 34],Analysis_95157[[#Headers],[LOSE]]),COUNTIFS(Games_45056[ATHLETE 4],Analysis_115460[[#This Row],[Athletes]],Games_45056[RESULT 34],Analysis_95157[[#Headers],[LOSE]]))</f>
        <v>4</v>
      </c>
      <c r="E39" s="19">
        <f>SUM(SUMIF(Games_45056[ATHLETE 1],Analysis_115460[[#This Row],[Athletes]],Games_45056[SALDO 12]),SUMIF(Games_45056[ATHLETE 2],Analysis_115460[[#This Row],[Athletes]],Games_45056[SALDO 12]),SUMIF(Games_45056[ATHLETE 3],Analysis_115460[[#This Row],[Athletes]],Games_45056[SALDO 34]),SUMIF(Games_45056[ATHLETE 4],Analysis_115460[[#This Row],[Athletes]],Games_45056[SALDO 34]))</f>
        <v>-23</v>
      </c>
      <c r="F39" s="19">
        <f>SUM(SUMIF(Games_45056[ATHLETE 1],Analysis_115460[[#This Row],[Athletes]],Games_45056[PM 12]),SUMIF(Games_45056[ATHLETE 2],Analysis_115460[[#This Row],[Athletes]],Games_45056[PM 12]),SUMIF(Games_45056[ATHLETE 3],Analysis_115460[[#This Row],[Athletes]],Games_45056[PM 34]),SUMIF(Games_45056[ATHLETE 4],Analysis_115460[[#This Row],[Athletes]],Games_45056[PM 34]))</f>
        <v>49</v>
      </c>
      <c r="G39" s="14" t="str">
        <f>IF(COUNTBLANK(Games_45056[[SCORE 1]:[SCORE 2]])=0,IF(RANK(H39,$H$39:$H$43)=1,RANK(H39,$H$39:$H$43)&amp;"st",IF(RANK(H39,$H$39:$H$43)=2,RANK(H39,$H$39:$H$43)&amp;"nd",IF(RANK(H39,$H$39:$H$43)=3,RANK(H39,$H$39:$H$43)&amp;"rd",RANK(H39,$H$39:$H$43)&amp;"th"))),"")</f>
        <v>5th</v>
      </c>
      <c r="H39" s="51">
        <f>IF(COUNTBLANK(Games_45056[[SCORE 1]:[SCORE 2]])=0,Analysis_115460[[#This Row],[WIN]]*1000000+Analysis_115460[[#This Row],[Saldo]]*1000+Analysis_115460[[#This Row],[PM]],"")</f>
        <v>-22951</v>
      </c>
      <c r="I39" s="2">
        <f>H43</f>
        <v>3004063</v>
      </c>
      <c r="J39" s="2" t="str">
        <f>IF(COUNTBLANK(Games_45056[[SCORE 1]:[SCORE 2]])=0,IF(RANK(I39,$I$25:$I$44)=1,RANK(I39,$I$25:$I$44)&amp;"st",IF(RANK(I39,$I$25:$I$44)=2,RANK(I39,$I$25:$I$44)&amp;"nd",IF(RANK(I39,$I$25:$I$44)=3,RANK(I39,$I$25:$I$44)&amp;"rd",RANK(I39,$I$25:$I$44)&amp;"th"))),"")</f>
        <v>5th</v>
      </c>
      <c r="K39" s="38" t="str">
        <f t="shared" si="5"/>
        <v>Bebeto</v>
      </c>
      <c r="L39" s="44" t="str">
        <f>J35</f>
        <v>20th</v>
      </c>
      <c r="M39" s="91" t="str">
        <f>$M$36</f>
        <v>Matheus L.</v>
      </c>
      <c r="N39" s="91" t="str">
        <f>$N$36</f>
        <v>Luiz Zuneda</v>
      </c>
      <c r="O39" s="91"/>
      <c r="P39" s="91"/>
      <c r="Q39" s="91" t="str">
        <f>$Q$36</f>
        <v>Bebeto</v>
      </c>
      <c r="R39" s="91" t="str">
        <f>$R$36</f>
        <v>Marcelo</v>
      </c>
    </row>
    <row r="40" spans="1:27">
      <c r="A40" s="430" t="s">
        <v>214</v>
      </c>
      <c r="B40" s="128" t="s">
        <v>90</v>
      </c>
      <c r="C40" s="14">
        <f>SUM(COUNTIFS(Games_45056[ATHLETE 1],Analysis_115460[[#This Row],[Athletes]],Games_45056[RESULT 12],Analysis_95157[[#Headers],[WIN]]),COUNTIFS(Games_45056[ATHLETE 2],Analysis_115460[[#This Row],[Athletes]],Games_45056[RESULT 12],Analysis_95157[[#Headers],[WIN]]),COUNTIFS(Games_45056[ATHLETE 3],Analysis_115460[[#This Row],[Athletes]],Games_45056[RESULT 34],Analysis_95157[[#Headers],[WIN]]),COUNTIFS(Games_45056[ATHLETE 4],Analysis_115460[[#This Row],[Athletes]],Games_45056[RESULT 34],Analysis_95157[[#Headers],[WIN]]))</f>
        <v>2</v>
      </c>
      <c r="D40" s="14">
        <f>SUM(COUNTIFS(Games_45056[ATHLETE 1],Analysis_115460[[#This Row],[Athletes]],Games_45056[RESULT 12],Analysis_95157[[#Headers],[LOSE]]),COUNTIFS(Games_45056[ATHLETE 2],Analysis_115460[[#This Row],[Athletes]],Games_45056[RESULT 12],Analysis_95157[[#Headers],[LOSE]]),COUNTIFS(Games_45056[ATHLETE 3],Analysis_115460[[#This Row],[Athletes]],Games_45056[RESULT 34],Analysis_95157[[#Headers],[LOSE]]),COUNTIFS(Games_45056[ATHLETE 4],Analysis_115460[[#This Row],[Athletes]],Games_45056[RESULT 34],Analysis_95157[[#Headers],[LOSE]]))</f>
        <v>2</v>
      </c>
      <c r="E40" s="19">
        <f>SUM(SUMIF(Games_45056[ATHLETE 1],Analysis_115460[[#This Row],[Athletes]],Games_45056[SALDO 12]),SUMIF(Games_45056[ATHLETE 2],Analysis_115460[[#This Row],[Athletes]],Games_45056[SALDO 12]),SUMIF(Games_45056[ATHLETE 3],Analysis_115460[[#This Row],[Athletes]],Games_45056[SALDO 34]),SUMIF(Games_45056[ATHLETE 4],Analysis_115460[[#This Row],[Athletes]],Games_45056[SALDO 34]))</f>
        <v>1</v>
      </c>
      <c r="F40" s="19">
        <f>SUM(SUMIF(Games_45056[ATHLETE 1],Analysis_115460[[#This Row],[Athletes]],Games_45056[PM 12]),SUMIF(Games_45056[ATHLETE 2],Analysis_115460[[#This Row],[Athletes]],Games_45056[PM 12]),SUMIF(Games_45056[ATHLETE 3],Analysis_115460[[#This Row],[Athletes]],Games_45056[PM 34]),SUMIF(Games_45056[ATHLETE 4],Analysis_115460[[#This Row],[Athletes]],Games_45056[PM 34]))</f>
        <v>64</v>
      </c>
      <c r="G40" s="14" t="str">
        <f>IF(COUNTBLANK(Games_45056[[SCORE 1]:[SCORE 2]])=0,IF(RANK(H40,$H$39:$H$43)=1,RANK(H40,$H$39:$H$43)&amp;"st",IF(RANK(H40,$H$39:$H$43)=2,RANK(H40,$H$39:$H$43)&amp;"nd",IF(RANK(H40,$H$39:$H$43)=3,RANK(H40,$H$39:$H$43)&amp;"rd",RANK(H40,$H$39:$H$43)&amp;"th"))),"")</f>
        <v>4th</v>
      </c>
      <c r="H40" s="51">
        <f>IF(COUNTBLANK(Games_45056[[SCORE 1]:[SCORE 2]])=0,Analysis_115460[[#This Row],[WIN]]*1000000+Analysis_115460[[#This Row],[Saldo]]*1000+Analysis_115460[[#This Row],[PM]],"")</f>
        <v>2001064</v>
      </c>
      <c r="I40" s="2">
        <f>H46</f>
        <v>1992056</v>
      </c>
      <c r="J40" s="2" t="str">
        <f>IF(COUNTBLANK(Games_45056[[SCORE 1]:[SCORE 2]])=0,IF(RANK(I40,$I$25:$I$44)=1,RANK(I40,$I$25:$I$44)&amp;"st",IF(RANK(I40,$I$25:$I$44)=2,RANK(I40,$I$25:$I$44)&amp;"nd",IF(RANK(I40,$I$25:$I$44)=3,RANK(I40,$I$25:$I$44)&amp;"rd",RANK(I40,$I$25:$I$44)&amp;"th"))),"")</f>
        <v>13th</v>
      </c>
      <c r="K40" s="38" t="str">
        <f>B46</f>
        <v>Deko (Couto)</v>
      </c>
      <c r="L40" s="44" t="str">
        <f t="shared" ref="L40:L43" si="6">J36</f>
        <v>10th</v>
      </c>
      <c r="M40" s="91" t="e">
        <f>IF(M38="","",RANK(M38,$M$38:$R$38))</f>
        <v>#N/A</v>
      </c>
      <c r="N40" s="91" t="e">
        <f>IF(N38="","",RANK(N38,$M$38:$R$38))</f>
        <v>#N/A</v>
      </c>
      <c r="O40" s="91"/>
      <c r="P40" s="91"/>
      <c r="Q40" s="91" t="e">
        <f>IF(Q38="","",RANK(Q38,$M$38:$R$38))</f>
        <v>#N/A</v>
      </c>
      <c r="R40" s="91" t="e">
        <f>IF(R38="","",RANK(R38,$M$38:$R$38))</f>
        <v>#N/A</v>
      </c>
    </row>
    <row r="41" spans="1:27" ht="29.1">
      <c r="A41" s="430" t="s">
        <v>216</v>
      </c>
      <c r="B41" s="128" t="s">
        <v>87</v>
      </c>
      <c r="C41" s="14">
        <f>SUM(COUNTIFS(Games_45056[ATHLETE 1],Analysis_115460[[#This Row],[Athletes]],Games_45056[RESULT 12],Analysis_95157[[#Headers],[WIN]]),COUNTIFS(Games_45056[ATHLETE 2],Analysis_115460[[#This Row],[Athletes]],Games_45056[RESULT 12],Analysis_95157[[#Headers],[WIN]]),COUNTIFS(Games_45056[ATHLETE 3],Analysis_115460[[#This Row],[Athletes]],Games_45056[RESULT 34],Analysis_95157[[#Headers],[WIN]]),COUNTIFS(Games_45056[ATHLETE 4],Analysis_115460[[#This Row],[Athletes]],Games_45056[RESULT 34],Analysis_95157[[#Headers],[WIN]]))</f>
        <v>3</v>
      </c>
      <c r="D41" s="14">
        <f>SUM(COUNTIFS(Games_45056[ATHLETE 1],Analysis_115460[[#This Row],[Athletes]],Games_45056[RESULT 12],Analysis_95157[[#Headers],[LOSE]]),COUNTIFS(Games_45056[ATHLETE 2],Analysis_115460[[#This Row],[Athletes]],Games_45056[RESULT 12],Analysis_95157[[#Headers],[LOSE]]),COUNTIFS(Games_45056[ATHLETE 3],Analysis_115460[[#This Row],[Athletes]],Games_45056[RESULT 34],Analysis_95157[[#Headers],[LOSE]]),COUNTIFS(Games_45056[ATHLETE 4],Analysis_115460[[#This Row],[Athletes]],Games_45056[RESULT 34],Analysis_95157[[#Headers],[LOSE]]))</f>
        <v>1</v>
      </c>
      <c r="E41" s="19">
        <f>SUM(SUMIF(Games_45056[ATHLETE 1],Analysis_115460[[#This Row],[Athletes]],Games_45056[SALDO 12]),SUMIF(Games_45056[ATHLETE 2],Analysis_115460[[#This Row],[Athletes]],Games_45056[SALDO 12]),SUMIF(Games_45056[ATHLETE 3],Analysis_115460[[#This Row],[Athletes]],Games_45056[SALDO 34]),SUMIF(Games_45056[ATHLETE 4],Analysis_115460[[#This Row],[Athletes]],Games_45056[SALDO 34]))</f>
        <v>11</v>
      </c>
      <c r="F41" s="19">
        <f>SUM(SUMIF(Games_45056[ATHLETE 1],Analysis_115460[[#This Row],[Athletes]],Games_45056[PM 12]),SUMIF(Games_45056[ATHLETE 2],Analysis_115460[[#This Row],[Athletes]],Games_45056[PM 12]),SUMIF(Games_45056[ATHLETE 3],Analysis_115460[[#This Row],[Athletes]],Games_45056[PM 34]),SUMIF(Games_45056[ATHLETE 4],Analysis_115460[[#This Row],[Athletes]],Games_45056[PM 34]))</f>
        <v>67</v>
      </c>
      <c r="G41" s="14" t="str">
        <f>IF(COUNTBLANK(Games_45056[[SCORE 1]:[SCORE 2]])=0,IF(RANK(H41,$H$39:$H$43)=1,RANK(H41,$H$39:$H$43)&amp;"st",IF(RANK(H41,$H$39:$H$43)=2,RANK(H41,$H$39:$H$43)&amp;"nd",IF(RANK(H41,$H$39:$H$43)=3,RANK(H41,$H$39:$H$43)&amp;"rd",RANK(H41,$H$39:$H$43)&amp;"th"))),"")</f>
        <v>1st</v>
      </c>
      <c r="H41" s="51">
        <f>IF(COUNTBLANK(Games_45056[[SCORE 1]:[SCORE 2]])=0,Analysis_115460[[#This Row],[WIN]]*1000000+Analysis_115460[[#This Row],[Saldo]]*1000+Analysis_115460[[#This Row],[PM]],"")</f>
        <v>3011067</v>
      </c>
      <c r="I41" s="2">
        <f>H47</f>
        <v>981047</v>
      </c>
      <c r="J41" s="2" t="str">
        <f>IF(COUNTBLANK(Games_45056[[SCORE 1]:[SCORE 2]])=0,IF(RANK(I41,$I$25:$I$44)=1,RANK(I41,$I$25:$I$44)&amp;"st",IF(RANK(I41,$I$25:$I$44)=2,RANK(I41,$I$25:$I$44)&amp;"nd",IF(RANK(I41,$I$25:$I$44)=3,RANK(I41,$I$25:$I$44)&amp;"rd",RANK(I41,$I$25:$I$44)&amp;"th"))),"")</f>
        <v>17th</v>
      </c>
      <c r="K41" s="38" t="str">
        <f t="shared" ref="K41:K43" si="7">B47</f>
        <v>Fernando Fabricio (Furby)</v>
      </c>
      <c r="L41" s="44" t="str">
        <f t="shared" si="6"/>
        <v>4th</v>
      </c>
      <c r="M41" s="548" t="s">
        <v>200</v>
      </c>
      <c r="N41" s="549"/>
      <c r="O41" s="549"/>
      <c r="P41" s="549"/>
      <c r="Q41" s="549"/>
      <c r="R41" s="549"/>
    </row>
    <row r="42" spans="1:27">
      <c r="A42" s="430" t="s">
        <v>217</v>
      </c>
      <c r="B42" s="128" t="s">
        <v>82</v>
      </c>
      <c r="C42" s="14">
        <f>SUM(COUNTIFS(Games_45056[ATHLETE 1],Analysis_115460[[#This Row],[Athletes]],Games_45056[RESULT 12],Analysis_95157[[#Headers],[WIN]]),COUNTIFS(Games_45056[ATHLETE 2],Analysis_115460[[#This Row],[Athletes]],Games_45056[RESULT 12],Analysis_95157[[#Headers],[WIN]]),COUNTIFS(Games_45056[ATHLETE 3],Analysis_115460[[#This Row],[Athletes]],Games_45056[RESULT 34],Analysis_95157[[#Headers],[WIN]]),COUNTIFS(Games_45056[ATHLETE 4],Analysis_115460[[#This Row],[Athletes]],Games_45056[RESULT 34],Analysis_95157[[#Headers],[WIN]]))</f>
        <v>2</v>
      </c>
      <c r="D42" s="14">
        <f>SUM(COUNTIFS(Games_45056[ATHLETE 1],Analysis_115460[[#This Row],[Athletes]],Games_45056[RESULT 12],Analysis_95157[[#Headers],[LOSE]]),COUNTIFS(Games_45056[ATHLETE 2],Analysis_115460[[#This Row],[Athletes]],Games_45056[RESULT 12],Analysis_95157[[#Headers],[LOSE]]),COUNTIFS(Games_45056[ATHLETE 3],Analysis_115460[[#This Row],[Athletes]],Games_45056[RESULT 34],Analysis_95157[[#Headers],[LOSE]]),COUNTIFS(Games_45056[ATHLETE 4],Analysis_115460[[#This Row],[Athletes]],Games_45056[RESULT 34],Analysis_95157[[#Headers],[LOSE]]))</f>
        <v>2</v>
      </c>
      <c r="E42" s="19">
        <f>SUM(SUMIF(Games_45056[ATHLETE 1],Analysis_115460[[#This Row],[Athletes]],Games_45056[SALDO 12]),SUMIF(Games_45056[ATHLETE 2],Analysis_115460[[#This Row],[Athletes]],Games_45056[SALDO 12]),SUMIF(Games_45056[ATHLETE 3],Analysis_115460[[#This Row],[Athletes]],Games_45056[SALDO 34]),SUMIF(Games_45056[ATHLETE 4],Analysis_115460[[#This Row],[Athletes]],Games_45056[SALDO 34]))</f>
        <v>7</v>
      </c>
      <c r="F42" s="19">
        <f>SUM(SUMIF(Games_45056[ATHLETE 1],Analysis_115460[[#This Row],[Athletes]],Games_45056[PM 12]),SUMIF(Games_45056[ATHLETE 2],Analysis_115460[[#This Row],[Athletes]],Games_45056[PM 12]),SUMIF(Games_45056[ATHLETE 3],Analysis_115460[[#This Row],[Athletes]],Games_45056[PM 34]),SUMIF(Games_45056[ATHLETE 4],Analysis_115460[[#This Row],[Athletes]],Games_45056[PM 34]))</f>
        <v>65</v>
      </c>
      <c r="G42" s="14" t="str">
        <f>IF(COUNTBLANK(Games_45056[[SCORE 1]:[SCORE 2]])=0,IF(RANK(H42,$H$39:$H$43)=1,RANK(H42,$H$39:$H$43)&amp;"st",IF(RANK(H42,$H$39:$H$43)=2,RANK(H42,$H$39:$H$43)&amp;"nd",IF(RANK(H42,$H$39:$H$43)=3,RANK(H42,$H$39:$H$43)&amp;"rd",RANK(H42,$H$39:$H$43)&amp;"th"))),"")</f>
        <v>3rd</v>
      </c>
      <c r="H42" s="51">
        <f>IF(COUNTBLANK(Games_45056[[SCORE 1]:[SCORE 2]])=0,Analysis_115460[[#This Row],[WIN]]*1000000+Analysis_115460[[#This Row],[Saldo]]*1000+Analysis_115460[[#This Row],[PM]],"")</f>
        <v>2007065</v>
      </c>
      <c r="I42">
        <f>H48</f>
        <v>996058</v>
      </c>
      <c r="J42" s="2" t="str">
        <f>IF(COUNTBLANK(Games_45056[[SCORE 1]:[SCORE 2]])=0,IF(RANK(I42,$I$25:$I$44)=1,RANK(I42,$I$25:$I$44)&amp;"st",IF(RANK(I42,$I$25:$I$44)=2,RANK(I42,$I$25:$I$44)&amp;"nd",IF(RANK(I42,$I$25:$I$44)=3,RANK(I42,$I$25:$I$44)&amp;"rd",RANK(I42,$I$25:$I$44)&amp;"th"))),"")</f>
        <v>15th</v>
      </c>
      <c r="K42" s="38" t="str">
        <f t="shared" si="7"/>
        <v>Leozinho</v>
      </c>
      <c r="L42" s="44" t="str">
        <f t="shared" si="6"/>
        <v>6th</v>
      </c>
      <c r="M42" s="418" t="s">
        <v>193</v>
      </c>
      <c r="N42" s="418" t="s">
        <v>194</v>
      </c>
      <c r="O42" s="542" t="s">
        <v>195</v>
      </c>
      <c r="P42" s="543"/>
      <c r="Q42" s="418" t="s">
        <v>196</v>
      </c>
      <c r="R42" s="418" t="s">
        <v>197</v>
      </c>
    </row>
    <row r="43" spans="1:27">
      <c r="A43" s="430" t="s">
        <v>232</v>
      </c>
      <c r="B43" s="128" t="s">
        <v>81</v>
      </c>
      <c r="C43" s="14">
        <f>SUM(COUNTIFS(Games_45056[ATHLETE 1],Analysis_115460[[#This Row],[Athletes]],Games_45056[RESULT 12],Analysis_95157[[#Headers],[WIN]]),COUNTIFS(Games_45056[ATHLETE 2],Analysis_115460[[#This Row],[Athletes]],Games_45056[RESULT 12],Analysis_95157[[#Headers],[WIN]]),COUNTIFS(Games_45056[ATHLETE 3],Analysis_115460[[#This Row],[Athletes]],Games_45056[RESULT 34],Analysis_95157[[#Headers],[WIN]]),COUNTIFS(Games_45056[ATHLETE 4],Analysis_115460[[#This Row],[Athletes]],Games_45056[RESULT 34],Analysis_95157[[#Headers],[WIN]]))</f>
        <v>3</v>
      </c>
      <c r="D43" s="14">
        <f>SUM(COUNTIFS(Games_45056[ATHLETE 1],Analysis_115460[[#This Row],[Athletes]],Games_45056[RESULT 12],Analysis_95157[[#Headers],[LOSE]]),COUNTIFS(Games_45056[ATHLETE 2],Analysis_115460[[#This Row],[Athletes]],Games_45056[RESULT 12],Analysis_95157[[#Headers],[LOSE]]),COUNTIFS(Games_45056[ATHLETE 3],Analysis_115460[[#This Row],[Athletes]],Games_45056[RESULT 34],Analysis_95157[[#Headers],[LOSE]]),COUNTIFS(Games_45056[ATHLETE 4],Analysis_115460[[#This Row],[Athletes]],Games_45056[RESULT 34],Analysis_95157[[#Headers],[LOSE]]))</f>
        <v>1</v>
      </c>
      <c r="E43" s="19">
        <f>SUM(SUMIF(Games_45056[ATHLETE 1],Analysis_115460[[#This Row],[Athletes]],Games_45056[SALDO 12]),SUMIF(Games_45056[ATHLETE 2],Analysis_115460[[#This Row],[Athletes]],Games_45056[SALDO 12]),SUMIF(Games_45056[ATHLETE 3],Analysis_115460[[#This Row],[Athletes]],Games_45056[SALDO 34]),SUMIF(Games_45056[ATHLETE 4],Analysis_115460[[#This Row],[Athletes]],Games_45056[SALDO 34]))</f>
        <v>4</v>
      </c>
      <c r="F43" s="19">
        <f>SUM(SUMIF(Games_45056[ATHLETE 1],Analysis_115460[[#This Row],[Athletes]],Games_45056[PM 12]),SUMIF(Games_45056[ATHLETE 2],Analysis_115460[[#This Row],[Athletes]],Games_45056[PM 12]),SUMIF(Games_45056[ATHLETE 3],Analysis_115460[[#This Row],[Athletes]],Games_45056[PM 34]),SUMIF(Games_45056[ATHLETE 4],Analysis_115460[[#This Row],[Athletes]],Games_45056[PM 34]))</f>
        <v>63</v>
      </c>
      <c r="G43" s="14" t="str">
        <f>IF(COUNTBLANK(Games_45056[[SCORE 1]:[SCORE 2]])=0,IF(RANK(H43,$H$39:$H$43)=1,RANK(H43,$H$39:$H$43)&amp;"st",IF(RANK(H43,$H$39:$H$43)=2,RANK(H43,$H$39:$H$43)&amp;"nd",IF(RANK(H43,$H$39:$H$43)=3,RANK(H43,$H$39:$H$43)&amp;"rd",RANK(H43,$H$39:$H$43)&amp;"th"))),"")</f>
        <v>2nd</v>
      </c>
      <c r="H43" s="51">
        <f>IF(COUNTBLANK(Games_45056[[SCORE 1]:[SCORE 2]])=0,Analysis_115460[[#This Row],[WIN]]*1000000+Analysis_115460[[#This Row],[Saldo]]*1000+Analysis_115460[[#This Row],[PM]],"")</f>
        <v>3004063</v>
      </c>
      <c r="I43">
        <f>H49</f>
        <v>2002059</v>
      </c>
      <c r="J43" s="2" t="str">
        <f>IF(COUNTBLANK(Games_45056[[SCORE 1]:[SCORE 2]])=0,IF(RANK(I43,$I$25:$I$44)=1,RANK(I43,$I$25:$I$44)&amp;"st",IF(RANK(I43,$I$25:$I$44)=2,RANK(I43,$I$25:$I$44)&amp;"nd",IF(RANK(I43,$I$25:$I$44)=3,RANK(I43,$I$25:$I$44)&amp;"rd",RANK(I43,$I$25:$I$44)&amp;"th"))),"")</f>
        <v>9th</v>
      </c>
      <c r="K43" s="38" t="str">
        <f t="shared" si="7"/>
        <v>Pedro Itajai</v>
      </c>
      <c r="L43" s="44" t="str">
        <f t="shared" si="6"/>
        <v>5th</v>
      </c>
      <c r="M43" s="432" t="str">
        <f>IF(OR($O$36="",$P$36=""),"",IF($O$37="WIN",$M$36,$Q$36))</f>
        <v>Matheus L.</v>
      </c>
      <c r="N43" s="121" t="str">
        <f>B25</f>
        <v>Zak</v>
      </c>
      <c r="O43" s="119">
        <v>18</v>
      </c>
      <c r="P43" s="119">
        <v>13</v>
      </c>
      <c r="Q43" s="432" t="str">
        <f>IF(OR($O$36="",$P$36=""),"",IF($O$37="WIN",$N$36,$R$36))</f>
        <v>Luiz Zuneda</v>
      </c>
      <c r="R43" s="122" t="str">
        <f>B36</f>
        <v>Marcelo</v>
      </c>
    </row>
    <row r="44" spans="1:27">
      <c r="I44" s="2">
        <f>H50</f>
        <v>4029072</v>
      </c>
      <c r="J44" s="2" t="str">
        <f>IF(COUNTBLANK(Games_45056[[SCORE 1]:[SCORE 2]])=0,IF(RANK(I44,$I$25:$I$44)=1,RANK(I44,$I$25:$I$44)&amp;"st",IF(RANK(I44,$I$25:$I$44)=2,RANK(I44,$I$25:$I$44)&amp;"nd",IF(RANK(I44,$I$25:$I$44)=3,RANK(I44,$I$25:$I$44)&amp;"rd",RANK(I44,$I$25:$I$44)&amp;"th"))),"")</f>
        <v>2nd</v>
      </c>
      <c r="K44" s="38" t="str">
        <f>B50</f>
        <v>Luiz Zuneda</v>
      </c>
      <c r="M44" s="125" t="str">
        <f>IF(O44="","",IF(O44="win",$U$3,$U$4))</f>
        <v>1st</v>
      </c>
      <c r="O44" s="2" t="str">
        <f>IF(OR(O43="",P43=""),"",IF((O43&gt;P43),"WIN","LOSE"))</f>
        <v>WIN</v>
      </c>
      <c r="P44" s="2" t="str">
        <f>IF(OR(O43="",P43=""),"",IF((O43&lt;P43),"WIN","LOSE"))</f>
        <v>LOSE</v>
      </c>
      <c r="Q44" s="125" t="str">
        <f>IF(P44="","",IF(P44="win",$U$3,$U$4))</f>
        <v>2nd</v>
      </c>
    </row>
    <row r="45" spans="1:27" ht="15.95">
      <c r="A45" s="9" t="s">
        <v>184</v>
      </c>
      <c r="B45" s="148" t="s">
        <v>203</v>
      </c>
      <c r="C45" s="10" t="s">
        <v>186</v>
      </c>
      <c r="D45" s="10" t="s">
        <v>187</v>
      </c>
      <c r="E45" s="10" t="s">
        <v>188</v>
      </c>
      <c r="F45" s="10" t="s">
        <v>189</v>
      </c>
      <c r="G45" s="7" t="s">
        <v>8</v>
      </c>
      <c r="H45" s="20" t="s">
        <v>204</v>
      </c>
      <c r="L45" s="20" t="s">
        <v>192</v>
      </c>
    </row>
    <row r="46" spans="1:27">
      <c r="A46" s="430" t="s">
        <v>233</v>
      </c>
      <c r="B46" s="118" t="s">
        <v>94</v>
      </c>
      <c r="C46" s="14">
        <f>SUM(COUNTIFS(Games_45056[ATHLETE 1],Analysis_125561[[#This Row],[Athletes]],Games_45056[RESULT 12],Analysis_95157[[#Headers],[WIN]]),COUNTIFS(Games_45056[ATHLETE 2],Analysis_125561[[#This Row],[Athletes]],Games_45056[RESULT 12],Analysis_95157[[#Headers],[WIN]]),COUNTIFS(Games_45056[ATHLETE 3],Analysis_125561[[#This Row],[Athletes]],Games_45056[RESULT 34],Analysis_95157[[#Headers],[WIN]]),COUNTIFS(Games_45056[ATHLETE 4],Analysis_125561[[#This Row],[Athletes]],Games_45056[RESULT 34],Analysis_95157[[#Headers],[WIN]]))</f>
        <v>2</v>
      </c>
      <c r="D46" s="14">
        <f>SUM(COUNTIFS(Games_45056[ATHLETE 1],Analysis_125561[[#This Row],[Athletes]],Games_45056[RESULT 12],Analysis_95157[[#Headers],[LOSE]]),COUNTIFS(Games_45056[ATHLETE 2],Analysis_125561[[#This Row],[Athletes]],Games_45056[RESULT 12],Analysis_95157[[#Headers],[LOSE]]),COUNTIFS(Games_45056[ATHLETE 3],Analysis_125561[[#This Row],[Athletes]],Games_45056[RESULT 34],Analysis_95157[[#Headers],[LOSE]]),COUNTIFS(Games_45056[ATHLETE 4],Analysis_125561[[#This Row],[Athletes]],Games_45056[RESULT 34],Analysis_95157[[#Headers],[LOSE]]))</f>
        <v>2</v>
      </c>
      <c r="E46" s="19">
        <f>SUM(SUMIF(Games_45056[ATHLETE 1],Analysis_125561[[#This Row],[Athletes]],Games_45056[SALDO 12]),SUMIF(Games_45056[ATHLETE 2],Analysis_125561[[#This Row],[Athletes]],Games_45056[SALDO 12]),SUMIF(Games_45056[ATHLETE 3],Analysis_125561[[#This Row],[Athletes]],Games_45056[SALDO 34]),SUMIF(Games_45056[ATHLETE 4],Analysis_125561[[#This Row],[Athletes]],Games_45056[SALDO 34]))</f>
        <v>-8</v>
      </c>
      <c r="F46" s="19">
        <f>SUM(SUMIF(Games_45056[ATHLETE 1],Analysis_125561[[#This Row],[Athletes]],Games_45056[PM 12]),SUMIF(Games_45056[ATHLETE 2],Analysis_125561[[#This Row],[Athletes]],Games_45056[PM 12]),SUMIF(Games_45056[ATHLETE 3],Analysis_125561[[#This Row],[Athletes]],Games_45056[PM 34]),SUMIF(Games_45056[ATHLETE 4],Analysis_125561[[#This Row],[Athletes]],Games_45056[PM 34]))</f>
        <v>56</v>
      </c>
      <c r="G46" s="14" t="str">
        <f>IF(COUNTBLANK(Games_45056[[SCORE 1]:[SCORE 2]])=0,IF(RANK(H46,$H$46:$H$50)=1,RANK(H46,$H$46:$H$50)&amp;"st",IF(RANK(H46,$H$46:$H$50)=2,RANK(H46,$H$46:$H$50)&amp;"nd",IF(RANK(H46,$H$46:$H$50)=3,RANK(H46,$H$46:$H$50)&amp;"rd",RANK(H46,$H$46:$H$50)&amp;"th"))),"")</f>
        <v>3rd</v>
      </c>
      <c r="H46" s="51">
        <f>IF(COUNTBLANK(Games_45056[[SCORE 1]:[SCORE 2]])=0,Analysis_125561[[#This Row],[WIN]]*1000000+Analysis_125561[[#This Row],[Saldo]]*1000+Analysis_125561[[#This Row],[PM]],"")</f>
        <v>1992056</v>
      </c>
      <c r="L46" s="44" t="str">
        <f>J40</f>
        <v>13th</v>
      </c>
    </row>
    <row r="47" spans="1:27">
      <c r="A47" s="430" t="s">
        <v>234</v>
      </c>
      <c r="B47" s="118" t="s">
        <v>97</v>
      </c>
      <c r="C47" s="14">
        <f>SUM(COUNTIFS(Games_45056[ATHLETE 1],Analysis_125561[[#This Row],[Athletes]],Games_45056[RESULT 12],Analysis_95157[[#Headers],[WIN]]),COUNTIFS(Games_45056[ATHLETE 2],Analysis_125561[[#This Row],[Athletes]],Games_45056[RESULT 12],Analysis_95157[[#Headers],[WIN]]),COUNTIFS(Games_45056[ATHLETE 3],Analysis_125561[[#This Row],[Athletes]],Games_45056[RESULT 34],Analysis_95157[[#Headers],[WIN]]),COUNTIFS(Games_45056[ATHLETE 4],Analysis_125561[[#This Row],[Athletes]],Games_45056[RESULT 34],Analysis_95157[[#Headers],[WIN]]))</f>
        <v>1</v>
      </c>
      <c r="D47" s="14">
        <f>SUM(COUNTIFS(Games_45056[ATHLETE 1],Analysis_125561[[#This Row],[Athletes]],Games_45056[RESULT 12],Analysis_95157[[#Headers],[LOSE]]),COUNTIFS(Games_45056[ATHLETE 2],Analysis_125561[[#This Row],[Athletes]],Games_45056[RESULT 12],Analysis_95157[[#Headers],[LOSE]]),COUNTIFS(Games_45056[ATHLETE 3],Analysis_125561[[#This Row],[Athletes]],Games_45056[RESULT 34],Analysis_95157[[#Headers],[LOSE]]),COUNTIFS(Games_45056[ATHLETE 4],Analysis_125561[[#This Row],[Athletes]],Games_45056[RESULT 34],Analysis_95157[[#Headers],[LOSE]]))</f>
        <v>3</v>
      </c>
      <c r="E47" s="19">
        <f>SUM(SUMIF(Games_45056[ATHLETE 1],Analysis_125561[[#This Row],[Athletes]],Games_45056[SALDO 12]),SUMIF(Games_45056[ATHLETE 2],Analysis_125561[[#This Row],[Athletes]],Games_45056[SALDO 12]),SUMIF(Games_45056[ATHLETE 3],Analysis_125561[[#This Row],[Athletes]],Games_45056[SALDO 34]),SUMIF(Games_45056[ATHLETE 4],Analysis_125561[[#This Row],[Athletes]],Games_45056[SALDO 34]))</f>
        <v>-19</v>
      </c>
      <c r="F47" s="19">
        <f>SUM(SUMIF(Games_45056[ATHLETE 1],Analysis_125561[[#This Row],[Athletes]],Games_45056[PM 12]),SUMIF(Games_45056[ATHLETE 2],Analysis_125561[[#This Row],[Athletes]],Games_45056[PM 12]),SUMIF(Games_45056[ATHLETE 3],Analysis_125561[[#This Row],[Athletes]],Games_45056[PM 34]),SUMIF(Games_45056[ATHLETE 4],Analysis_125561[[#This Row],[Athletes]],Games_45056[PM 34]))</f>
        <v>47</v>
      </c>
      <c r="G47" s="14" t="str">
        <f>IF(COUNTBLANK(Games_45056[[SCORE 1]:[SCORE 2]])=0,IF(RANK(H47,$H$46:$H$50)=1,RANK(H47,$H$46:$H$50)&amp;"st",IF(RANK(H47,$H$46:$H$50)=2,RANK(H47,$H$46:$H$50)&amp;"nd",IF(RANK(H47,$H$46:$H$50)=3,RANK(H47,$H$46:$H$50)&amp;"rd",RANK(H47,$H$46:$H$50)&amp;"th"))),"")</f>
        <v>5th</v>
      </c>
      <c r="H47" s="51">
        <f>IF(COUNTBLANK(Games_45056[[SCORE 1]:[SCORE 2]])=0,Analysis_125561[[#This Row],[WIN]]*1000000+Analysis_125561[[#This Row],[Saldo]]*1000+Analysis_125561[[#This Row],[PM]],"")</f>
        <v>981047</v>
      </c>
      <c r="L47" s="44" t="str">
        <f t="shared" ref="L47:L50" si="8">J41</f>
        <v>17th</v>
      </c>
    </row>
    <row r="48" spans="1:27">
      <c r="A48" s="430" t="s">
        <v>235</v>
      </c>
      <c r="B48" s="118" t="s">
        <v>95</v>
      </c>
      <c r="C48" s="14">
        <f>SUM(COUNTIFS(Games_45056[ATHLETE 1],Analysis_125561[[#This Row],[Athletes]],Games_45056[RESULT 12],Analysis_95157[[#Headers],[WIN]]),COUNTIFS(Games_45056[ATHLETE 2],Analysis_125561[[#This Row],[Athletes]],Games_45056[RESULT 12],Analysis_95157[[#Headers],[WIN]]),COUNTIFS(Games_45056[ATHLETE 3],Analysis_125561[[#This Row],[Athletes]],Games_45056[RESULT 34],Analysis_95157[[#Headers],[WIN]]),COUNTIFS(Games_45056[ATHLETE 4],Analysis_125561[[#This Row],[Athletes]],Games_45056[RESULT 34],Analysis_95157[[#Headers],[WIN]]))</f>
        <v>1</v>
      </c>
      <c r="D48" s="14">
        <f>SUM(COUNTIFS(Games_45056[ATHLETE 1],Analysis_125561[[#This Row],[Athletes]],Games_45056[RESULT 12],Analysis_95157[[#Headers],[LOSE]]),COUNTIFS(Games_45056[ATHLETE 2],Analysis_125561[[#This Row],[Athletes]],Games_45056[RESULT 12],Analysis_95157[[#Headers],[LOSE]]),COUNTIFS(Games_45056[ATHLETE 3],Analysis_125561[[#This Row],[Athletes]],Games_45056[RESULT 34],Analysis_95157[[#Headers],[LOSE]]),COUNTIFS(Games_45056[ATHLETE 4],Analysis_125561[[#This Row],[Athletes]],Games_45056[RESULT 34],Analysis_95157[[#Headers],[LOSE]]))</f>
        <v>3</v>
      </c>
      <c r="E48" s="19">
        <f>SUM(SUMIF(Games_45056[ATHLETE 1],Analysis_125561[[#This Row],[Athletes]],Games_45056[SALDO 12]),SUMIF(Games_45056[ATHLETE 2],Analysis_125561[[#This Row],[Athletes]],Games_45056[SALDO 12]),SUMIF(Games_45056[ATHLETE 3],Analysis_125561[[#This Row],[Athletes]],Games_45056[SALDO 34]),SUMIF(Games_45056[ATHLETE 4],Analysis_125561[[#This Row],[Athletes]],Games_45056[SALDO 34]))</f>
        <v>-4</v>
      </c>
      <c r="F48" s="19">
        <f>SUM(SUMIF(Games_45056[ATHLETE 1],Analysis_125561[[#This Row],[Athletes]],Games_45056[PM 12]),SUMIF(Games_45056[ATHLETE 2],Analysis_125561[[#This Row],[Athletes]],Games_45056[PM 12]),SUMIF(Games_45056[ATHLETE 3],Analysis_125561[[#This Row],[Athletes]],Games_45056[PM 34]),SUMIF(Games_45056[ATHLETE 4],Analysis_125561[[#This Row],[Athletes]],Games_45056[PM 34]))</f>
        <v>58</v>
      </c>
      <c r="G48" s="14" t="str">
        <f>IF(COUNTBLANK(Games_45056[[SCORE 1]:[SCORE 2]])=0,IF(RANK(H48,$H$46:$H$50)=1,RANK(H48,$H$46:$H$50)&amp;"st",IF(RANK(H48,$H$46:$H$50)=2,RANK(H48,$H$46:$H$50)&amp;"nd",IF(RANK(H48,$H$46:$H$50)=3,RANK(H48,$H$46:$H$50)&amp;"rd",RANK(H48,$H$46:$H$50)&amp;"th"))),"")</f>
        <v>4th</v>
      </c>
      <c r="H48" s="51">
        <f>IF(COUNTBLANK(Games_45056[[SCORE 1]:[SCORE 2]])=0,Analysis_125561[[#This Row],[WIN]]*1000000+Analysis_125561[[#This Row],[Saldo]]*1000+Analysis_125561[[#This Row],[PM]],"")</f>
        <v>996058</v>
      </c>
      <c r="L48" s="44" t="str">
        <f t="shared" si="8"/>
        <v>15th</v>
      </c>
    </row>
    <row r="49" spans="1:12">
      <c r="A49" s="430" t="s">
        <v>236</v>
      </c>
      <c r="B49" s="118" t="s">
        <v>85</v>
      </c>
      <c r="C49" s="14">
        <f>SUM(COUNTIFS(Games_45056[ATHLETE 1],Analysis_125561[[#This Row],[Athletes]],Games_45056[RESULT 12],Analysis_95157[[#Headers],[WIN]]),COUNTIFS(Games_45056[ATHLETE 2],Analysis_125561[[#This Row],[Athletes]],Games_45056[RESULT 12],Analysis_95157[[#Headers],[WIN]]),COUNTIFS(Games_45056[ATHLETE 3],Analysis_125561[[#This Row],[Athletes]],Games_45056[RESULT 34],Analysis_95157[[#Headers],[WIN]]),COUNTIFS(Games_45056[ATHLETE 4],Analysis_125561[[#This Row],[Athletes]],Games_45056[RESULT 34],Analysis_95157[[#Headers],[WIN]]))</f>
        <v>2</v>
      </c>
      <c r="D49" s="14">
        <f>SUM(COUNTIFS(Games_45056[ATHLETE 1],Analysis_125561[[#This Row],[Athletes]],Games_45056[RESULT 12],Analysis_95157[[#Headers],[LOSE]]),COUNTIFS(Games_45056[ATHLETE 2],Analysis_125561[[#This Row],[Athletes]],Games_45056[RESULT 12],Analysis_95157[[#Headers],[LOSE]]),COUNTIFS(Games_45056[ATHLETE 3],Analysis_125561[[#This Row],[Athletes]],Games_45056[RESULT 34],Analysis_95157[[#Headers],[LOSE]]),COUNTIFS(Games_45056[ATHLETE 4],Analysis_125561[[#This Row],[Athletes]],Games_45056[RESULT 34],Analysis_95157[[#Headers],[LOSE]]))</f>
        <v>2</v>
      </c>
      <c r="E49" s="19">
        <f>SUM(SUMIF(Games_45056[ATHLETE 1],Analysis_125561[[#This Row],[Athletes]],Games_45056[SALDO 12]),SUMIF(Games_45056[ATHLETE 2],Analysis_125561[[#This Row],[Athletes]],Games_45056[SALDO 12]),SUMIF(Games_45056[ATHLETE 3],Analysis_125561[[#This Row],[Athletes]],Games_45056[SALDO 34]),SUMIF(Games_45056[ATHLETE 4],Analysis_125561[[#This Row],[Athletes]],Games_45056[SALDO 34]))</f>
        <v>2</v>
      </c>
      <c r="F49" s="19">
        <f>SUM(SUMIF(Games_45056[ATHLETE 1],Analysis_125561[[#This Row],[Athletes]],Games_45056[PM 12]),SUMIF(Games_45056[ATHLETE 2],Analysis_125561[[#This Row],[Athletes]],Games_45056[PM 12]),SUMIF(Games_45056[ATHLETE 3],Analysis_125561[[#This Row],[Athletes]],Games_45056[PM 34]),SUMIF(Games_45056[ATHLETE 4],Analysis_125561[[#This Row],[Athletes]],Games_45056[PM 34]))</f>
        <v>59</v>
      </c>
      <c r="G49" s="14" t="str">
        <f>IF(COUNTBLANK(Games_45056[[SCORE 1]:[SCORE 2]])=0,IF(RANK(H49,$H$46:$H$50)=1,RANK(H49,$H$46:$H$50)&amp;"st",IF(RANK(H49,$H$46:$H$50)=2,RANK(H49,$H$46:$H$50)&amp;"nd",IF(RANK(H49,$H$46:$H$50)=3,RANK(H49,$H$46:$H$50)&amp;"rd",RANK(H49,$H$46:$H$50)&amp;"th"))),"")</f>
        <v>2nd</v>
      </c>
      <c r="H49" s="51">
        <f>IF(COUNTBLANK(Games_45056[[SCORE 1]:[SCORE 2]])=0,Analysis_125561[[#This Row],[WIN]]*1000000+Analysis_125561[[#This Row],[Saldo]]*1000+Analysis_125561[[#This Row],[PM]],"")</f>
        <v>2002059</v>
      </c>
      <c r="L49" s="44" t="str">
        <f t="shared" si="8"/>
        <v>9th</v>
      </c>
    </row>
    <row r="50" spans="1:12">
      <c r="A50" s="430" t="s">
        <v>237</v>
      </c>
      <c r="B50" s="118" t="s">
        <v>80</v>
      </c>
      <c r="C50" s="14">
        <f>SUM(COUNTIFS(Games_45056[ATHLETE 1],Analysis_125561[[#This Row],[Athletes]],Games_45056[RESULT 12],Analysis_95157[[#Headers],[WIN]]),COUNTIFS(Games_45056[ATHLETE 2],Analysis_125561[[#This Row],[Athletes]],Games_45056[RESULT 12],Analysis_95157[[#Headers],[WIN]]),COUNTIFS(Games_45056[ATHLETE 3],Analysis_125561[[#This Row],[Athletes]],Games_45056[RESULT 34],Analysis_95157[[#Headers],[WIN]]),COUNTIFS(Games_45056[ATHLETE 4],Analysis_125561[[#This Row],[Athletes]],Games_45056[RESULT 34],Analysis_95157[[#Headers],[WIN]]))</f>
        <v>4</v>
      </c>
      <c r="D50" s="14">
        <f>SUM(COUNTIFS(Games_45056[ATHLETE 1],Analysis_125561[[#This Row],[Athletes]],Games_45056[RESULT 12],Analysis_95157[[#Headers],[LOSE]]),COUNTIFS(Games_45056[ATHLETE 2],Analysis_125561[[#This Row],[Athletes]],Games_45056[RESULT 12],Analysis_95157[[#Headers],[LOSE]]),COUNTIFS(Games_45056[ATHLETE 3],Analysis_125561[[#This Row],[Athletes]],Games_45056[RESULT 34],Analysis_95157[[#Headers],[LOSE]]),COUNTIFS(Games_45056[ATHLETE 4],Analysis_125561[[#This Row],[Athletes]],Games_45056[RESULT 34],Analysis_95157[[#Headers],[LOSE]]))</f>
        <v>0</v>
      </c>
      <c r="E50" s="19">
        <f>SUM(SUMIF(Games_45056[ATHLETE 1],Analysis_125561[[#This Row],[Athletes]],Games_45056[SALDO 12]),SUMIF(Games_45056[ATHLETE 2],Analysis_125561[[#This Row],[Athletes]],Games_45056[SALDO 12]),SUMIF(Games_45056[ATHLETE 3],Analysis_125561[[#This Row],[Athletes]],Games_45056[SALDO 34]),SUMIF(Games_45056[ATHLETE 4],Analysis_125561[[#This Row],[Athletes]],Games_45056[SALDO 34]))</f>
        <v>29</v>
      </c>
      <c r="F50" s="19">
        <f>SUM(SUMIF(Games_45056[ATHLETE 1],Analysis_125561[[#This Row],[Athletes]],Games_45056[PM 12]),SUMIF(Games_45056[ATHLETE 2],Analysis_125561[[#This Row],[Athletes]],Games_45056[PM 12]),SUMIF(Games_45056[ATHLETE 3],Analysis_125561[[#This Row],[Athletes]],Games_45056[PM 34]),SUMIF(Games_45056[ATHLETE 4],Analysis_125561[[#This Row],[Athletes]],Games_45056[PM 34]))</f>
        <v>72</v>
      </c>
      <c r="G50" s="14" t="str">
        <f>IF(COUNTBLANK(Games_45056[[SCORE 1]:[SCORE 2]])=0,IF(RANK(H50,$H$46:$H$50)=1,RANK(H50,$H$46:$H$50)&amp;"st",IF(RANK(H50,$H$46:$H$50)=2,RANK(H50,$H$46:$H$50)&amp;"nd",IF(RANK(H50,$H$46:$H$50)=3,RANK(H50,$H$46:$H$50)&amp;"rd",RANK(H50,$H$46:$H$50)&amp;"th"))),"")</f>
        <v>1st</v>
      </c>
      <c r="H50" s="51">
        <f>IF(COUNTBLANK(Games_45056[[SCORE 1]:[SCORE 2]])=0,Analysis_125561[[#This Row],[WIN]]*1000000+Analysis_125561[[#This Row],[Saldo]]*1000+Analysis_125561[[#This Row],[PM]],"")</f>
        <v>4029072</v>
      </c>
      <c r="L50" s="44" t="str">
        <f t="shared" si="8"/>
        <v>2nd</v>
      </c>
    </row>
    <row r="52" spans="1:12" ht="15.95" thickBot="1"/>
    <row r="53" spans="1:12" ht="15.95" thickBot="1">
      <c r="A53" s="123" t="s">
        <v>218</v>
      </c>
      <c r="B53" s="124">
        <v>45787</v>
      </c>
    </row>
    <row r="54" spans="1:12">
      <c r="A54" t="s">
        <v>238</v>
      </c>
    </row>
    <row r="55" spans="1:12">
      <c r="A55" t="s">
        <v>239</v>
      </c>
    </row>
    <row r="56" spans="1:12">
      <c r="A56" t="s">
        <v>240</v>
      </c>
    </row>
  </sheetData>
  <sheetProtection algorithmName="SHA-512" hashValue="UAE7FSRx387I51Ru58CqCODeLf8VJT34gxZk570rVbmQRCYBQqu25/ZPE15hF38yVScv57JocRxS63E/t7cwaA==" saltValue="Ocb47dWJN9RnDJKg3fCkxw==" spinCount="100000" sheet="1" objects="1" scenarios="1"/>
  <mergeCells count="10">
    <mergeCell ref="M34:R34"/>
    <mergeCell ref="O35:P35"/>
    <mergeCell ref="M41:R41"/>
    <mergeCell ref="O42:P42"/>
    <mergeCell ref="A1:A12"/>
    <mergeCell ref="T1:U1"/>
    <mergeCell ref="A23:G23"/>
    <mergeCell ref="M23:R23"/>
    <mergeCell ref="O24:P24"/>
    <mergeCell ref="O29:P29"/>
  </mergeCells>
  <pageMargins left="0.7" right="0.7" top="0.75" bottom="0.75" header="0.3" footer="0.3"/>
  <pageSetup orientation="portrait" r:id="rId1"/>
  <legacy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CF4F-DE13-DC40-A098-A89CB9EEF363}">
  <sheetPr codeName="Sheet7"/>
  <dimension ref="A1:U33"/>
  <sheetViews>
    <sheetView workbookViewId="0">
      <selection sqref="A1:I1"/>
    </sheetView>
    <sheetView workbookViewId="1">
      <selection sqref="A1:A10"/>
    </sheetView>
  </sheetViews>
  <sheetFormatPr defaultColWidth="8.85546875" defaultRowHeight="15"/>
  <cols>
    <col min="1" max="1" width="9.7109375" customWidth="1"/>
    <col min="2" max="2" width="12.28515625" bestFit="1" customWidth="1"/>
    <col min="3" max="4" width="20" customWidth="1"/>
    <col min="5" max="6" width="9.7109375" customWidth="1"/>
    <col min="7" max="7" width="14.140625" bestFit="1" customWidth="1"/>
    <col min="8" max="8" width="11.28515625" hidden="1" customWidth="1"/>
    <col min="9" max="9" width="12" hidden="1" customWidth="1"/>
    <col min="10" max="10" width="10.7109375" hidden="1" customWidth="1"/>
    <col min="11" max="11" width="8" hidden="1" customWidth="1"/>
    <col min="12" max="12" width="20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2.140625" bestFit="1" customWidth="1"/>
    <col min="21" max="22" width="9.7109375" bestFit="1" customWidth="1"/>
  </cols>
  <sheetData>
    <row r="1" spans="1:21" ht="15" customHeight="1">
      <c r="A1" s="551" t="s">
        <v>241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242</v>
      </c>
      <c r="U1" s="545"/>
    </row>
    <row r="2" spans="1:21" ht="15" customHeight="1">
      <c r="A2" s="551"/>
      <c r="B2" s="13" t="s">
        <v>178</v>
      </c>
      <c r="C2" s="1" t="str">
        <f>B14</f>
        <v>Tizoc</v>
      </c>
      <c r="D2" s="32" t="str">
        <f>B15</f>
        <v>Pedro Itajai</v>
      </c>
      <c r="E2" s="116">
        <v>3</v>
      </c>
      <c r="F2" s="116">
        <v>18</v>
      </c>
      <c r="G2" s="31" t="str">
        <f>B16</f>
        <v>Rafael</v>
      </c>
      <c r="H2" s="63"/>
      <c r="I2" s="63"/>
      <c r="J2" s="63"/>
      <c r="K2" s="63"/>
      <c r="L2" s="16" t="str">
        <f>B17</f>
        <v>Matheus L.</v>
      </c>
      <c r="M2" s="13">
        <f>IF(OR(Table41013172512475452986841163[[#This Row],[SCORE 1]]="",Table41013172512475452986841163[[#This Row],[SCORE 2]]=""),"",Table41013172512475452986841163[[#This Row],[SCORE 1]]-Table41013172512475452986841163[[#This Row],[SCORE 2]])</f>
        <v>-15</v>
      </c>
      <c r="N2" s="13">
        <f>IF(OR(Table41013172512475452986841163[[#This Row],[SCORE 1]]="",Table41013172512475452986841163[[#This Row],[SCORE 2]]=""),"",Table41013172512475452986841163[[#This Row],[SCORE 2]]-Table41013172512475452986841163[[#This Row],[SCORE 1]])</f>
        <v>15</v>
      </c>
      <c r="O2" s="13">
        <f>IF(Table41013172512475452986841163[[#This Row],[SCORE 1]]="","",Table41013172512475452986841163[[#This Row],[SCORE 1]])</f>
        <v>3</v>
      </c>
      <c r="P2" s="13">
        <f>IF(Table41013172512475452986841163[[#This Row],[SCORE 2]]="","",Table41013172512475452986841163[[#This Row],[SCORE 2]])</f>
        <v>18</v>
      </c>
      <c r="Q2" s="13" t="str">
        <f>IF(OR(Table41013172512475452986841163[[#This Row],[SCORE 1]]="",Table41013172512475452986841163[[#This Row],[SCORE 2]]=""),"",IF(Table41013172512475452986841163[[#This Row],[SALDO 12]]&gt;0, "WIN","LOSE"))</f>
        <v>LOSE</v>
      </c>
      <c r="R2" s="13" t="str">
        <f>IF(OR(Table41013172512475452986841163[[#This Row],[SCORE 1]]="",Table41013172512475452986841163[[#This Row],[SCORE 2]]=""),"",IF(Table41013172512475452986841163[[#This Row],[SALDO 34]]&gt;0, "WIN","LOSE"))</f>
        <v>WIN</v>
      </c>
      <c r="T2" s="35" t="s">
        <v>179</v>
      </c>
      <c r="U2" s="35" t="s">
        <v>8</v>
      </c>
    </row>
    <row r="3" spans="1:21">
      <c r="A3" s="551"/>
      <c r="B3" s="13" t="s">
        <v>180</v>
      </c>
      <c r="C3" s="1" t="str">
        <f>B20</f>
        <v>Felipe Romanelli</v>
      </c>
      <c r="D3" s="32" t="str">
        <f>B21</f>
        <v>Cauã</v>
      </c>
      <c r="E3" s="116">
        <v>9</v>
      </c>
      <c r="F3" s="116">
        <v>18</v>
      </c>
      <c r="G3" s="31" t="str">
        <f>B22</f>
        <v>Luka</v>
      </c>
      <c r="H3" s="63"/>
      <c r="I3" s="63"/>
      <c r="J3" s="63"/>
      <c r="K3" s="63"/>
      <c r="L3" s="16" t="str">
        <f>B23</f>
        <v>Luiz Zuneda</v>
      </c>
      <c r="M3" s="13">
        <f>IF(OR(Table41013172512475452986841163[[#This Row],[SCORE 1]]="",Table41013172512475452986841163[[#This Row],[SCORE 2]]=""),"",Table41013172512475452986841163[[#This Row],[SCORE 1]]-Table41013172512475452986841163[[#This Row],[SCORE 2]])</f>
        <v>-9</v>
      </c>
      <c r="N3" s="13">
        <f>IF(OR(Table41013172512475452986841163[[#This Row],[SCORE 1]]="",Table41013172512475452986841163[[#This Row],[SCORE 2]]=""),"",Table41013172512475452986841163[[#This Row],[SCORE 2]]-Table41013172512475452986841163[[#This Row],[SCORE 1]])</f>
        <v>9</v>
      </c>
      <c r="O3" s="13">
        <f>IF(Table41013172512475452986841163[[#This Row],[SCORE 1]]="","",Table41013172512475452986841163[[#This Row],[SCORE 1]])</f>
        <v>9</v>
      </c>
      <c r="P3" s="13">
        <f>IF(Table41013172512475452986841163[[#This Row],[SCORE 2]]="","",Table41013172512475452986841163[[#This Row],[SCORE 2]])</f>
        <v>18</v>
      </c>
      <c r="Q3" s="13" t="str">
        <f>IF(OR(Table41013172512475452986841163[[#This Row],[SCORE 1]]="",Table41013172512475452986841163[[#This Row],[SCORE 2]]=""),"",IF(Table41013172512475452986841163[[#This Row],[SALDO 12]]&gt;0, "WIN","LOSE"))</f>
        <v>LOSE</v>
      </c>
      <c r="R3" s="13" t="str">
        <f>IF(OR(Table41013172512475452986841163[[#This Row],[SCORE 1]]="",Table41013172512475452986841163[[#This Row],[SCORE 2]]=""),"",IF(Table41013172512475452986841163[[#This Row],[SALDO 34]]&gt;0, "WIN","LOSE"))</f>
        <v>WIN</v>
      </c>
      <c r="T3" s="70" t="str">
        <f>IFERROR(_xlfn.XLOOKUP(Table152028325060721017145166[[#This Row],[Rank]],$M$33:$R$33,$M$32:$R$32),"")</f>
        <v>Matheus L.</v>
      </c>
      <c r="U3" s="67" t="s">
        <v>19</v>
      </c>
    </row>
    <row r="4" spans="1:21">
      <c r="A4" s="551"/>
      <c r="B4" s="13" t="s">
        <v>181</v>
      </c>
      <c r="C4" s="1" t="str">
        <f>B26</f>
        <v>Bruno C.</v>
      </c>
      <c r="D4" s="32" t="str">
        <f>B27</f>
        <v>Amit H.</v>
      </c>
      <c r="E4" s="116">
        <v>7</v>
      </c>
      <c r="F4" s="116">
        <v>18</v>
      </c>
      <c r="G4" s="31" t="str">
        <f>B28</f>
        <v>Marcelo</v>
      </c>
      <c r="H4" s="63"/>
      <c r="I4" s="63"/>
      <c r="J4" s="63"/>
      <c r="K4" s="63"/>
      <c r="L4" s="16" t="str">
        <f>B29</f>
        <v>Bebeto</v>
      </c>
      <c r="M4" s="13">
        <f>IF(OR(Table41013172512475452986841163[[#This Row],[SCORE 1]]="",Table41013172512475452986841163[[#This Row],[SCORE 2]]=""),"",Table41013172512475452986841163[[#This Row],[SCORE 1]]-Table41013172512475452986841163[[#This Row],[SCORE 2]])</f>
        <v>-11</v>
      </c>
      <c r="N4" s="13">
        <f>IF(OR(Table41013172512475452986841163[[#This Row],[SCORE 1]]="",Table41013172512475452986841163[[#This Row],[SCORE 2]]=""),"",Table41013172512475452986841163[[#This Row],[SCORE 2]]-Table41013172512475452986841163[[#This Row],[SCORE 1]])</f>
        <v>11</v>
      </c>
      <c r="O4" s="13">
        <f>IF(Table41013172512475452986841163[[#This Row],[SCORE 1]]="","",Table41013172512475452986841163[[#This Row],[SCORE 1]])</f>
        <v>7</v>
      </c>
      <c r="P4" s="13">
        <f>IF(Table41013172512475452986841163[[#This Row],[SCORE 2]]="","",Table41013172512475452986841163[[#This Row],[SCORE 2]])</f>
        <v>18</v>
      </c>
      <c r="Q4" s="13" t="str">
        <f>IF(OR(Table41013172512475452986841163[[#This Row],[SCORE 1]]="",Table41013172512475452986841163[[#This Row],[SCORE 2]]=""),"",IF(Table41013172512475452986841163[[#This Row],[SALDO 12]]&gt;0, "WIN","LOSE"))</f>
        <v>LOSE</v>
      </c>
      <c r="R4" s="13" t="str">
        <f>IF(OR(Table41013172512475452986841163[[#This Row],[SCORE 1]]="",Table41013172512475452986841163[[#This Row],[SCORE 2]]=""),"",IF(Table41013172512475452986841163[[#This Row],[SALDO 34]]&gt;0, "WIN","LOSE"))</f>
        <v>WIN</v>
      </c>
      <c r="T4" s="70" t="str">
        <f>IFERROR(_xlfn.XLOOKUP(Table152028325060721017145166[[#This Row],[Rank]],$M$33:$R$33,$M$32:$R$32),"")</f>
        <v>Marcelo</v>
      </c>
      <c r="U4" s="67" t="s">
        <v>22</v>
      </c>
    </row>
    <row r="5" spans="1:21">
      <c r="A5" s="551"/>
      <c r="B5" s="13" t="s">
        <v>178</v>
      </c>
      <c r="C5" s="1" t="str">
        <f>B14</f>
        <v>Tizoc</v>
      </c>
      <c r="D5" s="32" t="str">
        <f>B17</f>
        <v>Matheus L.</v>
      </c>
      <c r="E5" s="116">
        <v>19</v>
      </c>
      <c r="F5" s="116">
        <v>17</v>
      </c>
      <c r="G5" s="31" t="str">
        <f>B15</f>
        <v>Pedro Itajai</v>
      </c>
      <c r="H5" s="63"/>
      <c r="I5" s="63"/>
      <c r="J5" s="63"/>
      <c r="K5" s="63"/>
      <c r="L5" s="16" t="str">
        <f>B16</f>
        <v>Rafael</v>
      </c>
      <c r="M5" s="13">
        <f>IF(OR(Table41013172512475452986841163[[#This Row],[SCORE 1]]="",Table41013172512475452986841163[[#This Row],[SCORE 2]]=""),"",Table41013172512475452986841163[[#This Row],[SCORE 1]]-Table41013172512475452986841163[[#This Row],[SCORE 2]])</f>
        <v>2</v>
      </c>
      <c r="N5" s="13">
        <f>IF(OR(Table41013172512475452986841163[[#This Row],[SCORE 1]]="",Table41013172512475452986841163[[#This Row],[SCORE 2]]=""),"",Table41013172512475452986841163[[#This Row],[SCORE 2]]-Table41013172512475452986841163[[#This Row],[SCORE 1]])</f>
        <v>-2</v>
      </c>
      <c r="O5" s="13">
        <f>IF(Table41013172512475452986841163[[#This Row],[SCORE 1]]="","",Table41013172512475452986841163[[#This Row],[SCORE 1]])</f>
        <v>19</v>
      </c>
      <c r="P5" s="13">
        <f>IF(Table41013172512475452986841163[[#This Row],[SCORE 2]]="","",Table41013172512475452986841163[[#This Row],[SCORE 2]])</f>
        <v>17</v>
      </c>
      <c r="Q5" s="13" t="str">
        <f>IF(OR(Table41013172512475452986841163[[#This Row],[SCORE 1]]="",Table41013172512475452986841163[[#This Row],[SCORE 2]]=""),"",IF(Table41013172512475452986841163[[#This Row],[SALDO 12]]&gt;0, "WIN","LOSE"))</f>
        <v>WIN</v>
      </c>
      <c r="R5" s="13" t="str">
        <f>IF(OR(Table41013172512475452986841163[[#This Row],[SCORE 1]]="",Table41013172512475452986841163[[#This Row],[SCORE 2]]=""),"",IF(Table41013172512475452986841163[[#This Row],[SALDO 34]]&gt;0, "WIN","LOSE"))</f>
        <v>LOSE</v>
      </c>
      <c r="T5" s="70" t="str">
        <f>IFERROR(_xlfn.XLOOKUP(Table152028325060721017145166[[#This Row],[Rank]],$M$26:$R$26,$M$25:$R$25),"")</f>
        <v>Cauã</v>
      </c>
      <c r="U5" s="67" t="s">
        <v>25</v>
      </c>
    </row>
    <row r="6" spans="1:21">
      <c r="A6" s="551"/>
      <c r="B6" s="13" t="s">
        <v>180</v>
      </c>
      <c r="C6" s="1" t="str">
        <f>B20</f>
        <v>Felipe Romanelli</v>
      </c>
      <c r="D6" s="32" t="str">
        <f>B23</f>
        <v>Luiz Zuneda</v>
      </c>
      <c r="E6" s="116">
        <v>14</v>
      </c>
      <c r="F6" s="116">
        <v>18</v>
      </c>
      <c r="G6" s="31" t="str">
        <f>B21</f>
        <v>Cauã</v>
      </c>
      <c r="H6" s="63"/>
      <c r="I6" s="63"/>
      <c r="J6" s="63"/>
      <c r="K6" s="63"/>
      <c r="L6" s="16" t="str">
        <f>B22</f>
        <v>Luka</v>
      </c>
      <c r="M6" s="13">
        <f>IF(OR(Table41013172512475452986841163[[#This Row],[SCORE 1]]="",Table41013172512475452986841163[[#This Row],[SCORE 2]]=""),"",Table41013172512475452986841163[[#This Row],[SCORE 1]]-Table41013172512475452986841163[[#This Row],[SCORE 2]])</f>
        <v>-4</v>
      </c>
      <c r="N6" s="13">
        <f>IF(OR(Table41013172512475452986841163[[#This Row],[SCORE 1]]="",Table41013172512475452986841163[[#This Row],[SCORE 2]]=""),"",Table41013172512475452986841163[[#This Row],[SCORE 2]]-Table41013172512475452986841163[[#This Row],[SCORE 1]])</f>
        <v>4</v>
      </c>
      <c r="O6" s="13">
        <f>IF(Table41013172512475452986841163[[#This Row],[SCORE 1]]="","",Table41013172512475452986841163[[#This Row],[SCORE 1]])</f>
        <v>14</v>
      </c>
      <c r="P6" s="13">
        <f>IF(Table41013172512475452986841163[[#This Row],[SCORE 2]]="","",Table41013172512475452986841163[[#This Row],[SCORE 2]])</f>
        <v>18</v>
      </c>
      <c r="Q6" s="13" t="str">
        <f>IF(OR(Table41013172512475452986841163[[#This Row],[SCORE 1]]="",Table41013172512475452986841163[[#This Row],[SCORE 2]]=""),"",IF(Table41013172512475452986841163[[#This Row],[SALDO 12]]&gt;0, "WIN","LOSE"))</f>
        <v>LOSE</v>
      </c>
      <c r="R6" s="13" t="str">
        <f>IF(OR(Table41013172512475452986841163[[#This Row],[SCORE 1]]="",Table41013172512475452986841163[[#This Row],[SCORE 2]]=""),"",IF(Table41013172512475452986841163[[#This Row],[SALDO 34]]&gt;0, "WIN","LOSE"))</f>
        <v>WIN</v>
      </c>
      <c r="T6" s="70" t="str">
        <f>IFERROR(_xlfn.XLOOKUP(Table152028325060721017145166[[#This Row],[Rank]],$M$26:$R$26,$M$25:$R$25),"")</f>
        <v>Rafael</v>
      </c>
      <c r="U6" s="67" t="s">
        <v>28</v>
      </c>
    </row>
    <row r="7" spans="1:21">
      <c r="A7" s="551"/>
      <c r="B7" s="13" t="s">
        <v>181</v>
      </c>
      <c r="C7" s="1" t="str">
        <f>B26</f>
        <v>Bruno C.</v>
      </c>
      <c r="D7" s="32" t="str">
        <f>B29</f>
        <v>Bebeto</v>
      </c>
      <c r="E7" s="116">
        <v>9</v>
      </c>
      <c r="F7" s="116">
        <v>18</v>
      </c>
      <c r="G7" s="31" t="str">
        <f>B27</f>
        <v>Amit H.</v>
      </c>
      <c r="H7" s="63"/>
      <c r="I7" s="63"/>
      <c r="J7" s="63"/>
      <c r="K7" s="63"/>
      <c r="L7" s="16" t="str">
        <f>B28</f>
        <v>Marcelo</v>
      </c>
      <c r="M7" s="13">
        <f>IF(OR(Table41013172512475452986841163[[#This Row],[SCORE 1]]="",Table41013172512475452986841163[[#This Row],[SCORE 2]]=""),"",Table41013172512475452986841163[[#This Row],[SCORE 1]]-Table41013172512475452986841163[[#This Row],[SCORE 2]])</f>
        <v>-9</v>
      </c>
      <c r="N7" s="13">
        <f>IF(OR(Table41013172512475452986841163[[#This Row],[SCORE 1]]="",Table41013172512475452986841163[[#This Row],[SCORE 2]]=""),"",Table41013172512475452986841163[[#This Row],[SCORE 2]]-Table41013172512475452986841163[[#This Row],[SCORE 1]])</f>
        <v>9</v>
      </c>
      <c r="O7" s="13">
        <f>IF(Table41013172512475452986841163[[#This Row],[SCORE 1]]="","",Table41013172512475452986841163[[#This Row],[SCORE 1]])</f>
        <v>9</v>
      </c>
      <c r="P7" s="13">
        <f>IF(Table41013172512475452986841163[[#This Row],[SCORE 2]]="","",Table41013172512475452986841163[[#This Row],[SCORE 2]])</f>
        <v>18</v>
      </c>
      <c r="Q7" s="13" t="str">
        <f>IF(OR(Table41013172512475452986841163[[#This Row],[SCORE 1]]="",Table41013172512475452986841163[[#This Row],[SCORE 2]]=""),"",IF(Table41013172512475452986841163[[#This Row],[SALDO 12]]&gt;0, "WIN","LOSE"))</f>
        <v>LOSE</v>
      </c>
      <c r="R7" s="13" t="str">
        <f>IF(OR(Table41013172512475452986841163[[#This Row],[SCORE 1]]="",Table41013172512475452986841163[[#This Row],[SCORE 2]]=""),"",IF(Table41013172512475452986841163[[#This Row],[SALDO 34]]&gt;0, "WIN","LOSE"))</f>
        <v>WIN</v>
      </c>
      <c r="T7" s="70" t="str">
        <f>IF($O$15="lose",$M$14,_xlfn.XLOOKUP(Table152028325060721017145166[[#This Row],[Rank]],$M$20:$R$20,$M$19:$R$19,""))</f>
        <v>Luka</v>
      </c>
      <c r="U7" s="67" t="s">
        <v>31</v>
      </c>
    </row>
    <row r="8" spans="1:21">
      <c r="A8" s="551"/>
      <c r="B8" s="13" t="s">
        <v>178</v>
      </c>
      <c r="C8" s="1" t="str">
        <f>B14</f>
        <v>Tizoc</v>
      </c>
      <c r="D8" s="32" t="str">
        <f>B16</f>
        <v>Rafael</v>
      </c>
      <c r="E8" s="116">
        <v>14</v>
      </c>
      <c r="F8" s="116">
        <v>18</v>
      </c>
      <c r="G8" s="31" t="str">
        <f>B17</f>
        <v>Matheus L.</v>
      </c>
      <c r="H8" s="63"/>
      <c r="I8" s="63"/>
      <c r="J8" s="63"/>
      <c r="K8" s="63"/>
      <c r="L8" s="16" t="str">
        <f>B15</f>
        <v>Pedro Itajai</v>
      </c>
      <c r="M8" s="13">
        <f>IF(OR(Table41013172512475452986841163[[#This Row],[SCORE 1]]="",Table41013172512475452986841163[[#This Row],[SCORE 2]]=""),"",Table41013172512475452986841163[[#This Row],[SCORE 1]]-Table41013172512475452986841163[[#This Row],[SCORE 2]])</f>
        <v>-4</v>
      </c>
      <c r="N8" s="13">
        <f>IF(OR(Table41013172512475452986841163[[#This Row],[SCORE 1]]="",Table41013172512475452986841163[[#This Row],[SCORE 2]]=""),"",Table41013172512475452986841163[[#This Row],[SCORE 2]]-Table41013172512475452986841163[[#This Row],[SCORE 1]])</f>
        <v>4</v>
      </c>
      <c r="O8" s="13">
        <f>IF(Table41013172512475452986841163[[#This Row],[SCORE 1]]="","",Table41013172512475452986841163[[#This Row],[SCORE 1]])</f>
        <v>14</v>
      </c>
      <c r="P8" s="13">
        <f>IF(Table41013172512475452986841163[[#This Row],[SCORE 2]]="","",Table41013172512475452986841163[[#This Row],[SCORE 2]])</f>
        <v>18</v>
      </c>
      <c r="Q8" s="13" t="str">
        <f>IF(OR(Table41013172512475452986841163[[#This Row],[SCORE 1]]="",Table41013172512475452986841163[[#This Row],[SCORE 2]]=""),"",IF(Table41013172512475452986841163[[#This Row],[SALDO 12]]&gt;0, "WIN","LOSE"))</f>
        <v>LOSE</v>
      </c>
      <c r="R8" s="13" t="str">
        <f>IF(OR(Table41013172512475452986841163[[#This Row],[SCORE 1]]="",Table41013172512475452986841163[[#This Row],[SCORE 2]]=""),"",IF(Table41013172512475452986841163[[#This Row],[SALDO 34]]&gt;0, "WIN","LOSE"))</f>
        <v>WIN</v>
      </c>
      <c r="T8" s="70" t="str">
        <f>IF($O$15="lose",$N$14,_xlfn.XLOOKUP(Table152028325060721017145166[[#This Row],[Rank]],$M$20:$R$20,$M$19:$R$19,""))</f>
        <v>Luiz Zuneda</v>
      </c>
      <c r="U8" s="67" t="s">
        <v>34</v>
      </c>
    </row>
    <row r="9" spans="1:21">
      <c r="A9" s="551"/>
      <c r="B9" s="13" t="s">
        <v>180</v>
      </c>
      <c r="C9" s="1" t="str">
        <f>B20</f>
        <v>Felipe Romanelli</v>
      </c>
      <c r="D9" s="32" t="str">
        <f>B22</f>
        <v>Luka</v>
      </c>
      <c r="E9" s="116">
        <v>16</v>
      </c>
      <c r="F9" s="116">
        <v>18</v>
      </c>
      <c r="G9" s="31" t="str">
        <f>B23</f>
        <v>Luiz Zuneda</v>
      </c>
      <c r="H9" s="63"/>
      <c r="I9" s="63"/>
      <c r="J9" s="63"/>
      <c r="K9" s="63"/>
      <c r="L9" s="16" t="str">
        <f>B21</f>
        <v>Cauã</v>
      </c>
      <c r="M9" s="13">
        <f>IF(OR(Table41013172512475452986841163[[#This Row],[SCORE 1]]="",Table41013172512475452986841163[[#This Row],[SCORE 2]]=""),"",Table41013172512475452986841163[[#This Row],[SCORE 1]]-Table41013172512475452986841163[[#This Row],[SCORE 2]])</f>
        <v>-2</v>
      </c>
      <c r="N9" s="13">
        <f>IF(OR(Table41013172512475452986841163[[#This Row],[SCORE 1]]="",Table41013172512475452986841163[[#This Row],[SCORE 2]]=""),"",Table41013172512475452986841163[[#This Row],[SCORE 2]]-Table41013172512475452986841163[[#This Row],[SCORE 1]])</f>
        <v>2</v>
      </c>
      <c r="O9" s="13">
        <f>IF(Table41013172512475452986841163[[#This Row],[SCORE 1]]="","",Table41013172512475452986841163[[#This Row],[SCORE 1]])</f>
        <v>16</v>
      </c>
      <c r="P9" s="13">
        <f>IF(Table41013172512475452986841163[[#This Row],[SCORE 2]]="","",Table41013172512475452986841163[[#This Row],[SCORE 2]])</f>
        <v>18</v>
      </c>
      <c r="Q9" s="13" t="str">
        <f>IF(OR(Table41013172512475452986841163[[#This Row],[SCORE 1]]="",Table41013172512475452986841163[[#This Row],[SCORE 2]]=""),"",IF(Table41013172512475452986841163[[#This Row],[SALDO 12]]&gt;0, "WIN","LOSE"))</f>
        <v>LOSE</v>
      </c>
      <c r="R9" s="13" t="str">
        <f>IF(OR(Table41013172512475452986841163[[#This Row],[SCORE 1]]="",Table41013172512475452986841163[[#This Row],[SCORE 2]]=""),"",IF(Table41013172512475452986841163[[#This Row],[SALDO 34]]&gt;0, "WIN","LOSE"))</f>
        <v>WIN</v>
      </c>
      <c r="T9" s="70" t="str">
        <f>IF($P$15="lose",$Q$14,_xlfn.XLOOKUP(Table152028325060721017145166[[#This Row],[Rank]],$M$20:$R$20,$M$19:$R$19,""))</f>
        <v>Bebeto</v>
      </c>
      <c r="U9" s="67" t="s">
        <v>37</v>
      </c>
    </row>
    <row r="10" spans="1:21">
      <c r="A10" s="551"/>
      <c r="B10" s="13" t="s">
        <v>181</v>
      </c>
      <c r="C10" s="1" t="str">
        <f>B26</f>
        <v>Bruno C.</v>
      </c>
      <c r="D10" s="32" t="str">
        <f>B28</f>
        <v>Marcelo</v>
      </c>
      <c r="E10" s="116">
        <v>18</v>
      </c>
      <c r="F10" s="116">
        <v>13</v>
      </c>
      <c r="G10" s="31" t="str">
        <f>B29</f>
        <v>Bebeto</v>
      </c>
      <c r="H10" s="63"/>
      <c r="I10" s="63"/>
      <c r="J10" s="63"/>
      <c r="K10" s="63"/>
      <c r="L10" s="16" t="str">
        <f>B27</f>
        <v>Amit H.</v>
      </c>
      <c r="M10" s="13">
        <f>IF(OR(Table41013172512475452986841163[[#This Row],[SCORE 1]]="",Table41013172512475452986841163[[#This Row],[SCORE 2]]=""),"",Table41013172512475452986841163[[#This Row],[SCORE 1]]-Table41013172512475452986841163[[#This Row],[SCORE 2]])</f>
        <v>5</v>
      </c>
      <c r="N10" s="13">
        <f>IF(OR(Table41013172512475452986841163[[#This Row],[SCORE 1]]="",Table41013172512475452986841163[[#This Row],[SCORE 2]]=""),"",Table41013172512475452986841163[[#This Row],[SCORE 2]]-Table41013172512475452986841163[[#This Row],[SCORE 1]])</f>
        <v>-5</v>
      </c>
      <c r="O10" s="13">
        <f>IF(Table41013172512475452986841163[[#This Row],[SCORE 1]]="","",Table41013172512475452986841163[[#This Row],[SCORE 1]])</f>
        <v>18</v>
      </c>
      <c r="P10" s="13">
        <f>IF(Table41013172512475452986841163[[#This Row],[SCORE 2]]="","",Table41013172512475452986841163[[#This Row],[SCORE 2]])</f>
        <v>13</v>
      </c>
      <c r="Q10" s="13" t="str">
        <f>IF(OR(Table41013172512475452986841163[[#This Row],[SCORE 1]]="",Table41013172512475452986841163[[#This Row],[SCORE 2]]=""),"",IF(Table41013172512475452986841163[[#This Row],[SALDO 12]]&gt;0, "WIN","LOSE"))</f>
        <v>WIN</v>
      </c>
      <c r="R10" s="13" t="str">
        <f>IF(OR(Table41013172512475452986841163[[#This Row],[SCORE 1]]="",Table41013172512475452986841163[[#This Row],[SCORE 2]]=""),"",IF(Table41013172512475452986841163[[#This Row],[SALDO 34]]&gt;0, "WIN","LOSE"))</f>
        <v>LOSE</v>
      </c>
      <c r="T10" s="70" t="str">
        <f>IF($P$15="lose",$R$14,_xlfn.XLOOKUP(Table152028325060721017145166[[#This Row],[Rank]],$M$20:$R$20,$M$19:$R$19,""))</f>
        <v>Amit H.</v>
      </c>
      <c r="U10" s="67" t="s">
        <v>41</v>
      </c>
    </row>
    <row r="11" spans="1:21" ht="30" customHeight="1">
      <c r="T11" s="66" t="str" cm="1">
        <f t="array" ref="T11">IF(COUNTBLANK(Games_45056[[SCORE 1]:[SCORE 2]])=0,_xlfn.TEXTJOIN(", ", TRUE, _xlfn._xlws.FILTER($K$14:$K$25, $J$14:$J$25=U11, "")),"")</f>
        <v>Pedro Itajai</v>
      </c>
      <c r="U11" s="67" t="s">
        <v>44</v>
      </c>
    </row>
    <row r="12" spans="1:21" ht="30" customHeight="1">
      <c r="A12" s="546" t="s">
        <v>182</v>
      </c>
      <c r="B12" s="547"/>
      <c r="C12" s="547"/>
      <c r="D12" s="547"/>
      <c r="E12" s="547"/>
      <c r="F12" s="547"/>
      <c r="G12" s="547"/>
      <c r="H12" s="420"/>
      <c r="I12" s="420"/>
      <c r="J12" s="420"/>
      <c r="K12" s="420"/>
      <c r="M12" s="548" t="s">
        <v>183</v>
      </c>
      <c r="N12" s="549"/>
      <c r="O12" s="549"/>
      <c r="P12" s="549"/>
      <c r="Q12" s="549"/>
      <c r="R12" s="549"/>
      <c r="T12" s="66" t="str" cm="1">
        <f t="array" ref="T12">IF(COUNTBLANK(Games_45056[[SCORE 1]:[SCORE 2]])=0,_xlfn.TEXTJOIN(", ", TRUE, _xlfn._xlws.FILTER($K$14:$K$25, $J$14:$J$25=U12, "")),"")</f>
        <v>Bruno C.</v>
      </c>
      <c r="U12" s="67" t="s">
        <v>39</v>
      </c>
    </row>
    <row r="13" spans="1:21" ht="15.95">
      <c r="A13" s="6" t="s">
        <v>184</v>
      </c>
      <c r="B13" s="7" t="s">
        <v>203</v>
      </c>
      <c r="C13" s="7" t="s">
        <v>186</v>
      </c>
      <c r="D13" s="7" t="s">
        <v>187</v>
      </c>
      <c r="E13" s="7" t="s">
        <v>188</v>
      </c>
      <c r="F13" s="7" t="s">
        <v>189</v>
      </c>
      <c r="G13" s="7" t="s">
        <v>8</v>
      </c>
      <c r="H13" s="80" t="s">
        <v>204</v>
      </c>
      <c r="I13" s="20" t="s">
        <v>191</v>
      </c>
      <c r="J13" s="20" t="s">
        <v>192</v>
      </c>
      <c r="K13" s="20" t="s">
        <v>1</v>
      </c>
      <c r="L13" s="20" t="s">
        <v>192</v>
      </c>
      <c r="M13" s="418" t="s">
        <v>193</v>
      </c>
      <c r="N13" s="418" t="s">
        <v>194</v>
      </c>
      <c r="O13" s="542" t="s">
        <v>195</v>
      </c>
      <c r="P13" s="543"/>
      <c r="Q13" s="418" t="s">
        <v>196</v>
      </c>
      <c r="R13" s="418" t="s">
        <v>197</v>
      </c>
      <c r="T13" s="66" t="str" cm="1">
        <f t="array" ref="T13">IF(COUNTBLANK(Games_45056[[SCORE 1]:[SCORE 2]])=0,_xlfn.TEXTJOIN(", ", TRUE, _xlfn._xlws.FILTER($K$14:$K$25, $J$14:$J$25=U13, "")),"")</f>
        <v>Tizoc</v>
      </c>
      <c r="U13" s="67" t="s">
        <v>49</v>
      </c>
    </row>
    <row r="14" spans="1:21">
      <c r="A14" s="4" t="s">
        <v>205</v>
      </c>
      <c r="B14" s="118" t="s">
        <v>92</v>
      </c>
      <c r="C14" s="14">
        <f>SUM(COUNTIFS(Table41013172512475452986841163[ATHLETE 1],Table361114182630485553996943164[[#This Row],[Athletes]],Table41013172512475452986841163[RESULT 12],Table361114182630485553996943164[[#Headers],[WIN]]),COUNTIFS(Table41013172512475452986841163[ATHLETE 2],Table361114182630485553996943164[[#This Row],[Athletes]],Table41013172512475452986841163[RESULT 12],Table361114182630485553996943164[[#Headers],[WIN]]),COUNTIFS(Table41013172512475452986841163[ATHLETE 3],Table361114182630485553996943164[[#This Row],[Athletes]],Table41013172512475452986841163[RESULT 34],Table361114182630485553996943164[[#Headers],[WIN]]),COUNTIFS(Table41013172512475452986841163[ATHLETE 4],Table361114182630485553996943164[[#This Row],[Athletes]],Table41013172512475452986841163[RESULT 34],Table361114182630485553996943164[[#Headers],[WIN]]))</f>
        <v>1</v>
      </c>
      <c r="D14" s="14">
        <f>SUM(COUNTIFS(Table41013172512475452986841163[ATHLETE 1],Table361114182630485553996943164[[#This Row],[Athletes]],Table41013172512475452986841163[RESULT 12],Table361114182630485553996943164[[#Headers],[LOSE]]),COUNTIFS(Table41013172512475452986841163[ATHLETE 2],Table361114182630485553996943164[[#This Row],[Athletes]],Table41013172512475452986841163[RESULT 12],Table361114182630485553996943164[[#Headers],[LOSE]]),COUNTIFS(Table41013172512475452986841163[ATHLETE 3],Table361114182630485553996943164[[#This Row],[Athletes]],Table41013172512475452986841163[RESULT 34],Table361114182630485553996943164[[#Headers],[LOSE]]),COUNTIFS(Table41013172512475452986841163[ATHLETE 4],Table361114182630485553996943164[[#This Row],[Athletes]],Table41013172512475452986841163[RESULT 34],Table361114182630485553996943164[[#Headers],[LOSE]]))</f>
        <v>2</v>
      </c>
      <c r="E14" s="19">
        <f>SUM(SUMIF(Table41013172512475452986841163[ATHLETE 1],Table361114182630485553996943164[[#This Row],[Athletes]],Table41013172512475452986841163[SALDO 12]),SUMIF(Table41013172512475452986841163[ATHLETE 2],Table361114182630485553996943164[[#This Row],[Athletes]],Table41013172512475452986841163[SALDO 12]),SUMIF(Table41013172512475452986841163[ATHLETE 3],Table361114182630485553996943164[[#This Row],[Athletes]],Table41013172512475452986841163[SALDO 34]),SUMIF(Table41013172512475452986841163[ATHLETE 4],Table361114182630485553996943164[[#This Row],[Athletes]],Table41013172512475452986841163[SALDO 34]))</f>
        <v>-17</v>
      </c>
      <c r="F14" s="19">
        <f>SUM(SUMIF(Table41013172512475452986841163[ATHLETE 1],Table361114182630485553996943164[[#This Row],[Athletes]],Table41013172512475452986841163[PM 12]),SUMIF(Table41013172512475452986841163[ATHLETE 2],Table361114182630485553996943164[[#This Row],[Athletes]],Table41013172512475452986841163[PM 12]),SUMIF(Table41013172512475452986841163[ATHLETE 3],Table361114182630485553996943164[[#This Row],[Athletes]],Table41013172512475452986841163[PM 34]),SUMIF(Table41013172512475452986841163[ATHLETE 4],Table361114182630485553996943164[[#This Row],[Athletes]],Table41013172512475452986841163[PM 34]))</f>
        <v>36</v>
      </c>
      <c r="G14" s="14" t="str">
        <f>IF(COUNTBLANK(Table41013172512475452986841163[[SCORE 1]:[SCORE 2]])=0,IF(RANK(H14,$H$14:$H$17)=1,RANK(H14,$H$14:$H$17)&amp;"st",IF(RANK(H14,$H$14:$H$17)=2,RANK(H14,$H$14:$H$17)&amp;"nd",RANK(H14,$H$14:$H$17)&amp;"th")),"")</f>
        <v>4th</v>
      </c>
      <c r="H14" s="51">
        <f>Table361114182630485553996943164[[#This Row],[WIN]]*1000000+Table361114182630485553996943164[[#This Row],[Saldo]]*1000+Table361114182630485553996943164[[#This Row],[PM]]</f>
        <v>983036</v>
      </c>
      <c r="I14" s="2">
        <f>H14</f>
        <v>983036</v>
      </c>
      <c r="J14" s="2" t="str">
        <f>IF(COUNTBLANK(Table41013172512475452986841163[[SCORE 1]:[SCORE 2]])=0,IF(RANK(I14,$I$14:$I$25)=1,RANK(I14,$I$14:$I$25)&amp;"st",IF(RANK(I14,$I$14:$I$25)=2,RANK(I14,$I$14:$I$25)&amp;"nd",IF(RANK(I14,$I$14:$I$25)=3,RANK(I14,$I$14:$I$25)&amp;"rd",RANK(I14,$I$14:$I$25)&amp;"th"))),"")</f>
        <v>11th</v>
      </c>
      <c r="K14" s="38" t="str">
        <f>Table361114182630485553996943164[[#This Row],[Athletes]]</f>
        <v>Tizoc</v>
      </c>
      <c r="L14" s="2" t="str">
        <f>J14</f>
        <v>11th</v>
      </c>
      <c r="M14" s="428" t="str" cm="1">
        <f t="array" ref="M14">_xlfn.TEXTJOIN(", ", TRUE, _xlfn._xlws.FILTER($K$14:$K$25, $J$14:$J$25=$U$3, ""))</f>
        <v>Marcelo</v>
      </c>
      <c r="N14" s="428" t="str" cm="1">
        <f t="array" ref="N14">_xlfn.TEXTJOIN(", ", TRUE, _xlfn._xlws.FILTER($K$14:$K$25, $J$14:$J$25=$U$4, ""))</f>
        <v>Matheus L.</v>
      </c>
      <c r="O14" s="119">
        <v>18</v>
      </c>
      <c r="P14" s="120">
        <v>0</v>
      </c>
      <c r="Q14" s="428" t="str" cm="1">
        <f t="array" ref="Q14">_xlfn.TEXTJOIN(", ", TRUE, _xlfn._xlws.FILTER($K$14:$K$25, $J$14:$J$25=$U$9, ""))</f>
        <v>Bebeto</v>
      </c>
      <c r="R14" s="428" t="str" cm="1">
        <f t="array" ref="R14">_xlfn.TEXTJOIN(", ", TRUE, _xlfn._xlws.FILTER($K$14:$K$25, $J$14:$J$25=$U$10, ""))</f>
        <v>Amit H.</v>
      </c>
      <c r="S14" s="68"/>
      <c r="T14" s="66" t="str" cm="1">
        <f t="array" ref="T14">IF(COUNTBLANK(Games_45056[[SCORE 1]:[SCORE 2]])=0,_xlfn.TEXTJOIN(", ", TRUE, _xlfn._xlws.FILTER($K$14:$K$25, $J$14:$J$25=U14, "")),"")</f>
        <v>Felipe Romanelli</v>
      </c>
      <c r="U14" s="67" t="s">
        <v>51</v>
      </c>
    </row>
    <row r="15" spans="1:21">
      <c r="A15" s="3" t="s">
        <v>206</v>
      </c>
      <c r="B15" s="118" t="s">
        <v>85</v>
      </c>
      <c r="C15" s="14">
        <f>SUM(COUNTIFS(Table41013172512475452986841163[ATHLETE 1],Table361114182630485553996943164[[#This Row],[Athletes]],Table41013172512475452986841163[RESULT 12],Table361114182630485553996943164[[#Headers],[WIN]]),COUNTIFS(Table41013172512475452986841163[ATHLETE 2],Table361114182630485553996943164[[#This Row],[Athletes]],Table41013172512475452986841163[RESULT 12],Table361114182630485553996943164[[#Headers],[WIN]]),COUNTIFS(Table41013172512475452986841163[ATHLETE 3],Table361114182630485553996943164[[#This Row],[Athletes]],Table41013172512475452986841163[RESULT 34],Table361114182630485553996943164[[#Headers],[WIN]]),COUNTIFS(Table41013172512475452986841163[ATHLETE 4],Table361114182630485553996943164[[#This Row],[Athletes]],Table41013172512475452986841163[RESULT 34],Table361114182630485553996943164[[#Headers],[WIN]]))</f>
        <v>1</v>
      </c>
      <c r="D15" s="14">
        <f>SUM(COUNTIFS(Table41013172512475452986841163[ATHLETE 1],Table361114182630485553996943164[[#This Row],[Athletes]],Table41013172512475452986841163[RESULT 12],Table361114182630485553996943164[[#Headers],[LOSE]]),COUNTIFS(Table41013172512475452986841163[ATHLETE 2],Table361114182630485553996943164[[#This Row],[Athletes]],Table41013172512475452986841163[RESULT 12],Table361114182630485553996943164[[#Headers],[LOSE]]),COUNTIFS(Table41013172512475452986841163[ATHLETE 3],Table361114182630485553996943164[[#This Row],[Athletes]],Table41013172512475452986841163[RESULT 34],Table361114182630485553996943164[[#Headers],[LOSE]]),COUNTIFS(Table41013172512475452986841163[ATHLETE 4],Table361114182630485553996943164[[#This Row],[Athletes]],Table41013172512475452986841163[RESULT 34],Table361114182630485553996943164[[#Headers],[LOSE]]))</f>
        <v>2</v>
      </c>
      <c r="E15" s="19">
        <f>SUM(SUMIF(Table41013172512475452986841163[ATHLETE 1],Table361114182630485553996943164[[#This Row],[Athletes]],Table41013172512475452986841163[SALDO 12]),SUMIF(Table41013172512475452986841163[ATHLETE 2],Table361114182630485553996943164[[#This Row],[Athletes]],Table41013172512475452986841163[SALDO 12]),SUMIF(Table41013172512475452986841163[ATHLETE 3],Table361114182630485553996943164[[#This Row],[Athletes]],Table41013172512475452986841163[SALDO 34]),SUMIF(Table41013172512475452986841163[ATHLETE 4],Table361114182630485553996943164[[#This Row],[Athletes]],Table41013172512475452986841163[SALDO 34]))</f>
        <v>-13</v>
      </c>
      <c r="F15" s="19">
        <f>SUM(SUMIF(Table41013172512475452986841163[ATHLETE 1],Table361114182630485553996943164[[#This Row],[Athletes]],Table41013172512475452986841163[PM 12]),SUMIF(Table41013172512475452986841163[ATHLETE 2],Table361114182630485553996943164[[#This Row],[Athletes]],Table41013172512475452986841163[PM 12]),SUMIF(Table41013172512475452986841163[ATHLETE 3],Table361114182630485553996943164[[#This Row],[Athletes]],Table41013172512475452986841163[PM 34]),SUMIF(Table41013172512475452986841163[ATHLETE 4],Table361114182630485553996943164[[#This Row],[Athletes]],Table41013172512475452986841163[PM 34]))</f>
        <v>38</v>
      </c>
      <c r="G15" s="14" t="str">
        <f>IF(COUNTBLANK(Table41013172512475452986841163[[SCORE 1]:[SCORE 2]])=0,IF(RANK(H15,$H$14:$H$17)=1,RANK(H15,$H$14:$H$17)&amp;"st",IF(RANK(H15,$H$14:$H$17)=2,RANK(H15,$H$14:$H$17)&amp;"nd",RANK(H15,$H$14:$H$17)&amp;"th")),"")</f>
        <v>3th</v>
      </c>
      <c r="H15" s="51">
        <f>Table361114182630485553996943164[[#This Row],[WIN]]*1000000+Table361114182630485553996943164[[#This Row],[Saldo]]*1000+Table361114182630485553996943164[[#This Row],[PM]]</f>
        <v>987038</v>
      </c>
      <c r="I15" s="2">
        <f t="shared" ref="I15:I17" si="0">H15</f>
        <v>987038</v>
      </c>
      <c r="J15" s="2" t="str">
        <f>IF(COUNTBLANK(Table41013172512475452986841163[[SCORE 1]:[SCORE 2]])=0,IF(RANK(I15,$I$14:$I$25)=1,RANK(I15,$I$14:$I$25)&amp;"st",IF(RANK(I15,$I$14:$I$25)=2,RANK(I15,$I$14:$I$25)&amp;"nd",IF(RANK(I15,$I$14:$I$25)=3,RANK(I15,$I$14:$I$25)&amp;"rd",RANK(I15,$I$14:$I$25)&amp;"th"))),"")</f>
        <v>9th</v>
      </c>
      <c r="K15" s="38" t="str">
        <f>Table361114182630485553996943164[[#This Row],[Athletes]]</f>
        <v>Pedro Itajai</v>
      </c>
      <c r="L15" s="2" t="str">
        <f t="shared" ref="L15:L17" si="1">J15</f>
        <v>9th</v>
      </c>
      <c r="M15" s="127" t="str">
        <f>IF($O$15="lose",$U$7,"")</f>
        <v/>
      </c>
      <c r="N15" s="127" t="str">
        <f>IF($O$15="lose",$U$8,"")</f>
        <v/>
      </c>
      <c r="O15" s="2" t="str">
        <f>IF(OR(O14="",P14=""),"",IF((O14&gt;P14),"WIN","LOSE"))</f>
        <v>WIN</v>
      </c>
      <c r="P15" s="2" t="str">
        <f>IF(OR(O14="",P14=""),"",IF((O14&lt;P14),"WIN","LOSE"))</f>
        <v>LOSE</v>
      </c>
      <c r="Q15" s="127" t="str">
        <f>IF($P$15="lose",$U$9,"")</f>
        <v>7th</v>
      </c>
      <c r="R15" s="127" t="str">
        <f>IF($P$15="lose",$U$10,"")</f>
        <v>8th</v>
      </c>
      <c r="S15" s="17"/>
    </row>
    <row r="16" spans="1:21">
      <c r="A16" s="3" t="s">
        <v>207</v>
      </c>
      <c r="B16" s="118" t="s">
        <v>83</v>
      </c>
      <c r="C16" s="14">
        <f>SUM(COUNTIFS(Table41013172512475452986841163[ATHLETE 1],Table361114182630485553996943164[[#This Row],[Athletes]],Table41013172512475452986841163[RESULT 12],Table361114182630485553996943164[[#Headers],[WIN]]),COUNTIFS(Table41013172512475452986841163[ATHLETE 2],Table361114182630485553996943164[[#This Row],[Athletes]],Table41013172512475452986841163[RESULT 12],Table361114182630485553996943164[[#Headers],[WIN]]),COUNTIFS(Table41013172512475452986841163[ATHLETE 3],Table361114182630485553996943164[[#This Row],[Athletes]],Table41013172512475452986841163[RESULT 34],Table361114182630485553996943164[[#Headers],[WIN]]),COUNTIFS(Table41013172512475452986841163[ATHLETE 4],Table361114182630485553996943164[[#This Row],[Athletes]],Table41013172512475452986841163[RESULT 34],Table361114182630485553996943164[[#Headers],[WIN]]))</f>
        <v>1</v>
      </c>
      <c r="D16" s="14">
        <f>SUM(COUNTIFS(Table41013172512475452986841163[ATHLETE 1],Table361114182630485553996943164[[#This Row],[Athletes]],Table41013172512475452986841163[RESULT 12],Table361114182630485553996943164[[#Headers],[LOSE]]),COUNTIFS(Table41013172512475452986841163[ATHLETE 2],Table361114182630485553996943164[[#This Row],[Athletes]],Table41013172512475452986841163[RESULT 12],Table361114182630485553996943164[[#Headers],[LOSE]]),COUNTIFS(Table41013172512475452986841163[ATHLETE 3],Table361114182630485553996943164[[#This Row],[Athletes]],Table41013172512475452986841163[RESULT 34],Table361114182630485553996943164[[#Headers],[LOSE]]),COUNTIFS(Table41013172512475452986841163[ATHLETE 4],Table361114182630485553996943164[[#This Row],[Athletes]],Table41013172512475452986841163[RESULT 34],Table361114182630485553996943164[[#Headers],[LOSE]]))</f>
        <v>2</v>
      </c>
      <c r="E16" s="19">
        <f>SUM(SUMIF(Table41013172512475452986841163[ATHLETE 1],Table361114182630485553996943164[[#This Row],[Athletes]],Table41013172512475452986841163[SALDO 12]),SUMIF(Table41013172512475452986841163[ATHLETE 2],Table361114182630485553996943164[[#This Row],[Athletes]],Table41013172512475452986841163[SALDO 12]),SUMIF(Table41013172512475452986841163[ATHLETE 3],Table361114182630485553996943164[[#This Row],[Athletes]],Table41013172512475452986841163[SALDO 34]),SUMIF(Table41013172512475452986841163[ATHLETE 4],Table361114182630485553996943164[[#This Row],[Athletes]],Table41013172512475452986841163[SALDO 34]))</f>
        <v>9</v>
      </c>
      <c r="F16" s="19">
        <f>SUM(SUMIF(Table41013172512475452986841163[ATHLETE 1],Table361114182630485553996943164[[#This Row],[Athletes]],Table41013172512475452986841163[PM 12]),SUMIF(Table41013172512475452986841163[ATHLETE 2],Table361114182630485553996943164[[#This Row],[Athletes]],Table41013172512475452986841163[PM 12]),SUMIF(Table41013172512475452986841163[ATHLETE 3],Table361114182630485553996943164[[#This Row],[Athletes]],Table41013172512475452986841163[PM 34]),SUMIF(Table41013172512475452986841163[ATHLETE 4],Table361114182630485553996943164[[#This Row],[Athletes]],Table41013172512475452986841163[PM 34]))</f>
        <v>49</v>
      </c>
      <c r="G16" s="14" t="str">
        <f>IF(COUNTBLANK(Table41013172512475452986841163[[SCORE 1]:[SCORE 2]])=0,IF(RANK(H16,$H$14:$H$17)=1,RANK(H16,$H$14:$H$17)&amp;"st",IF(RANK(H16,$H$14:$H$17)=2,RANK(H16,$H$14:$H$17)&amp;"nd",RANK(H16,$H$14:$H$17)&amp;"th")),"")</f>
        <v>2nd</v>
      </c>
      <c r="H16" s="51">
        <f>Table361114182630485553996943164[[#This Row],[WIN]]*1000000+Table361114182630485553996943164[[#This Row],[Saldo]]*1000+Table361114182630485553996943164[[#This Row],[PM]]</f>
        <v>1009049</v>
      </c>
      <c r="I16" s="2">
        <f t="shared" si="0"/>
        <v>1009049</v>
      </c>
      <c r="J16" s="2" t="str">
        <f>IF(COUNTBLANK(Table41013172512475452986841163[[SCORE 1]:[SCORE 2]])=0,IF(RANK(I16,$I$14:$I$25)=1,RANK(I16,$I$14:$I$25)&amp;"st",IF(RANK(I16,$I$14:$I$25)=2,RANK(I16,$I$14:$I$25)&amp;"nd",IF(RANK(I16,$I$14:$I$25)=3,RANK(I16,$I$14:$I$25)&amp;"rd",RANK(I16,$I$14:$I$25)&amp;"th"))),"")</f>
        <v>6th</v>
      </c>
      <c r="K16" s="38" t="str">
        <f>Table361114182630485553996943164[[#This Row],[Athletes]]</f>
        <v>Rafael</v>
      </c>
      <c r="L16" s="2" t="str">
        <f t="shared" si="1"/>
        <v>6th</v>
      </c>
      <c r="M16" s="90">
        <v>1</v>
      </c>
      <c r="N16" s="90">
        <v>2</v>
      </c>
      <c r="O16" s="90"/>
      <c r="P16" s="90"/>
      <c r="Q16" s="90">
        <v>7</v>
      </c>
      <c r="R16" s="90">
        <v>8</v>
      </c>
    </row>
    <row r="17" spans="1:21" ht="15.95">
      <c r="A17" s="5" t="s">
        <v>208</v>
      </c>
      <c r="B17" s="118" t="s">
        <v>78</v>
      </c>
      <c r="C17" s="14">
        <f>SUM(COUNTIFS(Table41013172512475452986841163[ATHLETE 1],Table361114182630485553996943164[[#This Row],[Athletes]],Table41013172512475452986841163[RESULT 12],Table361114182630485553996943164[[#Headers],[WIN]]),COUNTIFS(Table41013172512475452986841163[ATHLETE 2],Table361114182630485553996943164[[#This Row],[Athletes]],Table41013172512475452986841163[RESULT 12],Table361114182630485553996943164[[#Headers],[WIN]]),COUNTIFS(Table41013172512475452986841163[ATHLETE 3],Table361114182630485553996943164[[#This Row],[Athletes]],Table41013172512475452986841163[RESULT 34],Table361114182630485553996943164[[#Headers],[WIN]]),COUNTIFS(Table41013172512475452986841163[ATHLETE 4],Table361114182630485553996943164[[#This Row],[Athletes]],Table41013172512475452986841163[RESULT 34],Table361114182630485553996943164[[#Headers],[WIN]]))</f>
        <v>3</v>
      </c>
      <c r="D17" s="14">
        <f>SUM(COUNTIFS(Table41013172512475452986841163[ATHLETE 1],Table361114182630485553996943164[[#This Row],[Athletes]],Table41013172512475452986841163[RESULT 12],Table361114182630485553996943164[[#Headers],[LOSE]]),COUNTIFS(Table41013172512475452986841163[ATHLETE 2],Table361114182630485553996943164[[#This Row],[Athletes]],Table41013172512475452986841163[RESULT 12],Table361114182630485553996943164[[#Headers],[LOSE]]),COUNTIFS(Table41013172512475452986841163[ATHLETE 3],Table361114182630485553996943164[[#This Row],[Athletes]],Table41013172512475452986841163[RESULT 34],Table361114182630485553996943164[[#Headers],[LOSE]]),COUNTIFS(Table41013172512475452986841163[ATHLETE 4],Table361114182630485553996943164[[#This Row],[Athletes]],Table41013172512475452986841163[RESULT 34],Table361114182630485553996943164[[#Headers],[LOSE]]))</f>
        <v>0</v>
      </c>
      <c r="E17" s="19">
        <f>SUM(SUMIF(Table41013172512475452986841163[ATHLETE 1],Table361114182630485553996943164[[#This Row],[Athletes]],Table41013172512475452986841163[SALDO 12]),SUMIF(Table41013172512475452986841163[ATHLETE 2],Table361114182630485553996943164[[#This Row],[Athletes]],Table41013172512475452986841163[SALDO 12]),SUMIF(Table41013172512475452986841163[ATHLETE 3],Table361114182630485553996943164[[#This Row],[Athletes]],Table41013172512475452986841163[SALDO 34]),SUMIF(Table41013172512475452986841163[ATHLETE 4],Table361114182630485553996943164[[#This Row],[Athletes]],Table41013172512475452986841163[SALDO 34]))</f>
        <v>21</v>
      </c>
      <c r="F17" s="19">
        <f>SUM(SUMIF(Table41013172512475452986841163[ATHLETE 1],Table361114182630485553996943164[[#This Row],[Athletes]],Table41013172512475452986841163[PM 12]),SUMIF(Table41013172512475452986841163[ATHLETE 2],Table361114182630485553996943164[[#This Row],[Athletes]],Table41013172512475452986841163[PM 12]),SUMIF(Table41013172512475452986841163[ATHLETE 3],Table361114182630485553996943164[[#This Row],[Athletes]],Table41013172512475452986841163[PM 34]),SUMIF(Table41013172512475452986841163[ATHLETE 4],Table361114182630485553996943164[[#This Row],[Athletes]],Table41013172512475452986841163[PM 34]))</f>
        <v>55</v>
      </c>
      <c r="G17" s="14" t="str">
        <f>IF(COUNTBLANK(Table41013172512475452986841163[[SCORE 1]:[SCORE 2]])=0,IF(RANK(H17,$H$14:$H$17)=1,RANK(H17,$H$14:$H$17)&amp;"st",IF(RANK(H17,$H$14:$H$17)=2,RANK(H17,$H$14:$H$17)&amp;"nd",RANK(H17,$H$14:$H$17)&amp;"th")),"")</f>
        <v>1st</v>
      </c>
      <c r="H17" s="51">
        <f>Table361114182630485553996943164[[#This Row],[WIN]]*1000000+Table361114182630485553996943164[[#This Row],[Saldo]]*1000+Table361114182630485553996943164[[#This Row],[PM]]</f>
        <v>3021055</v>
      </c>
      <c r="I17" s="2">
        <f t="shared" si="0"/>
        <v>3021055</v>
      </c>
      <c r="J17" s="2" t="str">
        <f>IF(COUNTBLANK(Table41013172512475452986841163[[SCORE 1]:[SCORE 2]])=0,IF(RANK(I17,$I$14:$I$25)=1,RANK(I17,$I$14:$I$25)&amp;"st",IF(RANK(I17,$I$14:$I$25)=2,RANK(I17,$I$14:$I$25)&amp;"nd",IF(RANK(I17,$I$14:$I$25)=3,RANK(I17,$I$14:$I$25)&amp;"rd",RANK(I17,$I$14:$I$25)&amp;"th"))),"")</f>
        <v>2nd</v>
      </c>
      <c r="K17" s="38" t="str">
        <f>Table361114182630485553996943164[[#This Row],[Athletes]]</f>
        <v>Matheus L.</v>
      </c>
      <c r="L17" s="2" t="str">
        <f t="shared" si="1"/>
        <v>2nd</v>
      </c>
      <c r="M17" s="90"/>
      <c r="N17" s="90"/>
      <c r="O17" s="90"/>
      <c r="P17" s="90"/>
      <c r="Q17" s="90"/>
      <c r="R17" s="90"/>
      <c r="T17" s="44"/>
      <c r="U17" s="44"/>
    </row>
    <row r="18" spans="1:21">
      <c r="I18" s="2">
        <f>H20</f>
        <v>-14961</v>
      </c>
      <c r="J18" s="2" t="str">
        <f>IF(COUNTBLANK(Table41013172512475452986841163[[SCORE 1]:[SCORE 2]])=0,IF(RANK(I18,$I$14:$I$25)=1,RANK(I18,$I$14:$I$25)&amp;"st",IF(RANK(I18,$I$14:$I$25)=2,RANK(I18,$I$14:$I$25)&amp;"nd",IF(RANK(I18,$I$14:$I$25)=3,RANK(I18,$I$14:$I$25)&amp;"rd",RANK(I18,$I$14:$I$25)&amp;"th"))),"")</f>
        <v>12th</v>
      </c>
      <c r="K18" s="38" t="str">
        <f>B20</f>
        <v>Felipe Romanelli</v>
      </c>
      <c r="L18" s="2"/>
      <c r="M18" s="418" t="s">
        <v>193</v>
      </c>
      <c r="N18" s="418" t="s">
        <v>194</v>
      </c>
      <c r="O18" s="542" t="s">
        <v>195</v>
      </c>
      <c r="P18" s="543"/>
      <c r="Q18" s="418" t="s">
        <v>196</v>
      </c>
      <c r="R18" s="418" t="s">
        <v>197</v>
      </c>
    </row>
    <row r="19" spans="1:21" s="44" customFormat="1" ht="28.5" customHeight="1">
      <c r="A19" s="9" t="s">
        <v>184</v>
      </c>
      <c r="B19" s="48" t="s">
        <v>203</v>
      </c>
      <c r="C19" s="48" t="s">
        <v>186</v>
      </c>
      <c r="D19" s="48" t="s">
        <v>187</v>
      </c>
      <c r="E19" s="48" t="s">
        <v>188</v>
      </c>
      <c r="F19" s="48" t="s">
        <v>189</v>
      </c>
      <c r="G19" s="43" t="s">
        <v>8</v>
      </c>
      <c r="H19" s="79" t="s">
        <v>204</v>
      </c>
      <c r="I19" s="2">
        <f>H21</f>
        <v>1997045</v>
      </c>
      <c r="J19" s="2" t="str">
        <f>IF(COUNTBLANK(Table41013172512475452986841163[[SCORE 1]:[SCORE 2]])=0,IF(RANK(I19,$I$14:$I$25)=1,RANK(I19,$I$14:$I$25)&amp;"st",IF(RANK(I19,$I$14:$I$25)=2,RANK(I19,$I$14:$I$25)&amp;"nd",IF(RANK(I19,$I$14:$I$25)=3,RANK(I19,$I$14:$I$25)&amp;"rd",RANK(I19,$I$14:$I$25)&amp;"th"))),"")</f>
        <v>5th</v>
      </c>
      <c r="K19" s="38" t="str">
        <f>B21</f>
        <v>Cauã</v>
      </c>
      <c r="L19" s="419" t="s">
        <v>192</v>
      </c>
      <c r="M19" s="147" t="str" cm="1">
        <f t="array" ref="M19">_xlfn.TEXTJOIN(", ", TRUE, _xlfn._xlws.FILTER($K$14:$K$25, $J$14:$J$25=$U$5, ""))</f>
        <v>Luka</v>
      </c>
      <c r="N19" s="147" t="str" cm="1">
        <f t="array" ref="N19">_xlfn.TEXTJOIN(", ", TRUE, _xlfn._xlws.FILTER($K$14:$K$25, $J$14:$J$25=$U$6, ""))</f>
        <v>Luiz Zuneda</v>
      </c>
      <c r="O19" s="119">
        <v>0</v>
      </c>
      <c r="P19" s="119">
        <v>18</v>
      </c>
      <c r="Q19" s="147" t="str" cm="1">
        <f t="array" ref="Q19">_xlfn.TEXTJOIN(", ", TRUE, _xlfn._xlws.FILTER($K$14:$K$25, $J$14:$J$25=$U$7, ""))</f>
        <v>Cauã</v>
      </c>
      <c r="R19" s="428" t="str" cm="1">
        <f t="array" ref="R19">_xlfn.TEXTJOIN(", ", TRUE, _xlfn._xlws.FILTER($K$14:$K$25, $J$14:$J$25=$U$8, ""))</f>
        <v>Rafael</v>
      </c>
      <c r="T19"/>
      <c r="U19"/>
    </row>
    <row r="20" spans="1:21">
      <c r="A20" s="430" t="s">
        <v>209</v>
      </c>
      <c r="B20" s="118" t="s">
        <v>90</v>
      </c>
      <c r="C20" s="14">
        <f>SUM(COUNTIFS(Table41013172512475452986841163[ATHLETE 1],Table612151927314956711007044165[[#This Row],[Athletes]],Table41013172512475452986841163[RESULT 12],Table361114182630485553996943164[[#Headers],[WIN]]),COUNTIFS(Table41013172512475452986841163[ATHLETE 2],Table612151927314956711007044165[[#This Row],[Athletes]],Table41013172512475452986841163[RESULT 12],Table361114182630485553996943164[[#Headers],[WIN]]),COUNTIFS(Table41013172512475452986841163[ATHLETE 3],Table612151927314956711007044165[[#This Row],[Athletes]],Table41013172512475452986841163[RESULT 34],Table361114182630485553996943164[[#Headers],[WIN]]),COUNTIFS(Table41013172512475452986841163[ATHLETE 4],Table612151927314956711007044165[[#This Row],[Athletes]],Table41013172512475452986841163[RESULT 34],Table361114182630485553996943164[[#Headers],[WIN]]))</f>
        <v>0</v>
      </c>
      <c r="D20" s="12">
        <f>SUM(COUNTIFS(Table41013172512475452986841163[ATHLETE 1],Table612151927314956711007044165[[#This Row],[Athletes]],Table41013172512475452986841163[RESULT 12],Table361114182630485553996943164[[#Headers],[LOSE]]),COUNTIFS(Table41013172512475452986841163[ATHLETE 2],Table612151927314956711007044165[[#This Row],[Athletes]],Table41013172512475452986841163[RESULT 12],Table361114182630485553996943164[[#Headers],[LOSE]]),COUNTIFS(Table41013172512475452986841163[ATHLETE 3],Table612151927314956711007044165[[#This Row],[Athletes]],Table41013172512475452986841163[RESULT 34],Table361114182630485553996943164[[#Headers],[LOSE]]),COUNTIFS(Table41013172512475452986841163[ATHLETE 4],Table612151927314956711007044165[[#This Row],[Athletes]],Table41013172512475452986841163[RESULT 34],Table361114182630485553996943164[[#Headers],[LOSE]]))</f>
        <v>3</v>
      </c>
      <c r="E20" s="19">
        <f>SUM(SUMIF(Table41013172512475452986841163[ATHLETE 1],Table612151927314956711007044165[[#This Row],[Athletes]],Table41013172512475452986841163[SALDO 12]),SUMIF(Table41013172512475452986841163[ATHLETE 2],Table612151927314956711007044165[[#This Row],[Athletes]],Table41013172512475452986841163[SALDO 12]),SUMIF(Table41013172512475452986841163[ATHLETE 3],Table612151927314956711007044165[[#This Row],[Athletes]],Table41013172512475452986841163[SALDO 34]),SUMIF(Table41013172512475452986841163[ATHLETE 4],Table612151927314956711007044165[[#This Row],[Athletes]],Table41013172512475452986841163[SALDO 34]))</f>
        <v>-15</v>
      </c>
      <c r="F20" s="19">
        <f>SUM(SUMIF(Table41013172512475452986841163[ATHLETE 1],Table612151927314956711007044165[[#This Row],[Athletes]],Table41013172512475452986841163[PM 12]),SUMIF(Table41013172512475452986841163[ATHLETE 2],Table612151927314956711007044165[[#This Row],[Athletes]],Table41013172512475452986841163[PM 12]),SUMIF(Table41013172512475452986841163[ATHLETE 3],Table612151927314956711007044165[[#This Row],[Athletes]],Table41013172512475452986841163[PM 34]),SUMIF(Table41013172512475452986841163[ATHLETE 4],Table612151927314956711007044165[[#This Row],[Athletes]],Table41013172512475452986841163[PM 34]))</f>
        <v>39</v>
      </c>
      <c r="G20" s="14" t="str">
        <f>IF(COUNTBLANK(Table41013172512475452986841163[[SCORE 1]:[SCORE 2]])=0,IF(RANK(H20,$H$20:$H$23)=1,RANK(H20,$H$20:$H$23)&amp;"st",IF(RANK(H20,$H$20:$H$23)=2,RANK(H20,$H$20:$H$23)&amp;"nd",RANK(H20,$H$20:$H$23)&amp;"th")),"")</f>
        <v>4th</v>
      </c>
      <c r="H20" s="51">
        <f>Table612151927314956711007044165[[#This Row],[WIN]]*1000000+Table612151927314956711007044165[[#This Row],[Saldo]]*1000+Table612151927314956711007044165[[#This Row],[PM]]</f>
        <v>-14961</v>
      </c>
      <c r="I20" s="2">
        <f>H22</f>
        <v>2011052</v>
      </c>
      <c r="J20" s="2" t="str">
        <f>IF(COUNTBLANK(Table41013172512475452986841163[[SCORE 1]:[SCORE 2]])=0,IF(RANK(I20,$I$14:$I$25)=1,RANK(I20,$I$14:$I$25)&amp;"st",IF(RANK(I20,$I$14:$I$25)=2,RANK(I20,$I$14:$I$25)&amp;"nd",IF(RANK(I20,$I$14:$I$25)=3,RANK(I20,$I$14:$I$25)&amp;"rd",RANK(I20,$I$14:$I$25)&amp;"th"))),"")</f>
        <v>3rd</v>
      </c>
      <c r="K20" s="38" t="str">
        <f>B22</f>
        <v>Luka</v>
      </c>
      <c r="L20" s="2" t="str">
        <f>J18</f>
        <v>12th</v>
      </c>
      <c r="M20" s="127" t="str">
        <f>IF(AND($O$20="lose",$O$15="lose"),$U$9,IF($O$20="lose",$U$7,""))</f>
        <v>5th</v>
      </c>
      <c r="N20" s="127" t="str">
        <f>IF(AND($O$20="lose",$O$15="lose"),$U$10,IF($O$20="lose",$U$8,""))</f>
        <v>6th</v>
      </c>
      <c r="O20" s="2" t="str">
        <f>IF(OR(O19="",P19=""),"",IF((O19&gt;P19),"WIN","LOSE"))</f>
        <v>LOSE</v>
      </c>
      <c r="P20" s="2" t="str">
        <f>IF(OR(O19="",P19=""),"",IF((O19&lt;P19),"WIN","LOSE"))</f>
        <v>WIN</v>
      </c>
      <c r="Q20" s="127" t="str">
        <f>IF(AND($P$20="lose",$O$15="lose"),$U$9,IF($P$20="lose",$U$7,""))</f>
        <v/>
      </c>
      <c r="R20" s="127" t="str">
        <f>IF(AND($P$20="lose",$O$15="lose"),$U$10,IF($P$20="lose",$U$8,""))</f>
        <v/>
      </c>
    </row>
    <row r="21" spans="1:21">
      <c r="A21" s="430" t="s">
        <v>210</v>
      </c>
      <c r="B21" s="118" t="s">
        <v>84</v>
      </c>
      <c r="C21" s="14">
        <f>SUM(COUNTIFS(Table41013172512475452986841163[ATHLETE 1],Table612151927314956711007044165[[#This Row],[Athletes]],Table41013172512475452986841163[RESULT 12],Table361114182630485553996943164[[#Headers],[WIN]]),COUNTIFS(Table41013172512475452986841163[ATHLETE 2],Table612151927314956711007044165[[#This Row],[Athletes]],Table41013172512475452986841163[RESULT 12],Table361114182630485553996943164[[#Headers],[WIN]]),COUNTIFS(Table41013172512475452986841163[ATHLETE 3],Table612151927314956711007044165[[#This Row],[Athletes]],Table41013172512475452986841163[RESULT 34],Table361114182630485553996943164[[#Headers],[WIN]]),COUNTIFS(Table41013172512475452986841163[ATHLETE 4],Table612151927314956711007044165[[#This Row],[Athletes]],Table41013172512475452986841163[RESULT 34],Table361114182630485553996943164[[#Headers],[WIN]]))</f>
        <v>2</v>
      </c>
      <c r="D21" s="12">
        <f>SUM(COUNTIFS(Table41013172512475452986841163[ATHLETE 1],Table612151927314956711007044165[[#This Row],[Athletes]],Table41013172512475452986841163[RESULT 12],Table361114182630485553996943164[[#Headers],[LOSE]]),COUNTIFS(Table41013172512475452986841163[ATHLETE 2],Table612151927314956711007044165[[#This Row],[Athletes]],Table41013172512475452986841163[RESULT 12],Table361114182630485553996943164[[#Headers],[LOSE]]),COUNTIFS(Table41013172512475452986841163[ATHLETE 3],Table612151927314956711007044165[[#This Row],[Athletes]],Table41013172512475452986841163[RESULT 34],Table361114182630485553996943164[[#Headers],[LOSE]]),COUNTIFS(Table41013172512475452986841163[ATHLETE 4],Table612151927314956711007044165[[#This Row],[Athletes]],Table41013172512475452986841163[RESULT 34],Table361114182630485553996943164[[#Headers],[LOSE]]))</f>
        <v>1</v>
      </c>
      <c r="E21" s="19">
        <f>SUM(SUMIF(Table41013172512475452986841163[ATHLETE 1],Table612151927314956711007044165[[#This Row],[Athletes]],Table41013172512475452986841163[SALDO 12]),SUMIF(Table41013172512475452986841163[ATHLETE 2],Table612151927314956711007044165[[#This Row],[Athletes]],Table41013172512475452986841163[SALDO 12]),SUMIF(Table41013172512475452986841163[ATHLETE 3],Table612151927314956711007044165[[#This Row],[Athletes]],Table41013172512475452986841163[SALDO 34]),SUMIF(Table41013172512475452986841163[ATHLETE 4],Table612151927314956711007044165[[#This Row],[Athletes]],Table41013172512475452986841163[SALDO 34]))</f>
        <v>-3</v>
      </c>
      <c r="F21" s="19">
        <f>SUM(SUMIF(Table41013172512475452986841163[ATHLETE 1],Table612151927314956711007044165[[#This Row],[Athletes]],Table41013172512475452986841163[PM 12]),SUMIF(Table41013172512475452986841163[ATHLETE 2],Table612151927314956711007044165[[#This Row],[Athletes]],Table41013172512475452986841163[PM 12]),SUMIF(Table41013172512475452986841163[ATHLETE 3],Table612151927314956711007044165[[#This Row],[Athletes]],Table41013172512475452986841163[PM 34]),SUMIF(Table41013172512475452986841163[ATHLETE 4],Table612151927314956711007044165[[#This Row],[Athletes]],Table41013172512475452986841163[PM 34]))</f>
        <v>45</v>
      </c>
      <c r="G21" s="14" t="str">
        <f>IF(COUNTBLANK(Table41013172512475452986841163[[SCORE 1]:[SCORE 2]])=0,IF(RANK(H21,$H$20:$H$23)=1,RANK(H21,$H$20:$H$23)&amp;"st",IF(RANK(H21,$H$20:$H$23)=2,RANK(H21,$H$20:$H$23)&amp;"nd",RANK(H21,$H$20:$H$23)&amp;"th")),"")</f>
        <v>3th</v>
      </c>
      <c r="H21" s="51">
        <f>Table612151927314956711007044165[[#This Row],[WIN]]*1000000+Table612151927314956711007044165[[#This Row],[Saldo]]*1000+Table612151927314956711007044165[[#This Row],[PM]]</f>
        <v>1997045</v>
      </c>
      <c r="I21" s="2">
        <f>H23</f>
        <v>2007050</v>
      </c>
      <c r="J21" s="2" t="str">
        <f>IF(COUNTBLANK(Table41013172512475452986841163[[SCORE 1]:[SCORE 2]])=0,IF(RANK(I21,$I$14:$I$25)=1,RANK(I21,$I$14:$I$25)&amp;"st",IF(RANK(I21,$I$14:$I$25)=2,RANK(I21,$I$14:$I$25)&amp;"nd",IF(RANK(I21,$I$14:$I$25)=3,RANK(I21,$I$14:$I$25)&amp;"rd",RANK(I21,$I$14:$I$25)&amp;"th"))),"")</f>
        <v>4th</v>
      </c>
      <c r="K21" s="38" t="str">
        <f>B23</f>
        <v>Luiz Zuneda</v>
      </c>
      <c r="L21" s="2" t="str">
        <f t="shared" ref="L21:L23" si="2">J19</f>
        <v>5th</v>
      </c>
      <c r="M21" s="90">
        <v>3</v>
      </c>
      <c r="N21" s="90">
        <v>4</v>
      </c>
      <c r="O21" s="90"/>
      <c r="P21" s="90"/>
      <c r="Q21" s="90">
        <v>5</v>
      </c>
      <c r="R21" s="90">
        <v>6</v>
      </c>
    </row>
    <row r="22" spans="1:21">
      <c r="A22" s="430" t="s">
        <v>211</v>
      </c>
      <c r="B22" s="118" t="s">
        <v>82</v>
      </c>
      <c r="C22" s="14">
        <f>SUM(COUNTIFS(Table41013172512475452986841163[ATHLETE 1],Table612151927314956711007044165[[#This Row],[Athletes]],Table41013172512475452986841163[RESULT 12],Table361114182630485553996943164[[#Headers],[WIN]]),COUNTIFS(Table41013172512475452986841163[ATHLETE 2],Table612151927314956711007044165[[#This Row],[Athletes]],Table41013172512475452986841163[RESULT 12],Table361114182630485553996943164[[#Headers],[WIN]]),COUNTIFS(Table41013172512475452986841163[ATHLETE 3],Table612151927314956711007044165[[#This Row],[Athletes]],Table41013172512475452986841163[RESULT 34],Table361114182630485553996943164[[#Headers],[WIN]]),COUNTIFS(Table41013172512475452986841163[ATHLETE 4],Table612151927314956711007044165[[#This Row],[Athletes]],Table41013172512475452986841163[RESULT 34],Table361114182630485553996943164[[#Headers],[WIN]]))</f>
        <v>2</v>
      </c>
      <c r="D22" s="12">
        <f>SUM(COUNTIFS(Table41013172512475452986841163[ATHLETE 1],Table612151927314956711007044165[[#This Row],[Athletes]],Table41013172512475452986841163[RESULT 12],Table361114182630485553996943164[[#Headers],[LOSE]]),COUNTIFS(Table41013172512475452986841163[ATHLETE 2],Table612151927314956711007044165[[#This Row],[Athletes]],Table41013172512475452986841163[RESULT 12],Table361114182630485553996943164[[#Headers],[LOSE]]),COUNTIFS(Table41013172512475452986841163[ATHLETE 3],Table612151927314956711007044165[[#This Row],[Athletes]],Table41013172512475452986841163[RESULT 34],Table361114182630485553996943164[[#Headers],[LOSE]]),COUNTIFS(Table41013172512475452986841163[ATHLETE 4],Table612151927314956711007044165[[#This Row],[Athletes]],Table41013172512475452986841163[RESULT 34],Table361114182630485553996943164[[#Headers],[LOSE]]))</f>
        <v>1</v>
      </c>
      <c r="E22" s="19">
        <f>SUM(SUMIF(Table41013172512475452986841163[ATHLETE 1],Table612151927314956711007044165[[#This Row],[Athletes]],Table41013172512475452986841163[SALDO 12]),SUMIF(Table41013172512475452986841163[ATHLETE 2],Table612151927314956711007044165[[#This Row],[Athletes]],Table41013172512475452986841163[SALDO 12]),SUMIF(Table41013172512475452986841163[ATHLETE 3],Table612151927314956711007044165[[#This Row],[Athletes]],Table41013172512475452986841163[SALDO 34]),SUMIF(Table41013172512475452986841163[ATHLETE 4],Table612151927314956711007044165[[#This Row],[Athletes]],Table41013172512475452986841163[SALDO 34]))</f>
        <v>11</v>
      </c>
      <c r="F22" s="19">
        <f>SUM(SUMIF(Table41013172512475452986841163[ATHLETE 1],Table612151927314956711007044165[[#This Row],[Athletes]],Table41013172512475452986841163[PM 12]),SUMIF(Table41013172512475452986841163[ATHLETE 2],Table612151927314956711007044165[[#This Row],[Athletes]],Table41013172512475452986841163[PM 12]),SUMIF(Table41013172512475452986841163[ATHLETE 3],Table612151927314956711007044165[[#This Row],[Athletes]],Table41013172512475452986841163[PM 34]),SUMIF(Table41013172512475452986841163[ATHLETE 4],Table612151927314956711007044165[[#This Row],[Athletes]],Table41013172512475452986841163[PM 34]))</f>
        <v>52</v>
      </c>
      <c r="G22" s="14" t="str">
        <f>IF(COUNTBLANK(Table41013172512475452986841163[[SCORE 1]:[SCORE 2]])=0,IF(RANK(H22,$H$20:$H$23)=1,RANK(H22,$H$20:$H$23)&amp;"st",IF(RANK(H22,$H$20:$H$23)=2,RANK(H22,$H$20:$H$23)&amp;"nd",RANK(H22,$H$20:$H$23)&amp;"th")),"")</f>
        <v>1st</v>
      </c>
      <c r="H22" s="51">
        <f>Table612151927314956711007044165[[#This Row],[WIN]]*1000000+Table612151927314956711007044165[[#This Row],[Saldo]]*1000+Table612151927314956711007044165[[#This Row],[PM]]</f>
        <v>2011052</v>
      </c>
      <c r="I22" s="2">
        <f>H26</f>
        <v>985034</v>
      </c>
      <c r="J22" s="2" t="str">
        <f>IF(COUNTBLANK(Table41013172512475452986841163[[SCORE 1]:[SCORE 2]])=0,IF(RANK(I22,$I$14:$I$25)=1,RANK(I22,$I$14:$I$25)&amp;"st",IF(RANK(I22,$I$14:$I$25)=2,RANK(I22,$I$14:$I$25)&amp;"nd",IF(RANK(I22,$I$14:$I$25)=3,RANK(I22,$I$14:$I$25)&amp;"rd",RANK(I22,$I$14:$I$25)&amp;"th"))),"")</f>
        <v>10th</v>
      </c>
      <c r="K22" s="38" t="str">
        <f>B26</f>
        <v>Bruno C.</v>
      </c>
      <c r="L22" s="2" t="str">
        <f t="shared" si="2"/>
        <v>3rd</v>
      </c>
      <c r="M22" s="90"/>
      <c r="N22" s="90"/>
      <c r="O22" s="90"/>
      <c r="P22" s="90"/>
      <c r="Q22" s="90"/>
      <c r="R22" s="90"/>
    </row>
    <row r="23" spans="1:21" ht="29.1">
      <c r="A23" s="430" t="s">
        <v>212</v>
      </c>
      <c r="B23" s="118" t="s">
        <v>80</v>
      </c>
      <c r="C23" s="14">
        <f>SUM(COUNTIFS(Table41013172512475452986841163[ATHLETE 1],Table612151927314956711007044165[[#This Row],[Athletes]],Table41013172512475452986841163[RESULT 12],Table361114182630485553996943164[[#Headers],[WIN]]),COUNTIFS(Table41013172512475452986841163[ATHLETE 2],Table612151927314956711007044165[[#This Row],[Athletes]],Table41013172512475452986841163[RESULT 12],Table361114182630485553996943164[[#Headers],[WIN]]),COUNTIFS(Table41013172512475452986841163[ATHLETE 3],Table612151927314956711007044165[[#This Row],[Athletes]],Table41013172512475452986841163[RESULT 34],Table361114182630485553996943164[[#Headers],[WIN]]),COUNTIFS(Table41013172512475452986841163[ATHLETE 4],Table612151927314956711007044165[[#This Row],[Athletes]],Table41013172512475452986841163[RESULT 34],Table361114182630485553996943164[[#Headers],[WIN]]))</f>
        <v>2</v>
      </c>
      <c r="D23" s="12">
        <f>SUM(COUNTIFS(Table41013172512475452986841163[ATHLETE 1],Table612151927314956711007044165[[#This Row],[Athletes]],Table41013172512475452986841163[RESULT 12],Table361114182630485553996943164[[#Headers],[LOSE]]),COUNTIFS(Table41013172512475452986841163[ATHLETE 2],Table612151927314956711007044165[[#This Row],[Athletes]],Table41013172512475452986841163[RESULT 12],Table361114182630485553996943164[[#Headers],[LOSE]]),COUNTIFS(Table41013172512475452986841163[ATHLETE 3],Table612151927314956711007044165[[#This Row],[Athletes]],Table41013172512475452986841163[RESULT 34],Table361114182630485553996943164[[#Headers],[LOSE]]),COUNTIFS(Table41013172512475452986841163[ATHLETE 4],Table612151927314956711007044165[[#This Row],[Athletes]],Table41013172512475452986841163[RESULT 34],Table361114182630485553996943164[[#Headers],[LOSE]]))</f>
        <v>1</v>
      </c>
      <c r="E23" s="19">
        <f>SUM(SUMIF(Table41013172512475452986841163[ATHLETE 1],Table612151927314956711007044165[[#This Row],[Athletes]],Table41013172512475452986841163[SALDO 12]),SUMIF(Table41013172512475452986841163[ATHLETE 2],Table612151927314956711007044165[[#This Row],[Athletes]],Table41013172512475452986841163[SALDO 12]),SUMIF(Table41013172512475452986841163[ATHLETE 3],Table612151927314956711007044165[[#This Row],[Athletes]],Table41013172512475452986841163[SALDO 34]),SUMIF(Table41013172512475452986841163[ATHLETE 4],Table612151927314956711007044165[[#This Row],[Athletes]],Table41013172512475452986841163[SALDO 34]))</f>
        <v>7</v>
      </c>
      <c r="F23" s="19">
        <f>SUM(SUMIF(Table41013172512475452986841163[ATHLETE 1],Table612151927314956711007044165[[#This Row],[Athletes]],Table41013172512475452986841163[PM 12]),SUMIF(Table41013172512475452986841163[ATHLETE 2],Table612151927314956711007044165[[#This Row],[Athletes]],Table41013172512475452986841163[PM 12]),SUMIF(Table41013172512475452986841163[ATHLETE 3],Table612151927314956711007044165[[#This Row],[Athletes]],Table41013172512475452986841163[PM 34]),SUMIF(Table41013172512475452986841163[ATHLETE 4],Table612151927314956711007044165[[#This Row],[Athletes]],Table41013172512475452986841163[PM 34]))</f>
        <v>50</v>
      </c>
      <c r="G23" s="14" t="str">
        <f>IF(COUNTBLANK(Table41013172512475452986841163[[SCORE 1]:[SCORE 2]])=0,IF(RANK(H23,$H$20:$H$23)=1,RANK(H23,$H$20:$H$23)&amp;"st",IF(RANK(H23,$H$20:$H$23)=2,RANK(H23,$H$20:$H$23)&amp;"nd",RANK(H23,$H$20:$H$23)&amp;"th")),"")</f>
        <v>2nd</v>
      </c>
      <c r="H23" s="51">
        <f>Table612151927314956711007044165[[#This Row],[WIN]]*1000000+Table612151927314956711007044165[[#This Row],[Saldo]]*1000+Table612151927314956711007044165[[#This Row],[PM]]</f>
        <v>2007050</v>
      </c>
      <c r="I23" s="2">
        <f>H27</f>
        <v>993038</v>
      </c>
      <c r="J23" s="2" t="str">
        <f>IF(COUNTBLANK(Table41013172512475452986841163[[SCORE 1]:[SCORE 2]])=0,IF(RANK(I23,$I$14:$I$25)=1,RANK(I23,$I$14:$I$25)&amp;"st",IF(RANK(I23,$I$14:$I$25)=2,RANK(I23,$I$14:$I$25)&amp;"nd",IF(RANK(I23,$I$14:$I$25)=3,RANK(I23,$I$14:$I$25)&amp;"rd",RANK(I23,$I$14:$I$25)&amp;"th"))),"")</f>
        <v>8th</v>
      </c>
      <c r="K23" s="38" t="str">
        <f>B27</f>
        <v>Amit H.</v>
      </c>
      <c r="L23" s="2" t="str">
        <f t="shared" si="2"/>
        <v>4th</v>
      </c>
      <c r="M23" s="548" t="s">
        <v>199</v>
      </c>
      <c r="N23" s="549"/>
      <c r="O23" s="549"/>
      <c r="P23" s="549"/>
      <c r="Q23" s="549"/>
      <c r="R23" s="549"/>
    </row>
    <row r="24" spans="1:21">
      <c r="I24" s="2">
        <f>H28</f>
        <v>3025054</v>
      </c>
      <c r="J24" s="2" t="str">
        <f>IF(COUNTBLANK(Table41013172512475452986841163[[SCORE 1]:[SCORE 2]])=0,IF(RANK(I24,$I$14:$I$25)=1,RANK(I24,$I$14:$I$25)&amp;"st",IF(RANK(I24,$I$14:$I$25)=2,RANK(I24,$I$14:$I$25)&amp;"nd",IF(RANK(I24,$I$14:$I$25)=3,RANK(I24,$I$14:$I$25)&amp;"rd",RANK(I24,$I$14:$I$25)&amp;"th"))),"")</f>
        <v>1st</v>
      </c>
      <c r="K24" s="38" t="str">
        <f>B28</f>
        <v>Marcelo</v>
      </c>
      <c r="L24" s="2"/>
      <c r="M24" s="418" t="s">
        <v>193</v>
      </c>
      <c r="N24" s="418" t="s">
        <v>194</v>
      </c>
      <c r="O24" s="542" t="s">
        <v>195</v>
      </c>
      <c r="P24" s="543"/>
      <c r="Q24" s="418" t="s">
        <v>196</v>
      </c>
      <c r="R24" s="418" t="s">
        <v>197</v>
      </c>
    </row>
    <row r="25" spans="1:21" ht="15.95">
      <c r="A25" s="9" t="s">
        <v>184</v>
      </c>
      <c r="B25" s="10" t="s">
        <v>203</v>
      </c>
      <c r="C25" s="10" t="s">
        <v>186</v>
      </c>
      <c r="D25" s="10" t="s">
        <v>187</v>
      </c>
      <c r="E25" s="10" t="s">
        <v>188</v>
      </c>
      <c r="F25" s="10" t="s">
        <v>189</v>
      </c>
      <c r="G25" s="7" t="s">
        <v>8</v>
      </c>
      <c r="H25" s="78" t="s">
        <v>204</v>
      </c>
      <c r="I25" s="2">
        <f>H29</f>
        <v>997040</v>
      </c>
      <c r="J25" s="2" t="str">
        <f>IF(COUNTBLANK(Table41013172512475452986841163[[SCORE 1]:[SCORE 2]])=0,IF(RANK(I25,$I$14:$I$25)=1,RANK(I25,$I$14:$I$25)&amp;"st",IF(RANK(I25,$I$14:$I$25)=2,RANK(I25,$I$14:$I$25)&amp;"nd",IF(RANK(I25,$I$14:$I$25)=3,RANK(I25,$I$14:$I$25)&amp;"rd",RANK(I25,$I$14:$I$25)&amp;"th"))),"")</f>
        <v>7th</v>
      </c>
      <c r="K25" s="38" t="str">
        <f>B29</f>
        <v>Bebeto</v>
      </c>
      <c r="L25" s="20" t="s">
        <v>192</v>
      </c>
      <c r="M25" s="431" t="str">
        <f>IF(COUNTBLANK($O$14:$P$14),"",IF($O$15="lose",$Q$14,$M$14))</f>
        <v>Marcelo</v>
      </c>
      <c r="N25" s="431" t="str">
        <f>IF(COUNTBLANK($O$14:$P$14),"",IF($O$15="lose",$R$14,$N$14))</f>
        <v>Matheus L.</v>
      </c>
      <c r="O25" s="119">
        <v>18</v>
      </c>
      <c r="P25" s="120">
        <v>0</v>
      </c>
      <c r="Q25" s="431" t="str">
        <f>IF(COUNTBLANK($O$19:$P$19),"",IF($O$20="lose",$Q$19,$M$19))</f>
        <v>Cauã</v>
      </c>
      <c r="R25" s="431" t="str">
        <f>IF(COUNTBLANK($O$19:$P$19),"",IF($O$20="lose",$R$19,$N$19))</f>
        <v>Rafael</v>
      </c>
    </row>
    <row r="26" spans="1:21">
      <c r="A26" s="430" t="s">
        <v>213</v>
      </c>
      <c r="B26" s="118" t="s">
        <v>91</v>
      </c>
      <c r="C26" s="14">
        <f>SUM(COUNTIFS(Table41013172512475452986841163[ATHLETE 1],Table61215192729335162731027262167[[#This Row],[Athletes]],Table41013172512475452986841163[RESULT 12],Table361114182630485553996943164[[#Headers],[WIN]]),COUNTIFS(Table41013172512475452986841163[ATHLETE 2],Table61215192729335162731027262167[[#This Row],[Athletes]],Table41013172512475452986841163[RESULT 12],Table361114182630485553996943164[[#Headers],[WIN]]),COUNTIFS(Table41013172512475452986841163[ATHLETE 3],Table61215192729335162731027262167[[#This Row],[Athletes]],Table41013172512475452986841163[RESULT 34],Table361114182630485553996943164[[#Headers],[WIN]]),COUNTIFS(Table41013172512475452986841163[ATHLETE 4],Table61215192729335162731027262167[[#This Row],[Athletes]],Table41013172512475452986841163[RESULT 34],Table361114182630485553996943164[[#Headers],[WIN]]))</f>
        <v>1</v>
      </c>
      <c r="D26" s="12">
        <f>SUM(COUNTIFS(Table41013172512475452986841163[ATHLETE 1],Table61215192729335162731027262167[[#This Row],[Athletes]],Table41013172512475452986841163[RESULT 12],Table361114182630485553996943164[[#Headers],[LOSE]]),COUNTIFS(Table41013172512475452986841163[ATHLETE 2],Table61215192729335162731027262167[[#This Row],[Athletes]],Table41013172512475452986841163[RESULT 12],Table361114182630485553996943164[[#Headers],[LOSE]]),COUNTIFS(Table41013172512475452986841163[ATHLETE 3],Table61215192729335162731027262167[[#This Row],[Athletes]],Table41013172512475452986841163[RESULT 34],Table361114182630485553996943164[[#Headers],[LOSE]]),COUNTIFS(Table41013172512475452986841163[ATHLETE 4],Table61215192729335162731027262167[[#This Row],[Athletes]],Table41013172512475452986841163[RESULT 34],Table361114182630485553996943164[[#Headers],[LOSE]]))</f>
        <v>2</v>
      </c>
      <c r="E26" s="19">
        <f>SUM(SUMIF(Table41013172512475452986841163[ATHLETE 1],Table61215192729335162731027262167[[#This Row],[Athletes]],Table41013172512475452986841163[SALDO 12]),SUMIF(Table41013172512475452986841163[ATHLETE 2],Table61215192729335162731027262167[[#This Row],[Athletes]],Table41013172512475452986841163[SALDO 12]),SUMIF(Table41013172512475452986841163[ATHLETE 3],Table61215192729335162731027262167[[#This Row],[Athletes]],Table41013172512475452986841163[SALDO 34]),SUMIF(Table41013172512475452986841163[ATHLETE 4],Table61215192729335162731027262167[[#This Row],[Athletes]],Table41013172512475452986841163[SALDO 34]))</f>
        <v>-15</v>
      </c>
      <c r="F26" s="19">
        <f>SUM(SUMIF(Table41013172512475452986841163[ATHLETE 1],Table61215192729335162731027262167[[#This Row],[Athletes]],Table41013172512475452986841163[PM 12]),SUMIF(Table41013172512475452986841163[ATHLETE 2],Table61215192729335162731027262167[[#This Row],[Athletes]],Table41013172512475452986841163[PM 12]),SUMIF(Table41013172512475452986841163[ATHLETE 3],Table61215192729335162731027262167[[#This Row],[Athletes]],Table41013172512475452986841163[PM 34]),SUMIF(Table41013172512475452986841163[ATHLETE 4],Table61215192729335162731027262167[[#This Row],[Athletes]],Table41013172512475452986841163[PM 34]))</f>
        <v>34</v>
      </c>
      <c r="G26" s="69" t="str">
        <f>IF(COUNTBLANK(Table41013172512475452986841163[[SCORE 1]:[SCORE 2]])=0,IF(RANK(H26,$H$26:$H$29)=1,RANK(H26,$H$26:$H$29)&amp;"st",IF(RANK(H26,$H$26:$H$29)=2,RANK(H26,$H$26:$H$29)&amp;"nd",RANK(H26,$H$26:$H$29)&amp;"th")),"")</f>
        <v>4th</v>
      </c>
      <c r="H26" s="51">
        <f>Table61215192729335162731027262167[[#This Row],[WIN]]*1000000+Table61215192729335162731027262167[[#This Row],[Saldo]]*1000+Table61215192729335162731027262167[[#This Row],[PM]]</f>
        <v>985034</v>
      </c>
      <c r="I26" s="2"/>
      <c r="J26" s="2"/>
      <c r="K26" s="2"/>
      <c r="L26" s="2" t="str">
        <f>J22</f>
        <v>10th</v>
      </c>
      <c r="M26" s="62" t="str">
        <f>IF(OR($O$25="",$P$25="",$O$26="win"),"",IF($M$27&gt;$N$27,$U$5,$U$6))</f>
        <v/>
      </c>
      <c r="N26" s="62" t="str">
        <f>IF(OR($O$25="",$P$25="",$O$26="win"),"",IF($M$27&lt;$N$27,$U$5,$U$6))</f>
        <v/>
      </c>
      <c r="O26" s="2" t="str">
        <f>IF(OR(O25="",P25=""),"",IF((O25&gt;P25),"WIN","LOSE"))</f>
        <v>WIN</v>
      </c>
      <c r="P26" s="2" t="str">
        <f>IF(OR(O25="",P25=""),"",IF((O25&lt;P25),"WIN","LOSE"))</f>
        <v>LOSE</v>
      </c>
      <c r="Q26" s="62" t="str">
        <f>IF($P$26="lose",$U$5,"")</f>
        <v>3rd</v>
      </c>
      <c r="R26" s="62" t="str">
        <f>IF($P$26="lose",$U$6,"")</f>
        <v>4th</v>
      </c>
    </row>
    <row r="27" spans="1:21">
      <c r="A27" s="430" t="s">
        <v>214</v>
      </c>
      <c r="B27" s="118" t="s">
        <v>88</v>
      </c>
      <c r="C27" s="14">
        <f>SUM(COUNTIFS(Table41013172512475452986841163[ATHLETE 1],Table61215192729335162731027262167[[#This Row],[Athletes]],Table41013172512475452986841163[RESULT 12],Table361114182630485553996943164[[#Headers],[WIN]]),COUNTIFS(Table41013172512475452986841163[ATHLETE 2],Table61215192729335162731027262167[[#This Row],[Athletes]],Table41013172512475452986841163[RESULT 12],Table361114182630485553996943164[[#Headers],[WIN]]),COUNTIFS(Table41013172512475452986841163[ATHLETE 3],Table61215192729335162731027262167[[#This Row],[Athletes]],Table41013172512475452986841163[RESULT 34],Table361114182630485553996943164[[#Headers],[WIN]]),COUNTIFS(Table41013172512475452986841163[ATHLETE 4],Table61215192729335162731027262167[[#This Row],[Athletes]],Table41013172512475452986841163[RESULT 34],Table361114182630485553996943164[[#Headers],[WIN]]))</f>
        <v>1</v>
      </c>
      <c r="D27" s="12">
        <f>SUM(COUNTIFS(Table41013172512475452986841163[ATHLETE 1],Table61215192729335162731027262167[[#This Row],[Athletes]],Table41013172512475452986841163[RESULT 12],Table361114182630485553996943164[[#Headers],[LOSE]]),COUNTIFS(Table41013172512475452986841163[ATHLETE 2],Table61215192729335162731027262167[[#This Row],[Athletes]],Table41013172512475452986841163[RESULT 12],Table361114182630485553996943164[[#Headers],[LOSE]]),COUNTIFS(Table41013172512475452986841163[ATHLETE 3],Table61215192729335162731027262167[[#This Row],[Athletes]],Table41013172512475452986841163[RESULT 34],Table361114182630485553996943164[[#Headers],[LOSE]]),COUNTIFS(Table41013172512475452986841163[ATHLETE 4],Table61215192729335162731027262167[[#This Row],[Athletes]],Table41013172512475452986841163[RESULT 34],Table361114182630485553996943164[[#Headers],[LOSE]]))</f>
        <v>2</v>
      </c>
      <c r="E27" s="19">
        <f>SUM(SUMIF(Table41013172512475452986841163[ATHLETE 1],Table61215192729335162731027262167[[#This Row],[Athletes]],Table41013172512475452986841163[SALDO 12]),SUMIF(Table41013172512475452986841163[ATHLETE 2],Table61215192729335162731027262167[[#This Row],[Athletes]],Table41013172512475452986841163[SALDO 12]),SUMIF(Table41013172512475452986841163[ATHLETE 3],Table61215192729335162731027262167[[#This Row],[Athletes]],Table41013172512475452986841163[SALDO 34]),SUMIF(Table41013172512475452986841163[ATHLETE 4],Table61215192729335162731027262167[[#This Row],[Athletes]],Table41013172512475452986841163[SALDO 34]))</f>
        <v>-7</v>
      </c>
      <c r="F27" s="19">
        <f>SUM(SUMIF(Table41013172512475452986841163[ATHLETE 1],Table61215192729335162731027262167[[#This Row],[Athletes]],Table41013172512475452986841163[PM 12]),SUMIF(Table41013172512475452986841163[ATHLETE 2],Table61215192729335162731027262167[[#This Row],[Athletes]],Table41013172512475452986841163[PM 12]),SUMIF(Table41013172512475452986841163[ATHLETE 3],Table61215192729335162731027262167[[#This Row],[Athletes]],Table41013172512475452986841163[PM 34]),SUMIF(Table41013172512475452986841163[ATHLETE 4],Table61215192729335162731027262167[[#This Row],[Athletes]],Table41013172512475452986841163[PM 34]))</f>
        <v>38</v>
      </c>
      <c r="G27" s="69" t="str">
        <f>IF(COUNTBLANK(Table41013172512475452986841163[[SCORE 1]:[SCORE 2]])=0,IF(RANK(H27,$H$26:$H$29)=1,RANK(H27,$H$26:$H$29)&amp;"st",IF(RANK(H27,$H$26:$H$29)=2,RANK(H27,$H$26:$H$29)&amp;"nd",RANK(H27,$H$26:$H$29)&amp;"th")),"")</f>
        <v>3th</v>
      </c>
      <c r="H27" s="51">
        <f>Table61215192729335162731027262167[[#This Row],[WIN]]*1000000+Table61215192729335162731027262167[[#This Row],[Saldo]]*1000+Table61215192729335162731027262167[[#This Row],[PM]]</f>
        <v>993038</v>
      </c>
      <c r="I27" s="2"/>
      <c r="J27" s="2"/>
      <c r="K27" s="2"/>
      <c r="L27" s="2" t="str">
        <f t="shared" ref="L27:L29" si="3">J23</f>
        <v>8th</v>
      </c>
      <c r="M27" s="61">
        <f>IF(M25="","",_xlfn.XLOOKUP(M25,$K$14:$K$25,$I$14:$I$25))</f>
        <v>3025054</v>
      </c>
      <c r="N27" s="61">
        <f>IF(N25="","",_xlfn.XLOOKUP(N25,$K$14:$K$25,$I$14:$I$25))</f>
        <v>3021055</v>
      </c>
      <c r="Q27" s="61">
        <f>IF(Q25="","",_xlfn.XLOOKUP(Q25,$K$14:$K$25,$I$14:$I$25))</f>
        <v>1997045</v>
      </c>
      <c r="R27" s="61">
        <f>IF(R25="","",_xlfn.XLOOKUP(R25,$K$14:$K$25,$I$14:$I$25))</f>
        <v>1009049</v>
      </c>
    </row>
    <row r="28" spans="1:21">
      <c r="A28" s="430" t="s">
        <v>216</v>
      </c>
      <c r="B28" s="118" t="s">
        <v>79</v>
      </c>
      <c r="C28" s="14">
        <f>SUM(COUNTIFS(Table41013172512475452986841163[ATHLETE 1],Table61215192729335162731027262167[[#This Row],[Athletes]],Table41013172512475452986841163[RESULT 12],Table361114182630485553996943164[[#Headers],[WIN]]),COUNTIFS(Table41013172512475452986841163[ATHLETE 2],Table61215192729335162731027262167[[#This Row],[Athletes]],Table41013172512475452986841163[RESULT 12],Table361114182630485553996943164[[#Headers],[WIN]]),COUNTIFS(Table41013172512475452986841163[ATHLETE 3],Table61215192729335162731027262167[[#This Row],[Athletes]],Table41013172512475452986841163[RESULT 34],Table361114182630485553996943164[[#Headers],[WIN]]),COUNTIFS(Table41013172512475452986841163[ATHLETE 4],Table61215192729335162731027262167[[#This Row],[Athletes]],Table41013172512475452986841163[RESULT 34],Table361114182630485553996943164[[#Headers],[WIN]]))</f>
        <v>3</v>
      </c>
      <c r="D28" s="12">
        <f>SUM(COUNTIFS(Table41013172512475452986841163[ATHLETE 1],Table61215192729335162731027262167[[#This Row],[Athletes]],Table41013172512475452986841163[RESULT 12],Table361114182630485553996943164[[#Headers],[LOSE]]),COUNTIFS(Table41013172512475452986841163[ATHLETE 2],Table61215192729335162731027262167[[#This Row],[Athletes]],Table41013172512475452986841163[RESULT 12],Table361114182630485553996943164[[#Headers],[LOSE]]),COUNTIFS(Table41013172512475452986841163[ATHLETE 3],Table61215192729335162731027262167[[#This Row],[Athletes]],Table41013172512475452986841163[RESULT 34],Table361114182630485553996943164[[#Headers],[LOSE]]),COUNTIFS(Table41013172512475452986841163[ATHLETE 4],Table61215192729335162731027262167[[#This Row],[Athletes]],Table41013172512475452986841163[RESULT 34],Table361114182630485553996943164[[#Headers],[LOSE]]))</f>
        <v>0</v>
      </c>
      <c r="E28" s="19">
        <f>SUM(SUMIF(Table41013172512475452986841163[ATHLETE 1],Table61215192729335162731027262167[[#This Row],[Athletes]],Table41013172512475452986841163[SALDO 12]),SUMIF(Table41013172512475452986841163[ATHLETE 2],Table61215192729335162731027262167[[#This Row],[Athletes]],Table41013172512475452986841163[SALDO 12]),SUMIF(Table41013172512475452986841163[ATHLETE 3],Table61215192729335162731027262167[[#This Row],[Athletes]],Table41013172512475452986841163[SALDO 34]),SUMIF(Table41013172512475452986841163[ATHLETE 4],Table61215192729335162731027262167[[#This Row],[Athletes]],Table41013172512475452986841163[SALDO 34]))</f>
        <v>25</v>
      </c>
      <c r="F28" s="19">
        <f>SUM(SUMIF(Table41013172512475452986841163[ATHLETE 1],Table61215192729335162731027262167[[#This Row],[Athletes]],Table41013172512475452986841163[PM 12]),SUMIF(Table41013172512475452986841163[ATHLETE 2],Table61215192729335162731027262167[[#This Row],[Athletes]],Table41013172512475452986841163[PM 12]),SUMIF(Table41013172512475452986841163[ATHLETE 3],Table61215192729335162731027262167[[#This Row],[Athletes]],Table41013172512475452986841163[PM 34]),SUMIF(Table41013172512475452986841163[ATHLETE 4],Table61215192729335162731027262167[[#This Row],[Athletes]],Table41013172512475452986841163[PM 34]))</f>
        <v>54</v>
      </c>
      <c r="G28" s="69" t="str">
        <f>IF(COUNTBLANK(Table41013172512475452986841163[[SCORE 1]:[SCORE 2]])=0,IF(RANK(H28,$H$26:$H$29)=1,RANK(H28,$H$26:$H$29)&amp;"st",IF(RANK(H28,$H$26:$H$29)=2,RANK(H28,$H$26:$H$29)&amp;"nd",RANK(H28,$H$26:$H$29)&amp;"th")),"")</f>
        <v>1st</v>
      </c>
      <c r="H28" s="51">
        <f>Table61215192729335162731027262167[[#This Row],[WIN]]*1000000+Table61215192729335162731027262167[[#This Row],[Saldo]]*1000+Table61215192729335162731027262167[[#This Row],[PM]]</f>
        <v>3025054</v>
      </c>
      <c r="I28" s="2"/>
      <c r="J28" s="2"/>
      <c r="K28" s="2"/>
      <c r="L28" s="2" t="str">
        <f t="shared" si="3"/>
        <v>1st</v>
      </c>
    </row>
    <row r="29" spans="1:21">
      <c r="A29" s="430" t="s">
        <v>217</v>
      </c>
      <c r="B29" s="118" t="s">
        <v>81</v>
      </c>
      <c r="C29" s="14">
        <f>SUM(COUNTIFS(Table41013172512475452986841163[ATHLETE 1],Table61215192729335162731027262167[[#This Row],[Athletes]],Table41013172512475452986841163[RESULT 12],Table361114182630485553996943164[[#Headers],[WIN]]),COUNTIFS(Table41013172512475452986841163[ATHLETE 2],Table61215192729335162731027262167[[#This Row],[Athletes]],Table41013172512475452986841163[RESULT 12],Table361114182630485553996943164[[#Headers],[WIN]]),COUNTIFS(Table41013172512475452986841163[ATHLETE 3],Table61215192729335162731027262167[[#This Row],[Athletes]],Table41013172512475452986841163[RESULT 34],Table361114182630485553996943164[[#Headers],[WIN]]),COUNTIFS(Table41013172512475452986841163[ATHLETE 4],Table61215192729335162731027262167[[#This Row],[Athletes]],Table41013172512475452986841163[RESULT 34],Table361114182630485553996943164[[#Headers],[WIN]]))</f>
        <v>1</v>
      </c>
      <c r="D29" s="12">
        <f>SUM(COUNTIFS(Table41013172512475452986841163[ATHLETE 1],Table61215192729335162731027262167[[#This Row],[Athletes]],Table41013172512475452986841163[RESULT 12],Table361114182630485553996943164[[#Headers],[LOSE]]),COUNTIFS(Table41013172512475452986841163[ATHLETE 2],Table61215192729335162731027262167[[#This Row],[Athletes]],Table41013172512475452986841163[RESULT 12],Table361114182630485553996943164[[#Headers],[LOSE]]),COUNTIFS(Table41013172512475452986841163[ATHLETE 3],Table61215192729335162731027262167[[#This Row],[Athletes]],Table41013172512475452986841163[RESULT 34],Table361114182630485553996943164[[#Headers],[LOSE]]),COUNTIFS(Table41013172512475452986841163[ATHLETE 4],Table61215192729335162731027262167[[#This Row],[Athletes]],Table41013172512475452986841163[RESULT 34],Table361114182630485553996943164[[#Headers],[LOSE]]))</f>
        <v>2</v>
      </c>
      <c r="E29" s="19">
        <f>SUM(SUMIF(Table41013172512475452986841163[ATHLETE 1],Table61215192729335162731027262167[[#This Row],[Athletes]],Table41013172512475452986841163[SALDO 12]),SUMIF(Table41013172512475452986841163[ATHLETE 2],Table61215192729335162731027262167[[#This Row],[Athletes]],Table41013172512475452986841163[SALDO 12]),SUMIF(Table41013172512475452986841163[ATHLETE 3],Table61215192729335162731027262167[[#This Row],[Athletes]],Table41013172512475452986841163[SALDO 34]),SUMIF(Table41013172512475452986841163[ATHLETE 4],Table61215192729335162731027262167[[#This Row],[Athletes]],Table41013172512475452986841163[SALDO 34]))</f>
        <v>-3</v>
      </c>
      <c r="F29" s="19">
        <f>SUM(SUMIF(Table41013172512475452986841163[ATHLETE 1],Table61215192729335162731027262167[[#This Row],[Athletes]],Table41013172512475452986841163[PM 12]),SUMIF(Table41013172512475452986841163[ATHLETE 2],Table61215192729335162731027262167[[#This Row],[Athletes]],Table41013172512475452986841163[PM 12]),SUMIF(Table41013172512475452986841163[ATHLETE 3],Table61215192729335162731027262167[[#This Row],[Athletes]],Table41013172512475452986841163[PM 34]),SUMIF(Table41013172512475452986841163[ATHLETE 4],Table61215192729335162731027262167[[#This Row],[Athletes]],Table41013172512475452986841163[PM 34]))</f>
        <v>40</v>
      </c>
      <c r="G29" s="69" t="str">
        <f>IF(COUNTBLANK(Table41013172512475452986841163[[SCORE 1]:[SCORE 2]])=0,IF(RANK(H29,$H$26:$H$29)=1,RANK(H29,$H$26:$H$29)&amp;"st",IF(RANK(H29,$H$26:$H$29)=2,RANK(H29,$H$26:$H$29)&amp;"nd",RANK(H29,$H$26:$H$29)&amp;"th")),"")</f>
        <v>2nd</v>
      </c>
      <c r="H29" s="51">
        <f>Table61215192729335162731027262167[[#This Row],[WIN]]*1000000+Table61215192729335162731027262167[[#This Row],[Saldo]]*1000+Table61215192729335162731027262167[[#This Row],[PM]]</f>
        <v>997040</v>
      </c>
      <c r="I29" s="2"/>
      <c r="J29" s="2"/>
      <c r="K29" s="2"/>
      <c r="L29" s="2" t="str">
        <f t="shared" si="3"/>
        <v>7th</v>
      </c>
    </row>
    <row r="30" spans="1:21" ht="30" thickBot="1">
      <c r="M30" s="548" t="s">
        <v>200</v>
      </c>
      <c r="N30" s="549"/>
      <c r="O30" s="549"/>
      <c r="P30" s="549"/>
      <c r="Q30" s="549"/>
      <c r="R30" s="549"/>
    </row>
    <row r="31" spans="1:21" ht="15.95" thickBot="1">
      <c r="A31" s="123" t="s">
        <v>218</v>
      </c>
      <c r="B31" s="124">
        <v>45814</v>
      </c>
      <c r="M31" s="418" t="s">
        <v>193</v>
      </c>
      <c r="N31" s="418" t="s">
        <v>194</v>
      </c>
      <c r="O31" s="542" t="s">
        <v>195</v>
      </c>
      <c r="P31" s="543"/>
      <c r="Q31" s="418" t="s">
        <v>196</v>
      </c>
      <c r="R31" s="418" t="s">
        <v>197</v>
      </c>
    </row>
    <row r="32" spans="1:21">
      <c r="M32" s="432" t="str">
        <f>IF(OR($O$25="",$P$25=""),"",IF($O$26="WIN",$M$25,$Q$25))</f>
        <v>Marcelo</v>
      </c>
      <c r="N32" s="121" t="str">
        <f>B29</f>
        <v>Bebeto</v>
      </c>
      <c r="O32" s="119">
        <v>0</v>
      </c>
      <c r="P32" s="119">
        <v>18</v>
      </c>
      <c r="Q32" s="432" t="str">
        <f>IF(OR($O$25="",$P$25=""),"",IF($O$26="WIN",$N$25,$R$25))</f>
        <v>Matheus L.</v>
      </c>
      <c r="R32" s="122" t="str">
        <f>B16</f>
        <v>Rafael</v>
      </c>
    </row>
    <row r="33" spans="13:17">
      <c r="M33" s="18" t="str">
        <f>IF(OR($O$32="",$P$32=""),"",IF($O$33="win",$U$3,$U$4))</f>
        <v>2nd</v>
      </c>
      <c r="O33" s="2" t="str">
        <f>IF(OR(O32="",P32=""),"",IF((O32&gt;P32),"WIN","LOSE"))</f>
        <v>LOSE</v>
      </c>
      <c r="P33" s="2" t="str">
        <f>IF(OR(O32="",P32=""),"",IF((O32&lt;P32),"WIN","LOSE"))</f>
        <v>WIN</v>
      </c>
      <c r="Q33" s="18" t="str">
        <f>IF(OR($O$32="",$P$32=""),"",IF($P$33="win",$U$3,$U$4))</f>
        <v>1st</v>
      </c>
    </row>
  </sheetData>
  <sheetProtection algorithmName="SHA-512" hashValue="2KL+9HqQQ6lme3ksXOW/baSz25O7Jv7I4mFdgcPe79BOugEaIOuSa2N5DhIN0hms/hUE263Y/QQz/5K7EeEMlg==" saltValue="20ZGFn4D8NiioBKZOYiEjw==" spinCount="100000" sheet="1" objects="1" scenarios="1"/>
  <mergeCells count="10">
    <mergeCell ref="T1:U1"/>
    <mergeCell ref="A12:G12"/>
    <mergeCell ref="M12:R12"/>
    <mergeCell ref="O13:P13"/>
    <mergeCell ref="O18:P18"/>
    <mergeCell ref="M23:R23"/>
    <mergeCell ref="O24:P24"/>
    <mergeCell ref="M30:R30"/>
    <mergeCell ref="O31:P31"/>
    <mergeCell ref="A1:A10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AC73-0A83-864F-9A59-6B91987DDEE8}">
  <sheetPr codeName="Sheet8"/>
  <dimension ref="A1:X32"/>
  <sheetViews>
    <sheetView workbookViewId="0">
      <selection sqref="A1:I1"/>
    </sheetView>
    <sheetView workbookViewId="1">
      <selection sqref="A1:A13"/>
    </sheetView>
  </sheetViews>
  <sheetFormatPr defaultColWidth="8.85546875" defaultRowHeight="15"/>
  <cols>
    <col min="1" max="1" width="10.7109375" style="44" customWidth="1"/>
    <col min="2" max="4" width="20" style="44" customWidth="1"/>
    <col min="5" max="6" width="10.7109375" style="44" customWidth="1"/>
    <col min="7" max="7" width="20" style="44" customWidth="1"/>
    <col min="8" max="8" width="11.28515625" style="44" hidden="1" customWidth="1"/>
    <col min="9" max="9" width="12" style="44" hidden="1" customWidth="1"/>
    <col min="10" max="10" width="10.85546875" style="44" hidden="1" customWidth="1"/>
    <col min="11" max="11" width="8" style="44" hidden="1" customWidth="1"/>
    <col min="12" max="12" width="20" style="44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 ht="15" customHeight="1">
      <c r="A1" s="550" t="s">
        <v>243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244</v>
      </c>
      <c r="U1" s="545"/>
      <c r="W1" s="44" t="s">
        <v>205</v>
      </c>
      <c r="X1" s="44">
        <f>COUNTIF(Games_226[[ATHLETE 1]:[ATHLETE 4]],W1)</f>
        <v>0</v>
      </c>
    </row>
    <row r="2" spans="1:24" ht="15" customHeight="1">
      <c r="A2" s="550"/>
      <c r="B2" s="427" t="s">
        <v>178</v>
      </c>
      <c r="C2" s="67" t="str">
        <f>$B$21</f>
        <v>Paula Faria*</v>
      </c>
      <c r="D2" s="70" t="str">
        <f>B17</f>
        <v>Paula Constantino</v>
      </c>
      <c r="E2" s="133">
        <v>18</v>
      </c>
      <c r="F2" s="134">
        <v>15</v>
      </c>
      <c r="G2" s="135" t="str">
        <f>$B$22</f>
        <v>Gabriela Cordeiro*</v>
      </c>
      <c r="H2" s="41"/>
      <c r="I2" s="41"/>
      <c r="J2" s="41"/>
      <c r="K2" s="41"/>
      <c r="L2" s="67" t="str">
        <f>B18</f>
        <v>Nati</v>
      </c>
      <c r="M2" s="430">
        <f>IF(OR(Games_226[[#This Row],[SCORE 1]]="",Games_226[[#This Row],[SCORE 2]]=""),"",Games_226[[#This Row],[SCORE 1]]-Games_226[[#This Row],[SCORE 2]])</f>
        <v>3</v>
      </c>
      <c r="N2" s="430">
        <f>IF(OR(Games_226[[#This Row],[SCORE 1]]="",Games_226[[#This Row],[SCORE 2]]=""),"",Games_226[[#This Row],[SCORE 2]]-Games_226[[#This Row],[SCORE 1]])</f>
        <v>-3</v>
      </c>
      <c r="O2" s="430">
        <f>IF(Games_226[[#This Row],[SCORE 1]]="","",Games_226[[#This Row],[SCORE 1]])</f>
        <v>18</v>
      </c>
      <c r="P2" s="430">
        <f>IF(Games_226[[#This Row],[SCORE 2]]="","",Games_226[[#This Row],[SCORE 2]])</f>
        <v>15</v>
      </c>
      <c r="Q2" s="430" t="str">
        <f>IF(OR(Games_226[[#This Row],[SCORE 1]]="",Games_226[[#This Row],[SCORE 2]]=""),"",IF(Games_226[[#This Row],[SALDO 12]]&gt;0, "WIN","LOSE"))</f>
        <v>WIN</v>
      </c>
      <c r="R2" s="430" t="str">
        <f>IF(OR(Games_226[[#This Row],[SCORE 2]]="",Games_226[[#This Row],[SCORE 1]]=""),"",IF(Games_226[[#This Row],[SALDO 34]]&gt;0, "WIN","LOSE"))</f>
        <v>LOSE</v>
      </c>
      <c r="T2" s="35" t="s">
        <v>179</v>
      </c>
      <c r="U2" s="35" t="s">
        <v>8</v>
      </c>
      <c r="W2" s="44" t="s">
        <v>206</v>
      </c>
      <c r="X2" s="44">
        <f>COUNTIF(Games_226[[ATHLETE 1]:[ATHLETE 4]],W2)</f>
        <v>0</v>
      </c>
    </row>
    <row r="3" spans="1:24">
      <c r="A3" s="550"/>
      <c r="B3" s="430" t="s">
        <v>180</v>
      </c>
      <c r="C3" s="2" t="str">
        <f>$B$29</f>
        <v>Júlia Bonfanti*</v>
      </c>
      <c r="D3" s="38" t="str">
        <f>B25</f>
        <v>Priscilla Jung</v>
      </c>
      <c r="E3" s="100">
        <v>18</v>
      </c>
      <c r="F3" s="101">
        <v>20</v>
      </c>
      <c r="G3" s="41" t="str">
        <f>$B$30</f>
        <v>Beesan*</v>
      </c>
      <c r="H3" s="41"/>
      <c r="I3" s="41"/>
      <c r="J3" s="41"/>
      <c r="K3" s="41"/>
      <c r="L3" s="2" t="str">
        <f>B26</f>
        <v>Mariana Venâncio</v>
      </c>
      <c r="M3" s="430">
        <f>IF(OR(Games_226[[#This Row],[SCORE 1]]="",Games_226[[#This Row],[SCORE 2]]=""),"",Games_226[[#This Row],[SCORE 1]]-Games_226[[#This Row],[SCORE 2]])</f>
        <v>-2</v>
      </c>
      <c r="N3" s="430">
        <f>IF(OR(Games_226[[#This Row],[SCORE 1]]="",Games_226[[#This Row],[SCORE 2]]=""),"",Games_226[[#This Row],[SCORE 2]]-Games_226[[#This Row],[SCORE 1]])</f>
        <v>2</v>
      </c>
      <c r="O3" s="430">
        <f>IF(Games_226[[#This Row],[SCORE 1]]="","",Games_226[[#This Row],[SCORE 1]])</f>
        <v>18</v>
      </c>
      <c r="P3" s="430">
        <f>IF(Games_226[[#This Row],[SCORE 2]]="","",Games_226[[#This Row],[SCORE 2]])</f>
        <v>20</v>
      </c>
      <c r="Q3" s="430" t="str">
        <f>IF(OR(Games_226[[#This Row],[SCORE 1]]="",Games_226[[#This Row],[SCORE 2]]=""),"",IF(Games_226[[#This Row],[SALDO 12]]&gt;0, "WIN","LOSE"))</f>
        <v>LOSE</v>
      </c>
      <c r="R3" s="430" t="str">
        <f>IF(OR(Games_226[[#This Row],[SCORE 2]]="",Games_226[[#This Row],[SCORE 1]]=""),"",IF(Games_226[[#This Row],[SALDO 34]]&gt;0, "WIN","LOSE"))</f>
        <v>WIN</v>
      </c>
      <c r="T3" s="2" t="str">
        <f>IFERROR(_xlfn.XLOOKUP(Table15722354478913351028[[#This Row],[Rank]],$M$18:$R$18,$M$17:$R$17),"")</f>
        <v>Stephanie</v>
      </c>
      <c r="U3" s="2" t="s">
        <v>19</v>
      </c>
      <c r="W3" s="44" t="s">
        <v>207</v>
      </c>
      <c r="X3" s="44">
        <f>COUNTIF(Games_226[[ATHLETE 1]:[ATHLETE 4]],W3)</f>
        <v>0</v>
      </c>
    </row>
    <row r="4" spans="1:24">
      <c r="A4" s="550"/>
      <c r="B4" s="427" t="s">
        <v>178</v>
      </c>
      <c r="C4" s="67" t="str">
        <f>$B$21</f>
        <v>Paula Faria*</v>
      </c>
      <c r="D4" s="70" t="str">
        <f>B19</f>
        <v>Michelly</v>
      </c>
      <c r="E4" s="133">
        <v>12</v>
      </c>
      <c r="F4" s="134">
        <v>18</v>
      </c>
      <c r="G4" s="135" t="str">
        <f>$B$22</f>
        <v>Gabriela Cordeiro*</v>
      </c>
      <c r="H4" s="41"/>
      <c r="I4" s="41"/>
      <c r="J4" s="41"/>
      <c r="K4" s="41"/>
      <c r="L4" s="67" t="str">
        <f>B20</f>
        <v>Marie</v>
      </c>
      <c r="M4" s="430">
        <f>IF(OR(Games_226[[#This Row],[SCORE 1]]="",Games_226[[#This Row],[SCORE 2]]=""),"",Games_226[[#This Row],[SCORE 1]]-Games_226[[#This Row],[SCORE 2]])</f>
        <v>-6</v>
      </c>
      <c r="N4" s="430">
        <f>IF(OR(Games_226[[#This Row],[SCORE 1]]="",Games_226[[#This Row],[SCORE 2]]=""),"",Games_226[[#This Row],[SCORE 2]]-Games_226[[#This Row],[SCORE 1]])</f>
        <v>6</v>
      </c>
      <c r="O4" s="430">
        <f>IF(Games_226[[#This Row],[SCORE 1]]="","",Games_226[[#This Row],[SCORE 1]])</f>
        <v>12</v>
      </c>
      <c r="P4" s="430">
        <f>IF(Games_226[[#This Row],[SCORE 2]]="","",Games_226[[#This Row],[SCORE 2]])</f>
        <v>18</v>
      </c>
      <c r="Q4" s="430" t="str">
        <f>IF(OR(Games_226[[#This Row],[SCORE 1]]="",Games_226[[#This Row],[SCORE 2]]=""),"",IF(Games_226[[#This Row],[SALDO 12]]&gt;0, "WIN","LOSE"))</f>
        <v>LOSE</v>
      </c>
      <c r="R4" s="430" t="str">
        <f>IF(OR(Games_226[[#This Row],[SCORE 2]]="",Games_226[[#This Row],[SCORE 1]]=""),"",IF(Games_226[[#This Row],[SALDO 34]]&gt;0, "WIN","LOSE"))</f>
        <v>WIN</v>
      </c>
      <c r="T4" s="2" t="str">
        <f>IFERROR(_xlfn.XLOOKUP(Table15722354478913351028[[#This Row],[Rank]],$M$18:$R$18,$M$17:$R$17),"")</f>
        <v>Marie</v>
      </c>
      <c r="U4" s="2" t="s">
        <v>22</v>
      </c>
      <c r="W4" s="44" t="s">
        <v>208</v>
      </c>
      <c r="X4" s="44">
        <f>COUNTIF(Games_226[[ATHLETE 1]:[ATHLETE 4]],W4)</f>
        <v>0</v>
      </c>
    </row>
    <row r="5" spans="1:24">
      <c r="A5" s="550"/>
      <c r="B5" s="430" t="s">
        <v>180</v>
      </c>
      <c r="C5" s="2" t="str">
        <f>$B$29</f>
        <v>Júlia Bonfanti*</v>
      </c>
      <c r="D5" s="38" t="str">
        <f>B27</f>
        <v>Stephanie</v>
      </c>
      <c r="E5" s="100">
        <v>10</v>
      </c>
      <c r="F5" s="101">
        <v>18</v>
      </c>
      <c r="G5" s="41" t="str">
        <f>$B$30</f>
        <v>Beesan*</v>
      </c>
      <c r="H5" s="41"/>
      <c r="I5" s="41"/>
      <c r="J5" s="41"/>
      <c r="K5" s="41"/>
      <c r="L5" s="2" t="str">
        <f>B28</f>
        <v>Mariana Meireles</v>
      </c>
      <c r="M5" s="11">
        <f>IF(OR(Games_226[[#This Row],[SCORE 1]]="",Games_226[[#This Row],[SCORE 2]]=""),"",Games_226[[#This Row],[SCORE 1]]-Games_226[[#This Row],[SCORE 2]])</f>
        <v>-8</v>
      </c>
      <c r="N5" s="430">
        <f>IF(OR(Games_226[[#This Row],[SCORE 1]]="",Games_226[[#This Row],[SCORE 2]]=""),"",Games_226[[#This Row],[SCORE 2]]-Games_226[[#This Row],[SCORE 1]])</f>
        <v>8</v>
      </c>
      <c r="O5" s="430">
        <f>IF(Games_226[[#This Row],[SCORE 1]]="","",Games_226[[#This Row],[SCORE 1]])</f>
        <v>10</v>
      </c>
      <c r="P5" s="430">
        <f>IF(Games_226[[#This Row],[SCORE 2]]="","",Games_226[[#This Row],[SCORE 2]])</f>
        <v>18</v>
      </c>
      <c r="Q5" s="430" t="str">
        <f>IF(OR(Games_226[[#This Row],[SCORE 1]]="",Games_226[[#This Row],[SCORE 2]]=""),"",IF(Games_226[[#This Row],[SALDO 12]]&gt;0, "WIN","LOSE"))</f>
        <v>LOSE</v>
      </c>
      <c r="R5" s="430" t="str">
        <f>IF(OR(Games_226[[#This Row],[SCORE 2]]="",Games_226[[#This Row],[SCORE 1]]=""),"",IF(Games_226[[#This Row],[SALDO 34]]&gt;0, "WIN","LOSE"))</f>
        <v>WIN</v>
      </c>
      <c r="T5" s="2" t="str" cm="1">
        <f t="array" ref="T5">_xlfn.TEXTJOIN(", ", TRUE, _xlfn._xlws.FILTER($K$17:$K$24, $J$17:$J$24=U5,""))</f>
        <v>Michelly</v>
      </c>
      <c r="U5" s="2" t="s">
        <v>25</v>
      </c>
      <c r="W5" s="44" t="s">
        <v>230</v>
      </c>
      <c r="X5" s="44">
        <f>COUNTIF(Games_226[[ATHLETE 1]:[ATHLETE 4]],W5)</f>
        <v>0</v>
      </c>
    </row>
    <row r="6" spans="1:24">
      <c r="A6" s="550"/>
      <c r="B6" s="427" t="s">
        <v>178</v>
      </c>
      <c r="C6" s="67" t="str">
        <f>$B$21</f>
        <v>Paula Faria*</v>
      </c>
      <c r="D6" s="70" t="str">
        <f>B17</f>
        <v>Paula Constantino</v>
      </c>
      <c r="E6" s="133">
        <v>9</v>
      </c>
      <c r="F6" s="134">
        <v>18</v>
      </c>
      <c r="G6" s="135" t="str">
        <f>$B$22</f>
        <v>Gabriela Cordeiro*</v>
      </c>
      <c r="H6" s="41"/>
      <c r="I6" s="41"/>
      <c r="J6" s="41"/>
      <c r="K6" s="41"/>
      <c r="L6" s="67" t="str">
        <f>B19</f>
        <v>Michelly</v>
      </c>
      <c r="M6" s="2">
        <f>IF(OR(Games_226[[#This Row],[SCORE 1]]="",Games_226[[#This Row],[SCORE 2]]=""),"",Games_226[[#This Row],[SCORE 1]]-Games_226[[#This Row],[SCORE 2]])</f>
        <v>-9</v>
      </c>
      <c r="N6" s="430">
        <f>IF(OR(Games_226[[#This Row],[SCORE 1]]="",Games_226[[#This Row],[SCORE 2]]=""),"",Games_226[[#This Row],[SCORE 2]]-Games_226[[#This Row],[SCORE 1]])</f>
        <v>9</v>
      </c>
      <c r="O6" s="430">
        <f>IF(Games_226[[#This Row],[SCORE 1]]="","",Games_226[[#This Row],[SCORE 1]])</f>
        <v>9</v>
      </c>
      <c r="P6" s="430">
        <f>IF(Games_226[[#This Row],[SCORE 2]]="","",Games_226[[#This Row],[SCORE 2]])</f>
        <v>18</v>
      </c>
      <c r="Q6" s="430" t="str">
        <f>IF(OR(Games_226[[#This Row],[SCORE 1]]="",Games_226[[#This Row],[SCORE 2]]=""),"",IF(Games_226[[#This Row],[SALDO 12]]&gt;0, "WIN","LOSE"))</f>
        <v>LOSE</v>
      </c>
      <c r="R6" s="430" t="str">
        <f>IF(OR(Games_226[[#This Row],[SCORE 2]]="",Games_226[[#This Row],[SCORE 1]]=""),"",IF(Games_226[[#This Row],[SALDO 34]]&gt;0, "WIN","LOSE"))</f>
        <v>WIN</v>
      </c>
      <c r="T6" s="2" t="str" cm="1">
        <f t="array" ref="T6">_xlfn.TEXTJOIN(", ", TRUE, _xlfn._xlws.FILTER($K$17:$K$24, $J$17:$J$24=U6,""))</f>
        <v>Mariana Meireles</v>
      </c>
      <c r="U6" s="2" t="s">
        <v>28</v>
      </c>
      <c r="W6" s="44" t="s">
        <v>245</v>
      </c>
      <c r="X6" s="44">
        <f>COUNTIF(Games_226[[ATHLETE 1]:[ATHLETE 4]],W6)</f>
        <v>0</v>
      </c>
    </row>
    <row r="7" spans="1:24">
      <c r="A7" s="550"/>
      <c r="B7" s="430" t="s">
        <v>180</v>
      </c>
      <c r="C7" s="2" t="str">
        <f>$B$29</f>
        <v>Júlia Bonfanti*</v>
      </c>
      <c r="D7" s="38" t="str">
        <f>B25</f>
        <v>Priscilla Jung</v>
      </c>
      <c r="E7" s="100">
        <v>10</v>
      </c>
      <c r="F7" s="101">
        <v>18</v>
      </c>
      <c r="G7" s="41" t="str">
        <f>$B$30</f>
        <v>Beesan*</v>
      </c>
      <c r="H7" s="41"/>
      <c r="I7" s="41"/>
      <c r="J7" s="41"/>
      <c r="K7" s="41"/>
      <c r="L7" s="2" t="str">
        <f>B27</f>
        <v>Stephanie</v>
      </c>
      <c r="M7" s="2">
        <f>IF(OR(Games_226[[#This Row],[SCORE 1]]="",Games_226[[#This Row],[SCORE 2]]=""),"",Games_226[[#This Row],[SCORE 1]]-Games_226[[#This Row],[SCORE 2]])</f>
        <v>-8</v>
      </c>
      <c r="N7" s="430">
        <f>IF(OR(Games_226[[#This Row],[SCORE 1]]="",Games_226[[#This Row],[SCORE 2]]=""),"",Games_226[[#This Row],[SCORE 2]]-Games_226[[#This Row],[SCORE 1]])</f>
        <v>8</v>
      </c>
      <c r="O7" s="430">
        <f>IF(Games_226[[#This Row],[SCORE 1]]="","",Games_226[[#This Row],[SCORE 1]])</f>
        <v>10</v>
      </c>
      <c r="P7" s="430">
        <f>IF(Games_226[[#This Row],[SCORE 2]]="","",Games_226[[#This Row],[SCORE 2]])</f>
        <v>18</v>
      </c>
      <c r="Q7" s="430" t="str">
        <f>IF(OR(Games_226[[#This Row],[SCORE 1]]="",Games_226[[#This Row],[SCORE 2]]=""),"",IF(Games_226[[#This Row],[SALDO 12]]&gt;0, "WIN","LOSE"))</f>
        <v>LOSE</v>
      </c>
      <c r="R7" s="430" t="str">
        <f>IF(OR(Games_226[[#This Row],[SCORE 2]]="",Games_226[[#This Row],[SCORE 1]]=""),"",IF(Games_226[[#This Row],[SALDO 34]]&gt;0, "WIN","LOSE"))</f>
        <v>WIN</v>
      </c>
      <c r="T7" s="2" t="str" cm="1">
        <f t="array" ref="T7">_xlfn.TEXTJOIN(", ", TRUE, _xlfn._xlws.FILTER($K$17:$K$24, $J$17:$J$24=U7,""))</f>
        <v>Mariana Venâncio</v>
      </c>
      <c r="U7" s="2" t="s">
        <v>31</v>
      </c>
    </row>
    <row r="8" spans="1:24">
      <c r="A8" s="550"/>
      <c r="B8" s="430" t="s">
        <v>178</v>
      </c>
      <c r="C8" s="2" t="str">
        <f>$B$21</f>
        <v>Paula Faria*</v>
      </c>
      <c r="D8" s="38" t="str">
        <f>B18</f>
        <v>Nati</v>
      </c>
      <c r="E8" s="100">
        <v>16</v>
      </c>
      <c r="F8" s="101">
        <v>18</v>
      </c>
      <c r="G8" s="41" t="str">
        <f>$B$22</f>
        <v>Gabriela Cordeiro*</v>
      </c>
      <c r="H8" s="41"/>
      <c r="I8" s="41"/>
      <c r="J8" s="41"/>
      <c r="K8" s="41"/>
      <c r="L8" s="2" t="str">
        <f>B20</f>
        <v>Marie</v>
      </c>
      <c r="M8" s="2">
        <f>IF(OR(Games_226[[#This Row],[SCORE 1]]="",Games_226[[#This Row],[SCORE 2]]=""),"",Games_226[[#This Row],[SCORE 1]]-Games_226[[#This Row],[SCORE 2]])</f>
        <v>-2</v>
      </c>
      <c r="N8" s="430">
        <f>IF(OR(Games_226[[#This Row],[SCORE 1]]="",Games_226[[#This Row],[SCORE 2]]=""),"",Games_226[[#This Row],[SCORE 2]]-Games_226[[#This Row],[SCORE 1]])</f>
        <v>2</v>
      </c>
      <c r="O8" s="430">
        <f>IF(Games_226[[#This Row],[SCORE 1]]="","",Games_226[[#This Row],[SCORE 1]])</f>
        <v>16</v>
      </c>
      <c r="P8" s="430">
        <f>IF(Games_226[[#This Row],[SCORE 2]]="","",Games_226[[#This Row],[SCORE 2]])</f>
        <v>18</v>
      </c>
      <c r="Q8" s="430" t="str">
        <f>IF(OR(Games_226[[#This Row],[SCORE 1]]="",Games_226[[#This Row],[SCORE 2]]=""),"",IF(Games_226[[#This Row],[SALDO 12]]&gt;0, "WIN","LOSE"))</f>
        <v>LOSE</v>
      </c>
      <c r="R8" s="430" t="str">
        <f>IF(OR(Games_226[[#This Row],[SCORE 2]]="",Games_226[[#This Row],[SCORE 1]]=""),"",IF(Games_226[[#This Row],[SALDO 34]]&gt;0, "WIN","LOSE"))</f>
        <v>WIN</v>
      </c>
      <c r="T8" s="2" t="str" cm="1">
        <f t="array" ref="T8">_xlfn.TEXTJOIN(", ", TRUE, _xlfn._xlws.FILTER($K$17:$K$24, $J$17:$J$24=U8,""))</f>
        <v>Paula Constantino</v>
      </c>
      <c r="U8" s="2" t="s">
        <v>34</v>
      </c>
    </row>
    <row r="9" spans="1:24">
      <c r="A9" s="550"/>
      <c r="B9" s="430" t="s">
        <v>180</v>
      </c>
      <c r="C9" s="2" t="str">
        <f>$B$29</f>
        <v>Júlia Bonfanti*</v>
      </c>
      <c r="D9" s="38" t="str">
        <f>B26</f>
        <v>Mariana Venâncio</v>
      </c>
      <c r="E9" s="100">
        <v>18</v>
      </c>
      <c r="F9" s="101">
        <v>9</v>
      </c>
      <c r="G9" s="41" t="str">
        <f>$B$30</f>
        <v>Beesan*</v>
      </c>
      <c r="H9" s="41"/>
      <c r="I9" s="41"/>
      <c r="J9" s="41"/>
      <c r="K9" s="41"/>
      <c r="L9" s="2" t="str">
        <f>B28</f>
        <v>Mariana Meireles</v>
      </c>
      <c r="M9" s="2">
        <f>IF(OR(Games_226[[#This Row],[SCORE 1]]="",Games_226[[#This Row],[SCORE 2]]=""),"",Games_226[[#This Row],[SCORE 1]]-Games_226[[#This Row],[SCORE 2]])</f>
        <v>9</v>
      </c>
      <c r="N9" s="430">
        <f>IF(OR(Games_226[[#This Row],[SCORE 1]]="",Games_226[[#This Row],[SCORE 2]]=""),"",Games_226[[#This Row],[SCORE 2]]-Games_226[[#This Row],[SCORE 1]])</f>
        <v>-9</v>
      </c>
      <c r="O9" s="430">
        <f>IF(Games_226[[#This Row],[SCORE 1]]="","",Games_226[[#This Row],[SCORE 1]])</f>
        <v>18</v>
      </c>
      <c r="P9" s="430">
        <f>IF(Games_226[[#This Row],[SCORE 2]]="","",Games_226[[#This Row],[SCORE 2]])</f>
        <v>9</v>
      </c>
      <c r="Q9" s="430" t="str">
        <f>IF(OR(Games_226[[#This Row],[SCORE 1]]="",Games_226[[#This Row],[SCORE 2]]=""),"",IF(Games_226[[#This Row],[SALDO 12]]&gt;0, "WIN","LOSE"))</f>
        <v>WIN</v>
      </c>
      <c r="R9" s="430" t="str">
        <f>IF(OR(Games_226[[#This Row],[SCORE 2]]="",Games_226[[#This Row],[SCORE 1]]=""),"",IF(Games_226[[#This Row],[SALDO 34]]&gt;0, "WIN","LOSE"))</f>
        <v>LOSE</v>
      </c>
      <c r="T9" s="2" t="str" cm="1">
        <f t="array" ref="T9">_xlfn.TEXTJOIN(", ", TRUE, _xlfn._xlws.FILTER($K$17:$K$24, $J$17:$J$24=U9,""))</f>
        <v>Nati</v>
      </c>
      <c r="U9" s="2" t="s">
        <v>37</v>
      </c>
    </row>
    <row r="10" spans="1:24">
      <c r="A10" s="550"/>
      <c r="B10" s="430" t="s">
        <v>178</v>
      </c>
      <c r="C10" s="2" t="str">
        <f>$B$21</f>
        <v>Paula Faria*</v>
      </c>
      <c r="D10" s="38" t="str">
        <f>B20</f>
        <v>Marie</v>
      </c>
      <c r="E10" s="100">
        <v>18</v>
      </c>
      <c r="F10" s="101">
        <v>13</v>
      </c>
      <c r="G10" s="41" t="str">
        <f>$B$22</f>
        <v>Gabriela Cordeiro*</v>
      </c>
      <c r="H10" s="41"/>
      <c r="I10" s="41"/>
      <c r="J10" s="41"/>
      <c r="K10" s="41"/>
      <c r="L10" s="2" t="str">
        <f>B17</f>
        <v>Paula Constantino</v>
      </c>
      <c r="M10" s="2">
        <f>IF(OR(Games_226[[#This Row],[SCORE 1]]="",Games_226[[#This Row],[SCORE 2]]=""),"",Games_226[[#This Row],[SCORE 1]]-Games_226[[#This Row],[SCORE 2]])</f>
        <v>5</v>
      </c>
      <c r="N10" s="430">
        <f>IF(OR(Games_226[[#This Row],[SCORE 1]]="",Games_226[[#This Row],[SCORE 2]]=""),"",Games_226[[#This Row],[SCORE 2]]-Games_226[[#This Row],[SCORE 1]])</f>
        <v>-5</v>
      </c>
      <c r="O10" s="430">
        <f>IF(Games_226[[#This Row],[SCORE 1]]="","",Games_226[[#This Row],[SCORE 1]])</f>
        <v>18</v>
      </c>
      <c r="P10" s="430">
        <f>IF(Games_226[[#This Row],[SCORE 2]]="","",Games_226[[#This Row],[SCORE 2]])</f>
        <v>13</v>
      </c>
      <c r="Q10" s="430" t="str">
        <f>IF(OR(Games_226[[#This Row],[SCORE 1]]="",Games_226[[#This Row],[SCORE 2]]=""),"",IF(Games_226[[#This Row],[SALDO 12]]&gt;0, "WIN","LOSE"))</f>
        <v>WIN</v>
      </c>
      <c r="R10" s="430" t="str">
        <f>IF(OR(Games_226[[#This Row],[SCORE 2]]="",Games_226[[#This Row],[SCORE 1]]=""),"",IF(Games_226[[#This Row],[SALDO 34]]&gt;0, "WIN","LOSE"))</f>
        <v>LOSE</v>
      </c>
      <c r="T10" s="2" t="str" cm="1">
        <f t="array" ref="T10">_xlfn.TEXTJOIN(", ", TRUE, _xlfn._xlws.FILTER($K$17:$K$24, $J$17:$J$24=U10,""))</f>
        <v>Priscilla Jung</v>
      </c>
      <c r="U10" s="2" t="s">
        <v>41</v>
      </c>
    </row>
    <row r="11" spans="1:24">
      <c r="A11" s="550"/>
      <c r="B11" s="11" t="s">
        <v>180</v>
      </c>
      <c r="C11" s="2" t="str">
        <f>$B$29</f>
        <v>Júlia Bonfanti*</v>
      </c>
      <c r="D11" s="38" t="str">
        <f>B28</f>
        <v>Mariana Meireles</v>
      </c>
      <c r="E11" s="111">
        <v>18</v>
      </c>
      <c r="F11" s="112">
        <v>10</v>
      </c>
      <c r="G11" s="41" t="str">
        <f>$B$30</f>
        <v>Beesan*</v>
      </c>
      <c r="H11" s="97"/>
      <c r="I11" s="97"/>
      <c r="J11" s="97"/>
      <c r="K11" s="97"/>
      <c r="L11" s="2" t="str">
        <f>B25</f>
        <v>Priscilla Jung</v>
      </c>
      <c r="M11" s="2">
        <f>IF(OR(Games_226[[#This Row],[SCORE 1]]="",Games_226[[#This Row],[SCORE 2]]=""),"",Games_226[[#This Row],[SCORE 1]]-Games_226[[#This Row],[SCORE 2]])</f>
        <v>8</v>
      </c>
      <c r="N11" s="11">
        <f>IF(OR(Games_226[[#This Row],[SCORE 1]]="",Games_226[[#This Row],[SCORE 2]]=""),"",Games_226[[#This Row],[SCORE 2]]-Games_226[[#This Row],[SCORE 1]])</f>
        <v>-8</v>
      </c>
      <c r="O11" s="11">
        <f>IF(Games_226[[#This Row],[SCORE 1]]="","",Games_226[[#This Row],[SCORE 1]])</f>
        <v>18</v>
      </c>
      <c r="P11" s="11">
        <f>IF(Games_226[[#This Row],[SCORE 2]]="","",Games_226[[#This Row],[SCORE 2]])</f>
        <v>10</v>
      </c>
      <c r="Q11" s="11" t="str">
        <f>IF(OR(Games_226[[#This Row],[SCORE 1]]="",Games_226[[#This Row],[SCORE 2]]=""),"",IF(Games_226[[#This Row],[SALDO 12]]&gt;0, "WIN","LOSE"))</f>
        <v>WIN</v>
      </c>
      <c r="R11" s="11" t="str">
        <f>IF(OR(Games_226[[#This Row],[SCORE 2]]="",Games_226[[#This Row],[SCORE 1]]=""),"",IF(Games_226[[#This Row],[SALDO 34]]&gt;0, "WIN","LOSE"))</f>
        <v>LOSE</v>
      </c>
    </row>
    <row r="12" spans="1:24">
      <c r="A12" s="550"/>
      <c r="B12" s="11" t="s">
        <v>178</v>
      </c>
      <c r="C12" s="2" t="str">
        <f>$B$21</f>
        <v>Paula Faria*</v>
      </c>
      <c r="D12" s="38" t="str">
        <f>B18</f>
        <v>Nati</v>
      </c>
      <c r="E12" s="111">
        <v>13</v>
      </c>
      <c r="F12" s="112">
        <v>18</v>
      </c>
      <c r="G12" s="41" t="str">
        <f>$B$22</f>
        <v>Gabriela Cordeiro*</v>
      </c>
      <c r="H12" s="97"/>
      <c r="I12" s="97"/>
      <c r="J12" s="97"/>
      <c r="K12" s="97"/>
      <c r="L12" s="2" t="str">
        <f>B19</f>
        <v>Michelly</v>
      </c>
      <c r="M12" s="2">
        <f>IF(OR(Games_226[[#This Row],[SCORE 1]]="",Games_226[[#This Row],[SCORE 2]]=""),"",Games_226[[#This Row],[SCORE 1]]-Games_226[[#This Row],[SCORE 2]])</f>
        <v>-5</v>
      </c>
      <c r="N12" s="11">
        <f>IF(OR(Games_226[[#This Row],[SCORE 1]]="",Games_226[[#This Row],[SCORE 2]]=""),"",Games_226[[#This Row],[SCORE 2]]-Games_226[[#This Row],[SCORE 1]])</f>
        <v>5</v>
      </c>
      <c r="O12" s="11">
        <f>IF(Games_226[[#This Row],[SCORE 1]]="","",Games_226[[#This Row],[SCORE 1]])</f>
        <v>13</v>
      </c>
      <c r="P12" s="11">
        <f>IF(Games_226[[#This Row],[SCORE 2]]="","",Games_226[[#This Row],[SCORE 2]])</f>
        <v>18</v>
      </c>
      <c r="Q12" s="11" t="str">
        <f>IF(OR(Games_226[[#This Row],[SCORE 1]]="",Games_226[[#This Row],[SCORE 2]]=""),"",IF(Games_226[[#This Row],[SALDO 12]]&gt;0, "WIN","LOSE"))</f>
        <v>LOSE</v>
      </c>
      <c r="R12" s="11" t="str">
        <f>IF(OR(Games_226[[#This Row],[SCORE 2]]="",Games_226[[#This Row],[SCORE 1]]=""),"",IF(Games_226[[#This Row],[SALDO 34]]&gt;0, "WIN","LOSE"))</f>
        <v>WIN</v>
      </c>
    </row>
    <row r="13" spans="1:24">
      <c r="A13" s="550"/>
      <c r="B13" s="11" t="s">
        <v>180</v>
      </c>
      <c r="C13" s="2" t="str">
        <f>$B$29</f>
        <v>Júlia Bonfanti*</v>
      </c>
      <c r="D13" s="38" t="str">
        <f>B26</f>
        <v>Mariana Venâncio</v>
      </c>
      <c r="E13" s="111">
        <v>9</v>
      </c>
      <c r="F13" s="112">
        <v>18</v>
      </c>
      <c r="G13" s="41" t="str">
        <f>$B$30</f>
        <v>Beesan*</v>
      </c>
      <c r="H13" s="97"/>
      <c r="I13" s="97"/>
      <c r="J13" s="97"/>
      <c r="K13" s="97"/>
      <c r="L13" s="2" t="str">
        <f>B27</f>
        <v>Stephanie</v>
      </c>
      <c r="M13" s="2">
        <f>IF(OR(Games_226[[#This Row],[SCORE 1]]="",Games_226[[#This Row],[SCORE 2]]=""),"",Games_226[[#This Row],[SCORE 1]]-Games_226[[#This Row],[SCORE 2]])</f>
        <v>-9</v>
      </c>
      <c r="N13" s="11">
        <f>IF(OR(Games_226[[#This Row],[SCORE 1]]="",Games_226[[#This Row],[SCORE 2]]=""),"",Games_226[[#This Row],[SCORE 2]]-Games_226[[#This Row],[SCORE 1]])</f>
        <v>9</v>
      </c>
      <c r="O13" s="11">
        <f>IF(Games_226[[#This Row],[SCORE 1]]="","",Games_226[[#This Row],[SCORE 1]])</f>
        <v>9</v>
      </c>
      <c r="P13" s="11">
        <f>IF(Games_226[[#This Row],[SCORE 2]]="","",Games_226[[#This Row],[SCORE 2]])</f>
        <v>18</v>
      </c>
      <c r="Q13" s="11" t="str">
        <f>IF(OR(Games_226[[#This Row],[SCORE 1]]="",Games_226[[#This Row],[SCORE 2]]=""),"",IF(Games_226[[#This Row],[SALDO 12]]&gt;0, "WIN","LOSE"))</f>
        <v>LOSE</v>
      </c>
      <c r="R13" s="11" t="str">
        <f>IF(OR(Games_226[[#This Row],[SCORE 2]]="",Games_226[[#This Row],[SCORE 1]]=""),"",IF(Games_226[[#This Row],[SALDO 34]]&gt;0, "WIN","LOSE"))</f>
        <v>WIN</v>
      </c>
    </row>
    <row r="14" spans="1:24" ht="30" customHeight="1"/>
    <row r="15" spans="1:24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48" t="s">
        <v>200</v>
      </c>
      <c r="N15" s="549"/>
      <c r="O15" s="549"/>
      <c r="P15" s="549"/>
      <c r="Q15" s="549"/>
      <c r="R15" s="549"/>
    </row>
    <row r="16" spans="1:24" ht="15.95">
      <c r="A16" s="6" t="s">
        <v>246</v>
      </c>
      <c r="B16" s="43" t="s">
        <v>185</v>
      </c>
      <c r="C16" s="43" t="s">
        <v>186</v>
      </c>
      <c r="D16" s="43" t="s">
        <v>187</v>
      </c>
      <c r="E16" s="43" t="s">
        <v>188</v>
      </c>
      <c r="F16" s="43" t="s">
        <v>189</v>
      </c>
      <c r="G16" s="43" t="s">
        <v>8</v>
      </c>
      <c r="H16" s="425" t="s">
        <v>204</v>
      </c>
      <c r="I16" s="425" t="s">
        <v>191</v>
      </c>
      <c r="J16" s="425" t="s">
        <v>192</v>
      </c>
      <c r="K16" s="425" t="s">
        <v>1</v>
      </c>
      <c r="M16" s="424" t="s">
        <v>193</v>
      </c>
      <c r="N16" s="424" t="s">
        <v>194</v>
      </c>
      <c r="O16" s="552" t="s">
        <v>195</v>
      </c>
      <c r="P16" s="553"/>
      <c r="Q16" s="424" t="s">
        <v>196</v>
      </c>
      <c r="R16" s="424" t="s">
        <v>197</v>
      </c>
    </row>
    <row r="17" spans="1:19">
      <c r="A17" s="3" t="s">
        <v>205</v>
      </c>
      <c r="B17" s="102" t="s">
        <v>111</v>
      </c>
      <c r="C17" s="14">
        <f>SUM(COUNTIFS(Games_226[ATHLETE 2],Analysis_327[[#This Row],[Atheletes ]],Games_226[RESULT 12],Analysis_327[[#Headers],[WIN]]),COUNTIFS(Games_226[ATHLETE 4],Analysis_327[[#This Row],[Atheletes ]],Games_226[RESULT 34],Analysis_327[[#Headers],[WIN]]))</f>
        <v>1</v>
      </c>
      <c r="D17" s="14">
        <f>SUM(COUNTIFS(Games_226[ATHLETE 2],Analysis_327[[#This Row],[Atheletes ]],Games_226[RESULT 12],Analysis_327[[#Headers],[LOSE]]),COUNTIFS(Games_226[ATHLETE 4],Analysis_327[[#This Row],[Atheletes ]],Games_226[RESULT 34],Analysis_327[[#Headers],[LOSE]]))</f>
        <v>2</v>
      </c>
      <c r="E17" s="46">
        <f>SUM(SUMIF(Games_226[ATHLETE 2],Analysis_327[[#This Row],[Atheletes ]],Games_226[SALDO 12]),SUMIF(Games_226[ATHLETE 4],Analysis_327[[#This Row],[Atheletes ]],Games_226[SALDO 34]))</f>
        <v>-11</v>
      </c>
      <c r="F17" s="46">
        <f>SUM(SUMIF(Games_226[ATHLETE 2],Analysis_327[[#This Row],[Atheletes ]],Games_226[PM 12]),SUMIF(Games_226[ATHLETE 4],Analysis_327[[#This Row],[Atheletes ]],Games_226[PM 34]))</f>
        <v>40</v>
      </c>
      <c r="G17" s="430" t="str">
        <f>IF(COUNTBLANK(Games_226[[SCORE 1]:[SCORE 2]])=0,IF(RANK(H17,$H$17:$H$20)=1,RANK(H17,$H$17:$H$20)&amp;"st",IF(RANK(H17,$H$17:$H$20)=2,RANK(H17,$H$17:$H$20)&amp;"nd",IF(RANK(H17,$H$17:$H$20)=3,RANK(H17,$H$17:$H$20)&amp;"rd",RANK(H17,$H$17:$H$20)&amp;"th"))),"")</f>
        <v>3rd</v>
      </c>
      <c r="H17" s="51">
        <f>Analysis_327[[#This Row],[WIN]]*1000000+Analysis_327[[#This Row],[Saldo]]*1000+Analysis_327[[#This Row],[PM]]</f>
        <v>989040</v>
      </c>
      <c r="I17" s="51">
        <f>H17</f>
        <v>989040</v>
      </c>
      <c r="J17" s="2" t="str">
        <f>IF(RANK(I17,$I$17:$I$24)=1,RANK(I17,$I$17:$I$24)&amp;"st",IF(RANK(I17,$I$17:$I$24)=2,RANK(I17,$I$17:$I$24)&amp;"nd",IF(RANK(I17,$I$17:$I$24)=3,RANK(I17,$I$17:$I$24)&amp;"rd",RANK(I17,$I$17:$I$24)&amp;"th")))</f>
        <v>6th</v>
      </c>
      <c r="K17" s="51" t="str">
        <f>Analysis_327[[#This Row],[Atheletes ]]</f>
        <v>Paula Constantino</v>
      </c>
      <c r="M17" s="432" t="str">
        <f>_xlfn.XLOOKUP($U$3,Analysis_327[Rank],Analysis_327[[Atheletes ]],"")</f>
        <v>Marie</v>
      </c>
      <c r="N17" s="115" t="str">
        <f>B28</f>
        <v>Mariana Meireles</v>
      </c>
      <c r="O17" s="99">
        <v>16</v>
      </c>
      <c r="P17" s="98">
        <v>18</v>
      </c>
      <c r="Q17" s="432" t="str">
        <f>_xlfn.XLOOKUP($U$3,Analysis_429[Rank],Analysis_429[[Atheletes ]],"")</f>
        <v>Stephanie</v>
      </c>
      <c r="R17" s="115" t="str">
        <f>B19</f>
        <v>Michelly</v>
      </c>
    </row>
    <row r="18" spans="1:19">
      <c r="A18" s="3" t="s">
        <v>206</v>
      </c>
      <c r="B18" s="102" t="s">
        <v>105</v>
      </c>
      <c r="C18" s="14">
        <f>SUM(COUNTIFS(Games_226[ATHLETE 2],Analysis_327[[#This Row],[Atheletes ]],Games_226[RESULT 12],Analysis_327[[#Headers],[WIN]]),COUNTIFS(Games_226[ATHLETE 4],Analysis_327[[#This Row],[Atheletes ]],Games_226[RESULT 34],Analysis_327[[#Headers],[WIN]]))</f>
        <v>0</v>
      </c>
      <c r="D18" s="14">
        <f>SUM(COUNTIFS(Games_226[ATHLETE 2],Analysis_327[[#This Row],[Atheletes ]],Games_226[RESULT 12],Analysis_327[[#Headers],[LOSE]]),COUNTIFS(Games_226[ATHLETE 4],Analysis_327[[#This Row],[Atheletes ]],Games_226[RESULT 34],Analysis_327[[#Headers],[LOSE]]))</f>
        <v>3</v>
      </c>
      <c r="E18" s="46">
        <f>SUM(SUMIF(Games_226[ATHLETE 2],Analysis_327[[#This Row],[Atheletes ]],Games_226[SALDO 12]),SUMIF(Games_226[ATHLETE 4],Analysis_327[[#This Row],[Atheletes ]],Games_226[SALDO 34]))</f>
        <v>-10</v>
      </c>
      <c r="F18" s="46">
        <f>SUM(SUMIF(Games_226[ATHLETE 2],Analysis_327[[#This Row],[Atheletes ]],Games_226[PM 12]),SUMIF(Games_226[ATHLETE 4],Analysis_327[[#This Row],[Atheletes ]],Games_226[PM 34]))</f>
        <v>44</v>
      </c>
      <c r="G18" s="430" t="str">
        <f>IF(COUNTBLANK(Games_226[[SCORE 1]:[SCORE 2]])=0,IF(RANK(H18,$H$17:$H$20)=1,RANK(H18,$H$17:$H$20)&amp;"st",IF(RANK(H18,$H$17:$H$20)=2,RANK(H18,$H$17:$H$20)&amp;"nd",IF(RANK(H18,$H$17:$H$20)=3,RANK(H18,$H$17:$H$20)&amp;"rd",RANK(H18,$H$17:$H$20)&amp;"th"))),"")</f>
        <v>4th</v>
      </c>
      <c r="H18" s="51">
        <f>Analysis_327[[#This Row],[WIN]]*1000000+Analysis_327[[#This Row],[Saldo]]*1000+Analysis_327[[#This Row],[PM]]</f>
        <v>-9956</v>
      </c>
      <c r="I18" s="51">
        <f t="shared" ref="I18:I20" si="0">H18</f>
        <v>-9956</v>
      </c>
      <c r="J18" s="2" t="str">
        <f t="shared" ref="J18:J24" si="1">IF(RANK(I18,$I$17:$I$24)=1,RANK(I18,$I$17:$I$24)&amp;"st",IF(RANK(I18,$I$17:$I$24)=2,RANK(I18,$I$17:$I$24)&amp;"nd",IF(RANK(I18,$I$17:$I$24)=3,RANK(I18,$I$17:$I$24)&amp;"rd",RANK(I18,$I$17:$I$24)&amp;"th")))</f>
        <v>7th</v>
      </c>
      <c r="K18" s="51" t="str">
        <f>Analysis_327[[#This Row],[Atheletes ]]</f>
        <v>Nati</v>
      </c>
      <c r="M18" s="50" t="str">
        <f>IF(OR($O$17="",$P$17=""),"",IF($O$18="win",$U$3,$U$4))</f>
        <v>2nd</v>
      </c>
      <c r="O18" s="2" t="str">
        <f>IF(OR(O17="",P17=""),"",IF((O17&gt;P17),"WIN","LOSE"))</f>
        <v>LOSE</v>
      </c>
      <c r="P18" s="2" t="str">
        <f>IF(OR(O17="",P17=""),"",IF((O17&lt;P17),"WIN","LOSE"))</f>
        <v>WIN</v>
      </c>
      <c r="Q18" s="50" t="str">
        <f>IF(OR($O$17="",$P$17=""),"",IF($P$18="win",$U$3,$U$4))</f>
        <v>1st</v>
      </c>
      <c r="S18" s="47"/>
    </row>
    <row r="19" spans="1:19" ht="15.95">
      <c r="A19" s="5" t="s">
        <v>207</v>
      </c>
      <c r="B19" s="102" t="s">
        <v>109</v>
      </c>
      <c r="C19" s="14">
        <f>SUM(COUNTIFS(Games_226[ATHLETE 2],Analysis_327[[#This Row],[Atheletes ]],Games_226[RESULT 12],Analysis_327[[#Headers],[WIN]]),COUNTIFS(Games_226[ATHLETE 4],Analysis_327[[#This Row],[Atheletes ]],Games_226[RESULT 34],Analysis_327[[#Headers],[WIN]]))</f>
        <v>2</v>
      </c>
      <c r="D19" s="14">
        <f>SUM(COUNTIFS(Games_226[ATHLETE 2],Analysis_327[[#This Row],[Atheletes ]],Games_226[RESULT 12],Analysis_327[[#Headers],[LOSE]]),COUNTIFS(Games_226[ATHLETE 4],Analysis_327[[#This Row],[Atheletes ]],Games_226[RESULT 34],Analysis_327[[#Headers],[LOSE]]))</f>
        <v>1</v>
      </c>
      <c r="E19" s="46">
        <f>SUM(SUMIF(Games_226[ATHLETE 2],Analysis_327[[#This Row],[Atheletes ]],Games_226[SALDO 12]),SUMIF(Games_226[ATHLETE 4],Analysis_327[[#This Row],[Atheletes ]],Games_226[SALDO 34]))</f>
        <v>8</v>
      </c>
      <c r="F19" s="46">
        <f>SUM(SUMIF(Games_226[ATHLETE 2],Analysis_327[[#This Row],[Atheletes ]],Games_226[PM 12]),SUMIF(Games_226[ATHLETE 4],Analysis_327[[#This Row],[Atheletes ]],Games_226[PM 34]))</f>
        <v>48</v>
      </c>
      <c r="G19" s="430" t="str">
        <f>IF(COUNTBLANK(Games_226[[SCORE 1]:[SCORE 2]])=0,IF(RANK(H19,$H$17:$H$20)=1,RANK(H19,$H$17:$H$20)&amp;"st",IF(RANK(H19,$H$17:$H$20)=2,RANK(H19,$H$17:$H$20)&amp;"nd",IF(RANK(H19,$H$17:$H$20)=3,RANK(H19,$H$17:$H$20)&amp;"rd",RANK(H19,$H$17:$H$20)&amp;"th"))),"")</f>
        <v>2nd</v>
      </c>
      <c r="H19" s="51">
        <f>Analysis_327[[#This Row],[WIN]]*1000000+Analysis_327[[#This Row],[Saldo]]*1000+Analysis_327[[#This Row],[PM]]</f>
        <v>2008048</v>
      </c>
      <c r="I19" s="51">
        <f t="shared" si="0"/>
        <v>2008048</v>
      </c>
      <c r="J19" s="2" t="str">
        <f t="shared" si="1"/>
        <v>3rd</v>
      </c>
      <c r="K19" s="51" t="str">
        <f>Analysis_327[[#This Row],[Atheletes ]]</f>
        <v>Michelly</v>
      </c>
    </row>
    <row r="20" spans="1:19">
      <c r="A20" s="3" t="s">
        <v>208</v>
      </c>
      <c r="B20" s="102" t="s">
        <v>101</v>
      </c>
      <c r="C20" s="14">
        <f>SUM(COUNTIFS(Games_226[ATHLETE 2],Analysis_327[[#This Row],[Atheletes ]],Games_226[RESULT 12],Analysis_327[[#Headers],[WIN]]),COUNTIFS(Games_226[ATHLETE 4],Analysis_327[[#This Row],[Atheletes ]],Games_226[RESULT 34],Analysis_327[[#Headers],[WIN]]))</f>
        <v>3</v>
      </c>
      <c r="D20" s="14">
        <f>SUM(COUNTIFS(Games_226[ATHLETE 2],Analysis_327[[#This Row],[Atheletes ]],Games_226[RESULT 12],Analysis_327[[#Headers],[LOSE]]),COUNTIFS(Games_226[ATHLETE 4],Analysis_327[[#This Row],[Atheletes ]],Games_226[RESULT 34],Analysis_327[[#Headers],[LOSE]]))</f>
        <v>0</v>
      </c>
      <c r="E20" s="46">
        <f>SUM(SUMIF(Games_226[ATHLETE 2],Analysis_327[[#This Row],[Atheletes ]],Games_226[SALDO 12]),SUMIF(Games_226[ATHLETE 4],Analysis_327[[#This Row],[Atheletes ]],Games_226[SALDO 34]))</f>
        <v>13</v>
      </c>
      <c r="F20" s="46">
        <f>SUM(SUMIF(Games_226[ATHLETE 2],Analysis_327[[#This Row],[Atheletes ]],Games_226[PM 12]),SUMIF(Games_226[ATHLETE 4],Analysis_327[[#This Row],[Atheletes ]],Games_226[PM 34]))</f>
        <v>54</v>
      </c>
      <c r="G20" s="430" t="str">
        <f>IF(COUNTBLANK(Games_226[[SCORE 1]:[SCORE 2]])=0,IF(RANK(H20,$H$17:$H$20)=1,RANK(H20,$H$17:$H$20)&amp;"st",IF(RANK(H20,$H$17:$H$20)=2,RANK(H20,$H$17:$H$20)&amp;"nd",IF(RANK(H20,$H$17:$H$20)=3,RANK(H20,$H$17:$H$20)&amp;"rd",RANK(H20,$H$17:$H$20)&amp;"th"))),"")</f>
        <v>1st</v>
      </c>
      <c r="H20" s="51">
        <f>Analysis_327[[#This Row],[WIN]]*1000000+Analysis_327[[#This Row],[Saldo]]*1000+Analysis_327[[#This Row],[PM]]</f>
        <v>3013054</v>
      </c>
      <c r="I20" s="51">
        <f t="shared" si="0"/>
        <v>3013054</v>
      </c>
      <c r="J20" s="2" t="str">
        <f t="shared" si="1"/>
        <v>1st</v>
      </c>
      <c r="K20" s="51" t="str">
        <f>Analysis_327[[#This Row],[Atheletes ]]</f>
        <v>Marie</v>
      </c>
    </row>
    <row r="21" spans="1:19">
      <c r="A21" s="2" t="s">
        <v>247</v>
      </c>
      <c r="B21" s="113" t="s">
        <v>248</v>
      </c>
      <c r="C21" s="11" t="s">
        <v>249</v>
      </c>
      <c r="D21" s="11" t="s">
        <v>249</v>
      </c>
      <c r="E21" s="11" t="s">
        <v>249</v>
      </c>
      <c r="F21" s="11" t="s">
        <v>249</v>
      </c>
      <c r="G21" s="11" t="s">
        <v>249</v>
      </c>
      <c r="H21" s="51" t="s">
        <v>249</v>
      </c>
      <c r="I21" s="51">
        <f>H25</f>
        <v>-17962</v>
      </c>
      <c r="J21" s="2" t="str">
        <f t="shared" si="1"/>
        <v>8th</v>
      </c>
      <c r="K21" s="51" t="str">
        <f>B25</f>
        <v>Priscilla Jung</v>
      </c>
    </row>
    <row r="22" spans="1:19" ht="28.5" customHeight="1">
      <c r="A22" s="2" t="s">
        <v>250</v>
      </c>
      <c r="B22" s="113" t="s">
        <v>251</v>
      </c>
      <c r="C22" s="11" t="s">
        <v>249</v>
      </c>
      <c r="D22" s="11" t="s">
        <v>249</v>
      </c>
      <c r="E22" s="11" t="s">
        <v>249</v>
      </c>
      <c r="F22" s="11" t="s">
        <v>249</v>
      </c>
      <c r="G22" s="11" t="s">
        <v>249</v>
      </c>
      <c r="H22" s="51" t="s">
        <v>249</v>
      </c>
      <c r="I22" s="51">
        <f t="shared" ref="I22:I24" si="2">H26</f>
        <v>2002047</v>
      </c>
      <c r="J22" s="2" t="str">
        <f t="shared" si="1"/>
        <v>5th</v>
      </c>
      <c r="K22" s="51" t="str">
        <f t="shared" ref="K22:K24" si="3">B26</f>
        <v>Mariana Venâncio</v>
      </c>
    </row>
    <row r="23" spans="1:19">
      <c r="I23" s="51">
        <f t="shared" si="2"/>
        <v>2009046</v>
      </c>
      <c r="J23" s="2" t="str">
        <f t="shared" si="1"/>
        <v>2nd</v>
      </c>
      <c r="K23" s="51" t="str">
        <f t="shared" si="3"/>
        <v>Stephanie</v>
      </c>
    </row>
    <row r="24" spans="1:19" ht="15.95">
      <c r="A24" s="110" t="s">
        <v>246</v>
      </c>
      <c r="B24" s="43" t="s">
        <v>185</v>
      </c>
      <c r="C24" s="43" t="s">
        <v>186</v>
      </c>
      <c r="D24" s="43" t="s">
        <v>187</v>
      </c>
      <c r="E24" s="43" t="s">
        <v>188</v>
      </c>
      <c r="F24" s="43" t="s">
        <v>189</v>
      </c>
      <c r="G24" s="419" t="s">
        <v>8</v>
      </c>
      <c r="H24" s="419" t="s">
        <v>204</v>
      </c>
      <c r="I24" s="51">
        <f t="shared" si="2"/>
        <v>2007045</v>
      </c>
      <c r="J24" s="2" t="str">
        <f t="shared" si="1"/>
        <v>4th</v>
      </c>
      <c r="K24" s="51" t="str">
        <f t="shared" si="3"/>
        <v>Mariana Meireles</v>
      </c>
    </row>
    <row r="25" spans="1:19">
      <c r="A25" s="96" t="s">
        <v>209</v>
      </c>
      <c r="B25" s="102" t="s">
        <v>115</v>
      </c>
      <c r="C25" s="14">
        <f>SUM(COUNTIFS(Games_226[ATHLETE 2],Analysis_429[[#This Row],[Atheletes ]],Games_226[RESULT 12],Analysis_327[[#Headers],[WIN]]),COUNTIFS(Games_226[ATHLETE 4],Analysis_429[[#This Row],[Atheletes ]],Games_226[RESULT 34],Analysis_327[[#Headers],[WIN]]))</f>
        <v>0</v>
      </c>
      <c r="D25" s="14">
        <f>SUM(COUNTIFS(Games_226[ATHLETE 2],Analysis_429[[#This Row],[Atheletes ]],Games_226[RESULT 12],Analysis_327[[#Headers],[LOSE]]),COUNTIFS(Games_226[ATHLETE 4],Analysis_429[[#This Row],[Atheletes ]],Games_226[RESULT 34],Analysis_327[[#Headers],[LOSE]]))</f>
        <v>3</v>
      </c>
      <c r="E25" s="46">
        <f>SUM(SUMIF(Games_226[ATHLETE 2],Analysis_429[[#This Row],[Atheletes ]],Games_226[SALDO 12]),SUMIF(Games_226[ATHLETE 4],Analysis_429[[#This Row],[Atheletes ]],Games_226[SALDO 34]))</f>
        <v>-18</v>
      </c>
      <c r="F25" s="46">
        <f>SUM(SUMIF(Games_226[ATHLETE 2],Analysis_429[[#This Row],[Atheletes ]],Games_226[PM 12]),SUMIF(Games_226[ATHLETE 4],Analysis_429[[#This Row],[Atheletes ]],Games_226[PM 34]))</f>
        <v>38</v>
      </c>
      <c r="G25" s="430" t="str">
        <f>IF(COUNTBLANK(Games_226[[SCORE 1]:[SCORE 2]])=0,IF(RANK(H25,$H$25:$H$28)=1,RANK(H25,$H$25:$H$28)&amp;"st",IF(RANK(H25,$H$25:$H$28)=2,RANK(H25,$H$25:$H$28)&amp;"nd",IF(RANK(H25,$H$25:$H$28)=3,RANK(H25,$H$25:$H$28)&amp;"rd",RANK(H25,$H$25:$H$28)&amp;"th"))),"")</f>
        <v>4th</v>
      </c>
      <c r="H25" s="51">
        <f>Analysis_429[[#This Row],[WIN]]*1000000+Analysis_429[[#This Row],[Saldo]]*1000+Analysis_429[[#This Row],[PM]]</f>
        <v>-17962</v>
      </c>
    </row>
    <row r="26" spans="1:19">
      <c r="A26" s="430" t="s">
        <v>210</v>
      </c>
      <c r="B26" s="102" t="s">
        <v>110</v>
      </c>
      <c r="C26" s="14">
        <f>SUM(COUNTIFS(Games_226[ATHLETE 2],Analysis_429[[#This Row],[Atheletes ]],Games_226[RESULT 12],Analysis_327[[#Headers],[WIN]]),COUNTIFS(Games_226[ATHLETE 4],Analysis_429[[#This Row],[Atheletes ]],Games_226[RESULT 34],Analysis_327[[#Headers],[WIN]]))</f>
        <v>2</v>
      </c>
      <c r="D26" s="14">
        <f>SUM(COUNTIFS(Games_226[ATHLETE 2],Analysis_429[[#This Row],[Atheletes ]],Games_226[RESULT 12],Analysis_327[[#Headers],[LOSE]]),COUNTIFS(Games_226[ATHLETE 4],Analysis_429[[#This Row],[Atheletes ]],Games_226[RESULT 34],Analysis_327[[#Headers],[LOSE]]))</f>
        <v>1</v>
      </c>
      <c r="E26" s="46">
        <f>SUM(SUMIF(Games_226[ATHLETE 2],Analysis_429[[#This Row],[Atheletes ]],Games_226[SALDO 12]),SUMIF(Games_226[ATHLETE 4],Analysis_429[[#This Row],[Atheletes ]],Games_226[SALDO 34]))</f>
        <v>2</v>
      </c>
      <c r="F26" s="46">
        <f>SUM(SUMIF(Games_226[ATHLETE 2],Analysis_429[[#This Row],[Atheletes ]],Games_226[PM 12]),SUMIF(Games_226[ATHLETE 4],Analysis_429[[#This Row],[Atheletes ]],Games_226[PM 34]))</f>
        <v>47</v>
      </c>
      <c r="G26" s="430" t="str">
        <f>IF(COUNTBLANK(Games_226[[SCORE 1]:[SCORE 2]])=0,IF(RANK(H26,$H$25:$H$28)=1,RANK(H26,$H$25:$H$28)&amp;"st",IF(RANK(H26,$H$25:$H$28)=2,RANK(H26,$H$25:$H$28)&amp;"nd",IF(RANK(H26,$H$25:$H$28)=3,RANK(H26,$H$25:$H$28)&amp;"rd",RANK(H26,$H$25:$H$28)&amp;"th"))),"")</f>
        <v>3rd</v>
      </c>
      <c r="H26" s="51">
        <f>Analysis_429[[#This Row],[WIN]]*1000000+Analysis_429[[#This Row],[Saldo]]*1000+Analysis_429[[#This Row],[PM]]</f>
        <v>2002047</v>
      </c>
    </row>
    <row r="27" spans="1:19">
      <c r="A27" s="96" t="s">
        <v>211</v>
      </c>
      <c r="B27" s="102" t="s">
        <v>100</v>
      </c>
      <c r="C27" s="14">
        <f>SUM(COUNTIFS(Games_226[ATHLETE 2],Analysis_429[[#This Row],[Atheletes ]],Games_226[RESULT 12],Analysis_327[[#Headers],[WIN]]),COUNTIFS(Games_226[ATHLETE 4],Analysis_429[[#This Row],[Atheletes ]],Games_226[RESULT 34],Analysis_327[[#Headers],[WIN]]))</f>
        <v>2</v>
      </c>
      <c r="D27" s="14">
        <f>SUM(COUNTIFS(Games_226[ATHLETE 2],Analysis_429[[#This Row],[Atheletes ]],Games_226[RESULT 12],Analysis_327[[#Headers],[LOSE]]),COUNTIFS(Games_226[ATHLETE 4],Analysis_429[[#This Row],[Atheletes ]],Games_226[RESULT 34],Analysis_327[[#Headers],[LOSE]]))</f>
        <v>1</v>
      </c>
      <c r="E27" s="46">
        <f>SUM(SUMIF(Games_226[ATHLETE 2],Analysis_429[[#This Row],[Atheletes ]],Games_226[SALDO 12]),SUMIF(Games_226[ATHLETE 4],Analysis_429[[#This Row],[Atheletes ]],Games_226[SALDO 34]))</f>
        <v>9</v>
      </c>
      <c r="F27" s="46">
        <f>SUM(SUMIF(Games_226[ATHLETE 2],Analysis_429[[#This Row],[Atheletes ]],Games_226[PM 12]),SUMIF(Games_226[ATHLETE 4],Analysis_429[[#This Row],[Atheletes ]],Games_226[PM 34]))</f>
        <v>46</v>
      </c>
      <c r="G27" s="430" t="str">
        <f>IF(COUNTBLANK(Games_226[[SCORE 1]:[SCORE 2]])=0,IF(RANK(H27,$H$25:$H$28)=1,RANK(H27,$H$25:$H$28)&amp;"st",IF(RANK(H27,$H$25:$H$28)=2,RANK(H27,$H$25:$H$28)&amp;"nd",IF(RANK(H27,$H$25:$H$28)=3,RANK(H27,$H$25:$H$28)&amp;"rd",RANK(H27,$H$25:$H$28)&amp;"th"))),"")</f>
        <v>1st</v>
      </c>
      <c r="H27" s="51">
        <f>Analysis_429[[#This Row],[WIN]]*1000000+Analysis_429[[#This Row],[Saldo]]*1000+Analysis_429[[#This Row],[PM]]</f>
        <v>2009046</v>
      </c>
    </row>
    <row r="28" spans="1:19">
      <c r="A28" s="430" t="s">
        <v>212</v>
      </c>
      <c r="B28" s="102" t="s">
        <v>106</v>
      </c>
      <c r="C28" s="14">
        <f>SUM(COUNTIFS(Games_226[ATHLETE 2],Analysis_429[[#This Row],[Atheletes ]],Games_226[RESULT 12],Analysis_327[[#Headers],[WIN]]),COUNTIFS(Games_226[ATHLETE 4],Analysis_429[[#This Row],[Atheletes ]],Games_226[RESULT 34],Analysis_327[[#Headers],[WIN]]))</f>
        <v>2</v>
      </c>
      <c r="D28" s="14">
        <f>SUM(COUNTIFS(Games_226[ATHLETE 2],Analysis_429[[#This Row],[Atheletes ]],Games_226[RESULT 12],Analysis_327[[#Headers],[LOSE]]),COUNTIFS(Games_226[ATHLETE 4],Analysis_429[[#This Row],[Atheletes ]],Games_226[RESULT 34],Analysis_327[[#Headers],[LOSE]]))</f>
        <v>1</v>
      </c>
      <c r="E28" s="46">
        <f>SUM(SUMIF(Games_226[ATHLETE 2],Analysis_429[[#This Row],[Atheletes ]],Games_226[SALDO 12]),SUMIF(Games_226[ATHLETE 4],Analysis_429[[#This Row],[Atheletes ]],Games_226[SALDO 34]))</f>
        <v>7</v>
      </c>
      <c r="F28" s="46">
        <f>SUM(SUMIF(Games_226[ATHLETE 2],Analysis_429[[#This Row],[Atheletes ]],Games_226[PM 12]),SUMIF(Games_226[ATHLETE 4],Analysis_429[[#This Row],[Atheletes ]],Games_226[PM 34]))</f>
        <v>45</v>
      </c>
      <c r="G28" s="430" t="str">
        <f>IF(COUNTBLANK(Games_226[[SCORE 1]:[SCORE 2]])=0,IF(RANK(H28,$H$25:$H$28)=1,RANK(H28,$H$25:$H$28)&amp;"st",IF(RANK(H28,$H$25:$H$28)=2,RANK(H28,$H$25:$H$28)&amp;"nd",IF(RANK(H28,$H$25:$H$28)=3,RANK(H28,$H$25:$H$28)&amp;"rd",RANK(H28,$H$25:$H$28)&amp;"th"))),"")</f>
        <v>2nd</v>
      </c>
      <c r="H28" s="51">
        <f>Analysis_429[[#This Row],[WIN]]*1000000+Analysis_429[[#This Row],[Saldo]]*1000+Analysis_429[[#This Row],[PM]]</f>
        <v>2007045</v>
      </c>
    </row>
    <row r="29" spans="1:19">
      <c r="A29" s="96" t="s">
        <v>252</v>
      </c>
      <c r="B29" s="102" t="s">
        <v>253</v>
      </c>
      <c r="C29" s="109" t="s">
        <v>249</v>
      </c>
      <c r="D29" s="109" t="s">
        <v>249</v>
      </c>
      <c r="E29" s="109" t="s">
        <v>249</v>
      </c>
      <c r="F29" s="109" t="s">
        <v>249</v>
      </c>
      <c r="G29" s="109" t="s">
        <v>249</v>
      </c>
      <c r="H29" s="2" t="s">
        <v>249</v>
      </c>
    </row>
    <row r="30" spans="1:19">
      <c r="A30" s="430" t="s">
        <v>254</v>
      </c>
      <c r="B30" s="114" t="s">
        <v>255</v>
      </c>
      <c r="C30" s="109" t="s">
        <v>249</v>
      </c>
      <c r="D30" s="109" t="s">
        <v>249</v>
      </c>
      <c r="E30" s="109" t="s">
        <v>249</v>
      </c>
      <c r="F30" s="109" t="s">
        <v>249</v>
      </c>
      <c r="G30" s="109" t="s">
        <v>249</v>
      </c>
      <c r="H30" s="2" t="s">
        <v>249</v>
      </c>
    </row>
    <row r="31" spans="1:19" ht="15.95" thickBot="1"/>
    <row r="32" spans="1:19" ht="15.95" thickBot="1">
      <c r="A32" s="123" t="s">
        <v>218</v>
      </c>
      <c r="B32" s="124">
        <v>45757</v>
      </c>
      <c r="C32" s="44" t="s">
        <v>256</v>
      </c>
    </row>
  </sheetData>
  <sheetProtection algorithmName="SHA-512" hashValue="QiUMt/PxGip0qjd7vHLb8MRYcbh66SULOb9FB6IVkpOux44w6UK1d06ZKoibNBxUGs0bA0IWUIYCFagjRTcy0w==" saltValue="Xtb791Plas3+5zeUtZ2G3A==" spinCount="100000" sheet="1" objects="1" scenarios="1"/>
  <mergeCells count="5">
    <mergeCell ref="A1:A13"/>
    <mergeCell ref="T1:U1"/>
    <mergeCell ref="A15:G15"/>
    <mergeCell ref="M15:R15"/>
    <mergeCell ref="O16:P16"/>
  </mergeCells>
  <pageMargins left="0.7" right="0.7" top="0.75" bottom="0.75" header="0.3" footer="0.3"/>
  <pageSetup orientation="portrait" r:id="rId1"/>
  <legacyDrawing r:id="rId2"/>
  <tableParts count="4"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278E-A99D-F641-A5E2-65432CFCD218}">
  <sheetPr codeName="Sheet9"/>
  <dimension ref="A1:Y31"/>
  <sheetViews>
    <sheetView workbookViewId="0">
      <selection sqref="A1:I1"/>
    </sheetView>
    <sheetView workbookViewId="1">
      <selection sqref="A1:A7"/>
    </sheetView>
  </sheetViews>
  <sheetFormatPr defaultColWidth="8.85546875" defaultRowHeight="15"/>
  <cols>
    <col min="1" max="1" width="9.7109375" customWidth="1"/>
    <col min="2" max="2" width="12.28515625" bestFit="1" customWidth="1"/>
    <col min="3" max="4" width="20" customWidth="1"/>
    <col min="5" max="6" width="9.7109375" customWidth="1"/>
    <col min="7" max="7" width="14.140625" bestFit="1" customWidth="1"/>
    <col min="8" max="8" width="11.28515625" hidden="1" customWidth="1"/>
    <col min="9" max="9" width="12" hidden="1" customWidth="1"/>
    <col min="10" max="10" width="10.7109375" hidden="1" customWidth="1"/>
    <col min="11" max="11" width="8" hidden="1" customWidth="1"/>
    <col min="12" max="12" width="14.140625" bestFit="1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2.140625" bestFit="1" customWidth="1"/>
    <col min="21" max="22" width="9.7109375" bestFit="1" customWidth="1"/>
  </cols>
  <sheetData>
    <row r="1" spans="1:25" ht="15" customHeight="1">
      <c r="A1" s="551" t="s">
        <v>257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258</v>
      </c>
      <c r="U1" s="545"/>
    </row>
    <row r="2" spans="1:25" ht="15" customHeight="1">
      <c r="A2" s="551"/>
      <c r="B2" s="13" t="s">
        <v>178</v>
      </c>
      <c r="C2" s="1" t="str">
        <f>B11</f>
        <v>Paula</v>
      </c>
      <c r="D2" s="32" t="str">
        <f>B12</f>
        <v>Savanna</v>
      </c>
      <c r="E2" s="116">
        <v>6</v>
      </c>
      <c r="F2" s="116">
        <v>18</v>
      </c>
      <c r="G2" s="31" t="str">
        <f>B13</f>
        <v>Stephanie</v>
      </c>
      <c r="H2" s="63"/>
      <c r="I2" s="63"/>
      <c r="J2" s="63"/>
      <c r="K2" s="63"/>
      <c r="L2" s="16" t="str">
        <f>B14</f>
        <v>Bia Bertolini</v>
      </c>
      <c r="M2" s="13">
        <f>IF(OR(Table4101317251247545298684173122[[#This Row],[SCORE 1]]="",Table4101317251247545298684173122[[#This Row],[SCORE 2]]=""),"",Table4101317251247545298684173122[[#This Row],[SCORE 1]]-Table4101317251247545298684173122[[#This Row],[SCORE 2]])</f>
        <v>-12</v>
      </c>
      <c r="N2" s="13">
        <f>IF(OR(Table4101317251247545298684173122[[#This Row],[SCORE 1]]="",Table4101317251247545298684173122[[#This Row],[SCORE 2]]=""),"",Table4101317251247545298684173122[[#This Row],[SCORE 2]]-Table4101317251247545298684173122[[#This Row],[SCORE 1]])</f>
        <v>12</v>
      </c>
      <c r="O2" s="13">
        <f>IF(Table4101317251247545298684173122[[#This Row],[SCORE 1]]="","",Table4101317251247545298684173122[[#This Row],[SCORE 1]])</f>
        <v>6</v>
      </c>
      <c r="P2" s="13">
        <f>IF(Table4101317251247545298684173122[[#This Row],[SCORE 2]]="","",Table4101317251247545298684173122[[#This Row],[SCORE 2]])</f>
        <v>18</v>
      </c>
      <c r="Q2" s="13" t="str">
        <f>IF(OR(Table4101317251247545298684173122[[#This Row],[SCORE 1]]="",Table4101317251247545298684173122[[#This Row],[SCORE 2]]=""),"",IF(Table4101317251247545298684173122[[#This Row],[SALDO 12]]&gt;0, "WIN","LOSE"))</f>
        <v>LOSE</v>
      </c>
      <c r="R2" s="13" t="str">
        <f>IF(OR(Table4101317251247545298684173122[[#This Row],[SCORE 1]]="",Table4101317251247545298684173122[[#This Row],[SCORE 2]]=""),"",IF(Table4101317251247545298684173122[[#This Row],[SALDO 34]]&gt;0, "WIN","LOSE"))</f>
        <v>WIN</v>
      </c>
      <c r="T2" s="35" t="s">
        <v>179</v>
      </c>
      <c r="U2" s="35" t="s">
        <v>8</v>
      </c>
    </row>
    <row r="3" spans="1:25">
      <c r="A3" s="551"/>
      <c r="B3" s="13" t="s">
        <v>180</v>
      </c>
      <c r="C3" s="1" t="str">
        <f>B17</f>
        <v>Mariana Freitas</v>
      </c>
      <c r="D3" s="32" t="str">
        <f>B18</f>
        <v>Laura</v>
      </c>
      <c r="E3" s="116">
        <v>3</v>
      </c>
      <c r="F3" s="116">
        <v>18</v>
      </c>
      <c r="G3" s="31" t="str">
        <f>B19</f>
        <v>Huçana</v>
      </c>
      <c r="H3" s="63"/>
      <c r="I3" s="63"/>
      <c r="J3" s="63"/>
      <c r="K3" s="63"/>
      <c r="L3" s="16" t="str">
        <f>B20</f>
        <v>Marie</v>
      </c>
      <c r="M3" s="13">
        <f>IF(OR(Table4101317251247545298684173122[[#This Row],[SCORE 1]]="",Table4101317251247545298684173122[[#This Row],[SCORE 2]]=""),"",Table4101317251247545298684173122[[#This Row],[SCORE 1]]-Table4101317251247545298684173122[[#This Row],[SCORE 2]])</f>
        <v>-15</v>
      </c>
      <c r="N3" s="13">
        <f>IF(OR(Table4101317251247545298684173122[[#This Row],[SCORE 1]]="",Table4101317251247545298684173122[[#This Row],[SCORE 2]]=""),"",Table4101317251247545298684173122[[#This Row],[SCORE 2]]-Table4101317251247545298684173122[[#This Row],[SCORE 1]])</f>
        <v>15</v>
      </c>
      <c r="O3" s="13">
        <f>IF(Table4101317251247545298684173122[[#This Row],[SCORE 1]]="","",Table4101317251247545298684173122[[#This Row],[SCORE 1]])</f>
        <v>3</v>
      </c>
      <c r="P3" s="13">
        <f>IF(Table4101317251247545298684173122[[#This Row],[SCORE 2]]="","",Table4101317251247545298684173122[[#This Row],[SCORE 2]])</f>
        <v>18</v>
      </c>
      <c r="Q3" s="13" t="str">
        <f>IF(OR(Table4101317251247545298684173122[[#This Row],[SCORE 1]]="",Table4101317251247545298684173122[[#This Row],[SCORE 2]]=""),"",IF(Table4101317251247545298684173122[[#This Row],[SALDO 12]]&gt;0, "WIN","LOSE"))</f>
        <v>LOSE</v>
      </c>
      <c r="R3" s="13" t="str">
        <f>IF(OR(Table4101317251247545298684173122[[#This Row],[SCORE 1]]="",Table4101317251247545298684173122[[#This Row],[SCORE 2]]=""),"",IF(Table4101317251247545298684173122[[#This Row],[SALDO 34]]&gt;0, "WIN","LOSE"))</f>
        <v>WIN</v>
      </c>
      <c r="T3" s="70" t="str">
        <f>IFERROR(_xlfn.XLOOKUP(Table15202832506072101714577125[[#This Row],[Rank]],$M$30:$R$30,$M$29:$R$29),"")</f>
        <v>Stephanie</v>
      </c>
      <c r="U3" s="67" t="s">
        <v>19</v>
      </c>
    </row>
    <row r="4" spans="1:25">
      <c r="A4" s="551"/>
      <c r="B4" s="13" t="s">
        <v>178</v>
      </c>
      <c r="C4" s="1" t="str">
        <f>B11</f>
        <v>Paula</v>
      </c>
      <c r="D4" s="32" t="str">
        <f>B14</f>
        <v>Bia Bertolini</v>
      </c>
      <c r="E4" s="116">
        <v>14</v>
      </c>
      <c r="F4" s="116">
        <v>18</v>
      </c>
      <c r="G4" s="31" t="str">
        <f>B12</f>
        <v>Savanna</v>
      </c>
      <c r="H4" s="63"/>
      <c r="I4" s="63"/>
      <c r="J4" s="63"/>
      <c r="K4" s="63"/>
      <c r="L4" s="16" t="str">
        <f>B13</f>
        <v>Stephanie</v>
      </c>
      <c r="M4" s="13">
        <f>IF(OR(Table4101317251247545298684173122[[#This Row],[SCORE 1]]="",Table4101317251247545298684173122[[#This Row],[SCORE 2]]=""),"",Table4101317251247545298684173122[[#This Row],[SCORE 1]]-Table4101317251247545298684173122[[#This Row],[SCORE 2]])</f>
        <v>-4</v>
      </c>
      <c r="N4" s="13">
        <f>IF(OR(Table4101317251247545298684173122[[#This Row],[SCORE 1]]="",Table4101317251247545298684173122[[#This Row],[SCORE 2]]=""),"",Table4101317251247545298684173122[[#This Row],[SCORE 2]]-Table4101317251247545298684173122[[#This Row],[SCORE 1]])</f>
        <v>4</v>
      </c>
      <c r="O4" s="13">
        <f>IF(Table4101317251247545298684173122[[#This Row],[SCORE 1]]="","",Table4101317251247545298684173122[[#This Row],[SCORE 1]])</f>
        <v>14</v>
      </c>
      <c r="P4" s="13">
        <f>IF(Table4101317251247545298684173122[[#This Row],[SCORE 2]]="","",Table4101317251247545298684173122[[#This Row],[SCORE 2]])</f>
        <v>18</v>
      </c>
      <c r="Q4" s="13" t="str">
        <f>IF(OR(Table4101317251247545298684173122[[#This Row],[SCORE 1]]="",Table4101317251247545298684173122[[#This Row],[SCORE 2]]=""),"",IF(Table4101317251247545298684173122[[#This Row],[SALDO 12]]&gt;0, "WIN","LOSE"))</f>
        <v>LOSE</v>
      </c>
      <c r="R4" s="13" t="str">
        <f>IF(OR(Table4101317251247545298684173122[[#This Row],[SCORE 1]]="",Table4101317251247545298684173122[[#This Row],[SCORE 2]]=""),"",IF(Table4101317251247545298684173122[[#This Row],[SALDO 34]]&gt;0, "WIN","LOSE"))</f>
        <v>WIN</v>
      </c>
      <c r="T4" s="70" t="str">
        <f>IFERROR(_xlfn.XLOOKUP(Table15202832506072101714577125[[#This Row],[Rank]],$M$30:$R$30,$M$29:$R$29),"")</f>
        <v>Marie</v>
      </c>
      <c r="U4" s="67" t="s">
        <v>22</v>
      </c>
    </row>
    <row r="5" spans="1:25">
      <c r="A5" s="551"/>
      <c r="B5" s="13" t="s">
        <v>180</v>
      </c>
      <c r="C5" s="1" t="str">
        <f>B17</f>
        <v>Mariana Freitas</v>
      </c>
      <c r="D5" s="32" t="str">
        <f>B20</f>
        <v>Marie</v>
      </c>
      <c r="E5" s="116">
        <v>18</v>
      </c>
      <c r="F5" s="116">
        <v>14</v>
      </c>
      <c r="G5" s="31" t="str">
        <f>B18</f>
        <v>Laura</v>
      </c>
      <c r="H5" s="63"/>
      <c r="I5" s="63"/>
      <c r="J5" s="63"/>
      <c r="K5" s="63"/>
      <c r="L5" s="16" t="str">
        <f>B19</f>
        <v>Huçana</v>
      </c>
      <c r="M5" s="13">
        <f>IF(OR(Table4101317251247545298684173122[[#This Row],[SCORE 1]]="",Table4101317251247545298684173122[[#This Row],[SCORE 2]]=""),"",Table4101317251247545298684173122[[#This Row],[SCORE 1]]-Table4101317251247545298684173122[[#This Row],[SCORE 2]])</f>
        <v>4</v>
      </c>
      <c r="N5" s="13">
        <f>IF(OR(Table4101317251247545298684173122[[#This Row],[SCORE 1]]="",Table4101317251247545298684173122[[#This Row],[SCORE 2]]=""),"",Table4101317251247545298684173122[[#This Row],[SCORE 2]]-Table4101317251247545298684173122[[#This Row],[SCORE 1]])</f>
        <v>-4</v>
      </c>
      <c r="O5" s="13">
        <f>IF(Table4101317251247545298684173122[[#This Row],[SCORE 1]]="","",Table4101317251247545298684173122[[#This Row],[SCORE 1]])</f>
        <v>18</v>
      </c>
      <c r="P5" s="13">
        <f>IF(Table4101317251247545298684173122[[#This Row],[SCORE 2]]="","",Table4101317251247545298684173122[[#This Row],[SCORE 2]])</f>
        <v>14</v>
      </c>
      <c r="Q5" s="13" t="str">
        <f>IF(OR(Table4101317251247545298684173122[[#This Row],[SCORE 1]]="",Table4101317251247545298684173122[[#This Row],[SCORE 2]]=""),"",IF(Table4101317251247545298684173122[[#This Row],[SALDO 12]]&gt;0, "WIN","LOSE"))</f>
        <v>WIN</v>
      </c>
      <c r="R5" s="13" t="str">
        <f>IF(OR(Table4101317251247545298684173122[[#This Row],[SCORE 1]]="",Table4101317251247545298684173122[[#This Row],[SCORE 2]]=""),"",IF(Table4101317251247545298684173122[[#This Row],[SALDO 34]]&gt;0, "WIN","LOSE"))</f>
        <v>LOSE</v>
      </c>
      <c r="T5" s="70" t="str">
        <f>IFERROR(_xlfn.XLOOKUP(Table15202832506072101714577125[[#This Row],[Rank]],$M$23:$R$23,$M$22:$R$22),"")</f>
        <v>Huçana</v>
      </c>
      <c r="U5" s="67" t="s">
        <v>25</v>
      </c>
    </row>
    <row r="6" spans="1:25">
      <c r="A6" s="551"/>
      <c r="B6" s="13" t="s">
        <v>178</v>
      </c>
      <c r="C6" s="1" t="str">
        <f>B11</f>
        <v>Paula</v>
      </c>
      <c r="D6" s="32" t="str">
        <f>B13</f>
        <v>Stephanie</v>
      </c>
      <c r="E6" s="116">
        <v>18</v>
      </c>
      <c r="F6" s="116">
        <v>10</v>
      </c>
      <c r="G6" s="31" t="str">
        <f>B14</f>
        <v>Bia Bertolini</v>
      </c>
      <c r="H6" s="63"/>
      <c r="I6" s="63"/>
      <c r="J6" s="63"/>
      <c r="K6" s="63"/>
      <c r="L6" s="16" t="str">
        <f>B12</f>
        <v>Savanna</v>
      </c>
      <c r="M6" s="13">
        <f>IF(OR(Table4101317251247545298684173122[[#This Row],[SCORE 1]]="",Table4101317251247545298684173122[[#This Row],[SCORE 2]]=""),"",Table4101317251247545298684173122[[#This Row],[SCORE 1]]-Table4101317251247545298684173122[[#This Row],[SCORE 2]])</f>
        <v>8</v>
      </c>
      <c r="N6" s="13">
        <f>IF(OR(Table4101317251247545298684173122[[#This Row],[SCORE 1]]="",Table4101317251247545298684173122[[#This Row],[SCORE 2]]=""),"",Table4101317251247545298684173122[[#This Row],[SCORE 2]]-Table4101317251247545298684173122[[#This Row],[SCORE 1]])</f>
        <v>-8</v>
      </c>
      <c r="O6" s="13">
        <f>IF(Table4101317251247545298684173122[[#This Row],[SCORE 1]]="","",Table4101317251247545298684173122[[#This Row],[SCORE 1]])</f>
        <v>18</v>
      </c>
      <c r="P6" s="13">
        <f>IF(Table4101317251247545298684173122[[#This Row],[SCORE 2]]="","",Table4101317251247545298684173122[[#This Row],[SCORE 2]])</f>
        <v>10</v>
      </c>
      <c r="Q6" s="13" t="str">
        <f>IF(OR(Table4101317251247545298684173122[[#This Row],[SCORE 1]]="",Table4101317251247545298684173122[[#This Row],[SCORE 2]]=""),"",IF(Table4101317251247545298684173122[[#This Row],[SALDO 12]]&gt;0, "WIN","LOSE"))</f>
        <v>WIN</v>
      </c>
      <c r="R6" s="13" t="str">
        <f>IF(OR(Table4101317251247545298684173122[[#This Row],[SCORE 1]]="",Table4101317251247545298684173122[[#This Row],[SCORE 2]]=""),"",IF(Table4101317251247545298684173122[[#This Row],[SALDO 34]]&gt;0, "WIN","LOSE"))</f>
        <v>LOSE</v>
      </c>
      <c r="T6" s="70" t="str">
        <f>IFERROR(_xlfn.XLOOKUP(Table15202832506072101714577125[[#This Row],[Rank]],$M$23:$R$23,$M$22:$R$22),"")</f>
        <v>Bia Bertolini</v>
      </c>
      <c r="U6" s="67" t="s">
        <v>28</v>
      </c>
    </row>
    <row r="7" spans="1:25">
      <c r="A7" s="551"/>
      <c r="B7" s="13" t="s">
        <v>180</v>
      </c>
      <c r="C7" s="1" t="str">
        <f>B17</f>
        <v>Mariana Freitas</v>
      </c>
      <c r="D7" s="32" t="str">
        <f>B19</f>
        <v>Huçana</v>
      </c>
      <c r="E7" s="116">
        <v>8</v>
      </c>
      <c r="F7" s="116">
        <v>18</v>
      </c>
      <c r="G7" s="31" t="str">
        <f>B20</f>
        <v>Marie</v>
      </c>
      <c r="H7" s="63"/>
      <c r="I7" s="63"/>
      <c r="J7" s="63"/>
      <c r="K7" s="63"/>
      <c r="L7" s="16" t="str">
        <f>B18</f>
        <v>Laura</v>
      </c>
      <c r="M7" s="13">
        <f>IF(OR(Table4101317251247545298684173122[[#This Row],[SCORE 1]]="",Table4101317251247545298684173122[[#This Row],[SCORE 2]]=""),"",Table4101317251247545298684173122[[#This Row],[SCORE 1]]-Table4101317251247545298684173122[[#This Row],[SCORE 2]])</f>
        <v>-10</v>
      </c>
      <c r="N7" s="13">
        <f>IF(OR(Table4101317251247545298684173122[[#This Row],[SCORE 1]]="",Table4101317251247545298684173122[[#This Row],[SCORE 2]]=""),"",Table4101317251247545298684173122[[#This Row],[SCORE 2]]-Table4101317251247545298684173122[[#This Row],[SCORE 1]])</f>
        <v>10</v>
      </c>
      <c r="O7" s="13">
        <f>IF(Table4101317251247545298684173122[[#This Row],[SCORE 1]]="","",Table4101317251247545298684173122[[#This Row],[SCORE 1]])</f>
        <v>8</v>
      </c>
      <c r="P7" s="13">
        <f>IF(Table4101317251247545298684173122[[#This Row],[SCORE 2]]="","",Table4101317251247545298684173122[[#This Row],[SCORE 2]])</f>
        <v>18</v>
      </c>
      <c r="Q7" s="13" t="str">
        <f>IF(OR(Table4101317251247545298684173122[[#This Row],[SCORE 1]]="",Table4101317251247545298684173122[[#This Row],[SCORE 2]]=""),"",IF(Table4101317251247545298684173122[[#This Row],[SALDO 12]]&gt;0, "WIN","LOSE"))</f>
        <v>LOSE</v>
      </c>
      <c r="R7" s="13" t="str">
        <f>IF(OR(Table4101317251247545298684173122[[#This Row],[SCORE 1]]="",Table4101317251247545298684173122[[#This Row],[SCORE 2]]=""),"",IF(Table4101317251247545298684173122[[#This Row],[SALDO 34]]&gt;0, "WIN","LOSE"))</f>
        <v>WIN</v>
      </c>
      <c r="T7" s="70" t="str">
        <f>IF($O$12="lose",$M$11,_xlfn.XLOOKUP(Table15202832506072101714577125[[#This Row],[Rank]],$M$17:$R$17,$M$16:$R$16,""))</f>
        <v>Paula</v>
      </c>
      <c r="U7" s="67" t="s">
        <v>31</v>
      </c>
    </row>
    <row r="8" spans="1:25" ht="30" customHeight="1">
      <c r="T8" s="70" t="str">
        <f>IF($O$12="lose",$N$11,_xlfn.XLOOKUP(Table15202832506072101714577125[[#This Row],[Rank]],$M$17:$R$17,$M$16:$R$16,""))</f>
        <v>Laura</v>
      </c>
      <c r="U8" s="67" t="s">
        <v>34</v>
      </c>
    </row>
    <row r="9" spans="1:25" ht="30" customHeight="1">
      <c r="A9" s="546" t="s">
        <v>182</v>
      </c>
      <c r="B9" s="547"/>
      <c r="C9" s="547"/>
      <c r="D9" s="547"/>
      <c r="E9" s="547"/>
      <c r="F9" s="547"/>
      <c r="G9" s="547"/>
      <c r="H9" s="420"/>
      <c r="I9" s="420"/>
      <c r="J9" s="420"/>
      <c r="K9" s="420"/>
      <c r="M9" s="548" t="s">
        <v>183</v>
      </c>
      <c r="N9" s="549"/>
      <c r="O9" s="549"/>
      <c r="P9" s="549"/>
      <c r="Q9" s="549"/>
      <c r="R9" s="549"/>
      <c r="T9" s="70" t="str">
        <f>IF($P$12="lose",$Q$11,_xlfn.XLOOKUP(Table15202832506072101714577125[[#This Row],[Rank]],$M$17:$R$17,$M$16:$R$16,""))</f>
        <v>Savanna</v>
      </c>
      <c r="U9" s="67" t="s">
        <v>37</v>
      </c>
    </row>
    <row r="10" spans="1:25" ht="15.95">
      <c r="A10" s="6" t="s">
        <v>184</v>
      </c>
      <c r="B10" s="7" t="s">
        <v>203</v>
      </c>
      <c r="C10" s="7" t="s">
        <v>186</v>
      </c>
      <c r="D10" s="7" t="s">
        <v>187</v>
      </c>
      <c r="E10" s="7" t="s">
        <v>188</v>
      </c>
      <c r="F10" s="7" t="s">
        <v>189</v>
      </c>
      <c r="G10" s="7" t="s">
        <v>8</v>
      </c>
      <c r="H10" s="80" t="s">
        <v>204</v>
      </c>
      <c r="I10" s="20" t="s">
        <v>191</v>
      </c>
      <c r="J10" s="20" t="s">
        <v>192</v>
      </c>
      <c r="K10" s="20" t="s">
        <v>1</v>
      </c>
      <c r="L10" s="20" t="s">
        <v>192</v>
      </c>
      <c r="M10" s="418" t="s">
        <v>193</v>
      </c>
      <c r="N10" s="418" t="s">
        <v>194</v>
      </c>
      <c r="O10" s="542" t="s">
        <v>195</v>
      </c>
      <c r="P10" s="543"/>
      <c r="Q10" s="418" t="s">
        <v>196</v>
      </c>
      <c r="R10" s="418" t="s">
        <v>197</v>
      </c>
      <c r="T10" s="70" t="str">
        <f>IF($P$12="lose",$R$11,_xlfn.XLOOKUP(Table15202832506072101714577125[[#This Row],[Rank]],$M$17:$R$17,$M$16:$R$16,""))</f>
        <v>Mariana Freitas</v>
      </c>
      <c r="U10" s="67" t="s">
        <v>41</v>
      </c>
    </row>
    <row r="11" spans="1:25">
      <c r="A11" s="4" t="s">
        <v>205</v>
      </c>
      <c r="B11" s="118" t="s">
        <v>104</v>
      </c>
      <c r="C11" s="14">
        <f>SUM(COUNTIFS(Table4101317251247545298684173122[ATHLETE 1],Table36111418263048555399694375123[[#This Row],[Athletes]],Table4101317251247545298684173122[RESULT 12],Table36111418263048555399694375123[[#Headers],[WIN]]),COUNTIFS(Table4101317251247545298684173122[ATHLETE 2],Table36111418263048555399694375123[[#This Row],[Athletes]],Table4101317251247545298684173122[RESULT 12],Table36111418263048555399694375123[[#Headers],[WIN]]),COUNTIFS(Table4101317251247545298684173122[ATHLETE 3],Table36111418263048555399694375123[[#This Row],[Athletes]],Table4101317251247545298684173122[RESULT 34],Table36111418263048555399694375123[[#Headers],[WIN]]),COUNTIFS(Table4101317251247545298684173122[ATHLETE 4],Table36111418263048555399694375123[[#This Row],[Athletes]],Table4101317251247545298684173122[RESULT 34],Table36111418263048555399694375123[[#Headers],[WIN]]))</f>
        <v>1</v>
      </c>
      <c r="D11" s="14">
        <f>SUM(COUNTIFS(Table4101317251247545298684173122[ATHLETE 1],Table36111418263048555399694375123[[#This Row],[Athletes]],Table4101317251247545298684173122[RESULT 12],Table36111418263048555399694375123[[#Headers],[LOSE]]),COUNTIFS(Table4101317251247545298684173122[ATHLETE 2],Table36111418263048555399694375123[[#This Row],[Athletes]],Table4101317251247545298684173122[RESULT 12],Table36111418263048555399694375123[[#Headers],[LOSE]]),COUNTIFS(Table4101317251247545298684173122[ATHLETE 3],Table36111418263048555399694375123[[#This Row],[Athletes]],Table4101317251247545298684173122[RESULT 34],Table36111418263048555399694375123[[#Headers],[LOSE]]),COUNTIFS(Table4101317251247545298684173122[ATHLETE 4],Table36111418263048555399694375123[[#This Row],[Athletes]],Table4101317251247545298684173122[RESULT 34],Table36111418263048555399694375123[[#Headers],[LOSE]]))</f>
        <v>2</v>
      </c>
      <c r="E11" s="19">
        <f>SUM(SUMIF(Table4101317251247545298684173122[ATHLETE 1],Table36111418263048555399694375123[[#This Row],[Athletes]],Table4101317251247545298684173122[SALDO 12]),SUMIF(Table4101317251247545298684173122[ATHLETE 2],Table36111418263048555399694375123[[#This Row],[Athletes]],Table4101317251247545298684173122[SALDO 12]),SUMIF(Table4101317251247545298684173122[ATHLETE 3],Table36111418263048555399694375123[[#This Row],[Athletes]],Table4101317251247545298684173122[SALDO 34]),SUMIF(Table4101317251247545298684173122[ATHLETE 4],Table36111418263048555399694375123[[#This Row],[Athletes]],Table4101317251247545298684173122[SALDO 34]))</f>
        <v>-8</v>
      </c>
      <c r="F11" s="19">
        <f>SUM(SUMIF(Table4101317251247545298684173122[ATHLETE 1],Table36111418263048555399694375123[[#This Row],[Athletes]],Table4101317251247545298684173122[PM 12]),SUMIF(Table4101317251247545298684173122[ATHLETE 2],Table36111418263048555399694375123[[#This Row],[Athletes]],Table4101317251247545298684173122[PM 12]),SUMIF(Table4101317251247545298684173122[ATHLETE 3],Table36111418263048555399694375123[[#This Row],[Athletes]],Table4101317251247545298684173122[PM 34]),SUMIF(Table4101317251247545298684173122[ATHLETE 4],Table36111418263048555399694375123[[#This Row],[Athletes]],Table4101317251247545298684173122[PM 34]))</f>
        <v>38</v>
      </c>
      <c r="G11" s="14" t="str">
        <f>IF(COUNTBLANK(Table4101317251247545298684173122[[SCORE 1]:[SCORE 2]])=0,IF(RANK(H11,$H$11:$H$14)=1,RANK(H11,$H$11:$H$14)&amp;"st",IF(RANK(H11,$H$11:$H$14)=2,RANK(H11,$H$11:$H$14)&amp;"nd",RANK(H11,$H$11:$H$14)&amp;"th")),"")</f>
        <v>3th</v>
      </c>
      <c r="H11" s="51">
        <f>Table36111418263048555399694375123[[#This Row],[WIN]]*1000000+Table36111418263048555399694375123[[#This Row],[Saldo]]*1000+Table36111418263048555399694375123[[#This Row],[PM]]</f>
        <v>992038</v>
      </c>
      <c r="I11" s="2">
        <f>H11</f>
        <v>992038</v>
      </c>
      <c r="J11" s="2" t="str">
        <f>IF(COUNTBLANK(Table4101317251247545298684173122[[SCORE 1]:[SCORE 2]])=0,IF(RANK(I11,$I$11:$I$22)=1,RANK(I11,$I$11:$I$22)&amp;"st",IF(RANK(I11,$I$11:$I$22)=2,RANK(I11,$I$11:$I$22)&amp;"nd",IF(RANK(I11,$I$11:$I$22)=3,RANK(I11,$I$11:$I$22)&amp;"rd",RANK(I11,$I$11:$I$22)&amp;"th"))),"")</f>
        <v>5th</v>
      </c>
      <c r="K11" s="38" t="str">
        <f>Table36111418263048555399694375123[[#This Row],[Athletes]]</f>
        <v>Paula</v>
      </c>
      <c r="L11" s="2" t="str">
        <f>J11</f>
        <v>5th</v>
      </c>
      <c r="M11" s="428" t="str" cm="1">
        <f t="array" ref="M11">_xlfn.TEXTJOIN(", ", TRUE, _xlfn._xlws.FILTER($K$11:$K$18, $J$11:$J$18=$U$3, ""))</f>
        <v>Marie</v>
      </c>
      <c r="N11" s="428" t="str" cm="1">
        <f t="array" ref="N11">_xlfn.TEXTJOIN(", ", TRUE, _xlfn._xlws.FILTER($K$11:$K$18, $J$11:$J$18=$U$4, ""))</f>
        <v>Stephanie</v>
      </c>
      <c r="O11" s="119">
        <v>18</v>
      </c>
      <c r="P11" s="120">
        <v>5</v>
      </c>
      <c r="Q11" s="428" t="str" cm="1">
        <f t="array" ref="Q11">_xlfn.TEXTJOIN(", ", TRUE, _xlfn._xlws.FILTER($K$11:$K$18, $J$11:$J$18=$U$9, ""))</f>
        <v>Savanna</v>
      </c>
      <c r="R11" s="428" t="str" cm="1">
        <f t="array" ref="R11">_xlfn.TEXTJOIN(", ", TRUE, _xlfn._xlws.FILTER($K$11:$K$18, $J$11:$J$18=$U$10, ""))</f>
        <v>Mariana Freitas</v>
      </c>
      <c r="S11" s="68"/>
      <c r="T11" s="66"/>
      <c r="U11" s="67"/>
    </row>
    <row r="12" spans="1:25">
      <c r="A12" s="3" t="s">
        <v>206</v>
      </c>
      <c r="B12" s="118" t="s">
        <v>113</v>
      </c>
      <c r="C12" s="14">
        <f>SUM(COUNTIFS(Table4101317251247545298684173122[ATHLETE 1],Table36111418263048555399694375123[[#This Row],[Athletes]],Table4101317251247545298684173122[RESULT 12],Table36111418263048555399694375123[[#Headers],[WIN]]),COUNTIFS(Table4101317251247545298684173122[ATHLETE 2],Table36111418263048555399694375123[[#This Row],[Athletes]],Table4101317251247545298684173122[RESULT 12],Table36111418263048555399694375123[[#Headers],[WIN]]),COUNTIFS(Table4101317251247545298684173122[ATHLETE 3],Table36111418263048555399694375123[[#This Row],[Athletes]],Table4101317251247545298684173122[RESULT 34],Table36111418263048555399694375123[[#Headers],[WIN]]),COUNTIFS(Table4101317251247545298684173122[ATHLETE 4],Table36111418263048555399694375123[[#This Row],[Athletes]],Table4101317251247545298684173122[RESULT 34],Table36111418263048555399694375123[[#Headers],[WIN]]))</f>
        <v>1</v>
      </c>
      <c r="D12" s="14">
        <f>SUM(COUNTIFS(Table4101317251247545298684173122[ATHLETE 1],Table36111418263048555399694375123[[#This Row],[Athletes]],Table4101317251247545298684173122[RESULT 12],Table36111418263048555399694375123[[#Headers],[LOSE]]),COUNTIFS(Table4101317251247545298684173122[ATHLETE 2],Table36111418263048555399694375123[[#This Row],[Athletes]],Table4101317251247545298684173122[RESULT 12],Table36111418263048555399694375123[[#Headers],[LOSE]]),COUNTIFS(Table4101317251247545298684173122[ATHLETE 3],Table36111418263048555399694375123[[#This Row],[Athletes]],Table4101317251247545298684173122[RESULT 34],Table36111418263048555399694375123[[#Headers],[LOSE]]),COUNTIFS(Table4101317251247545298684173122[ATHLETE 4],Table36111418263048555399694375123[[#This Row],[Athletes]],Table4101317251247545298684173122[RESULT 34],Table36111418263048555399694375123[[#Headers],[LOSE]]))</f>
        <v>2</v>
      </c>
      <c r="E12" s="19">
        <f>SUM(SUMIF(Table4101317251247545298684173122[ATHLETE 1],Table36111418263048555399694375123[[#This Row],[Athletes]],Table4101317251247545298684173122[SALDO 12]),SUMIF(Table4101317251247545298684173122[ATHLETE 2],Table36111418263048555399694375123[[#This Row],[Athletes]],Table4101317251247545298684173122[SALDO 12]),SUMIF(Table4101317251247545298684173122[ATHLETE 3],Table36111418263048555399694375123[[#This Row],[Athletes]],Table4101317251247545298684173122[SALDO 34]),SUMIF(Table4101317251247545298684173122[ATHLETE 4],Table36111418263048555399694375123[[#This Row],[Athletes]],Table4101317251247545298684173122[SALDO 34]))</f>
        <v>-16</v>
      </c>
      <c r="F12" s="19">
        <f>SUM(SUMIF(Table4101317251247545298684173122[ATHLETE 1],Table36111418263048555399694375123[[#This Row],[Athletes]],Table4101317251247545298684173122[PM 12]),SUMIF(Table4101317251247545298684173122[ATHLETE 2],Table36111418263048555399694375123[[#This Row],[Athletes]],Table4101317251247545298684173122[PM 12]),SUMIF(Table4101317251247545298684173122[ATHLETE 3],Table36111418263048555399694375123[[#This Row],[Athletes]],Table4101317251247545298684173122[PM 34]),SUMIF(Table4101317251247545298684173122[ATHLETE 4],Table36111418263048555399694375123[[#This Row],[Athletes]],Table4101317251247545298684173122[PM 34]))</f>
        <v>34</v>
      </c>
      <c r="G12" s="14" t="str">
        <f>IF(COUNTBLANK(Table4101317251247545298684173122[[SCORE 1]:[SCORE 2]])=0,IF(RANK(H12,$H$11:$H$14)=1,RANK(H12,$H$11:$H$14)&amp;"st",IF(RANK(H12,$H$11:$H$14)=2,RANK(H12,$H$11:$H$14)&amp;"nd",RANK(H12,$H$11:$H$14)&amp;"th")),"")</f>
        <v>4th</v>
      </c>
      <c r="H12" s="51">
        <f>Table36111418263048555399694375123[[#This Row],[WIN]]*1000000+Table36111418263048555399694375123[[#This Row],[Saldo]]*1000+Table36111418263048555399694375123[[#This Row],[PM]]</f>
        <v>984034</v>
      </c>
      <c r="I12" s="2">
        <f t="shared" ref="I12:I14" si="0">H12</f>
        <v>984034</v>
      </c>
      <c r="J12" s="2" t="str">
        <f>IF(COUNTBLANK(Table4101317251247545298684173122[[SCORE 1]:[SCORE 2]])=0,IF(RANK(I12,$I$11:$I$22)=1,RANK(I12,$I$11:$I$22)&amp;"st",IF(RANK(I12,$I$11:$I$22)=2,RANK(I12,$I$11:$I$22)&amp;"nd",IF(RANK(I12,$I$11:$I$22)=3,RANK(I12,$I$11:$I$22)&amp;"rd",RANK(I12,$I$11:$I$22)&amp;"th"))),"")</f>
        <v>7th</v>
      </c>
      <c r="K12" s="38" t="str">
        <f>Table36111418263048555399694375123[[#This Row],[Athletes]]</f>
        <v>Savanna</v>
      </c>
      <c r="L12" s="2" t="str">
        <f t="shared" ref="L12:L14" si="1">J12</f>
        <v>7th</v>
      </c>
      <c r="M12" s="127" t="str">
        <f>IF($O$12="lose",$U$7,"")</f>
        <v/>
      </c>
      <c r="N12" s="127" t="str">
        <f>IF($O$12="lose",$U$8,"")</f>
        <v/>
      </c>
      <c r="O12" s="2" t="str">
        <f>IF(OR(O11="",P11=""),"",IF((O11&gt;P11),"WIN","LOSE"))</f>
        <v>WIN</v>
      </c>
      <c r="P12" s="2" t="str">
        <f>IF(OR(O11="",P11=""),"",IF((O11&lt;P11),"WIN","LOSE"))</f>
        <v>LOSE</v>
      </c>
      <c r="Q12" s="127" t="str">
        <f>IF($P$12="lose",$U$9,"")</f>
        <v>7th</v>
      </c>
      <c r="R12" s="127" t="str">
        <f>IF($P$12="lose",$U$10,"")</f>
        <v>8th</v>
      </c>
      <c r="S12" s="17"/>
      <c r="T12" s="66"/>
      <c r="U12" s="67"/>
    </row>
    <row r="13" spans="1:25">
      <c r="A13" s="3" t="s">
        <v>207</v>
      </c>
      <c r="B13" s="118" t="s">
        <v>100</v>
      </c>
      <c r="C13" s="14">
        <f>SUM(COUNTIFS(Table4101317251247545298684173122[ATHLETE 1],Table36111418263048555399694375123[[#This Row],[Athletes]],Table4101317251247545298684173122[RESULT 12],Table36111418263048555399694375123[[#Headers],[WIN]]),COUNTIFS(Table4101317251247545298684173122[ATHLETE 2],Table36111418263048555399694375123[[#This Row],[Athletes]],Table4101317251247545298684173122[RESULT 12],Table36111418263048555399694375123[[#Headers],[WIN]]),COUNTIFS(Table4101317251247545298684173122[ATHLETE 3],Table36111418263048555399694375123[[#This Row],[Athletes]],Table4101317251247545298684173122[RESULT 34],Table36111418263048555399694375123[[#Headers],[WIN]]),COUNTIFS(Table4101317251247545298684173122[ATHLETE 4],Table36111418263048555399694375123[[#This Row],[Athletes]],Table4101317251247545298684173122[RESULT 34],Table36111418263048555399694375123[[#Headers],[WIN]]))</f>
        <v>3</v>
      </c>
      <c r="D13" s="14">
        <f>SUM(COUNTIFS(Table4101317251247545298684173122[ATHLETE 1],Table36111418263048555399694375123[[#This Row],[Athletes]],Table4101317251247545298684173122[RESULT 12],Table36111418263048555399694375123[[#Headers],[LOSE]]),COUNTIFS(Table4101317251247545298684173122[ATHLETE 2],Table36111418263048555399694375123[[#This Row],[Athletes]],Table4101317251247545298684173122[RESULT 12],Table36111418263048555399694375123[[#Headers],[LOSE]]),COUNTIFS(Table4101317251247545298684173122[ATHLETE 3],Table36111418263048555399694375123[[#This Row],[Athletes]],Table4101317251247545298684173122[RESULT 34],Table36111418263048555399694375123[[#Headers],[LOSE]]),COUNTIFS(Table4101317251247545298684173122[ATHLETE 4],Table36111418263048555399694375123[[#This Row],[Athletes]],Table4101317251247545298684173122[RESULT 34],Table36111418263048555399694375123[[#Headers],[LOSE]]))</f>
        <v>0</v>
      </c>
      <c r="E13" s="19">
        <f>SUM(SUMIF(Table4101317251247545298684173122[ATHLETE 1],Table36111418263048555399694375123[[#This Row],[Athletes]],Table4101317251247545298684173122[SALDO 12]),SUMIF(Table4101317251247545298684173122[ATHLETE 2],Table36111418263048555399694375123[[#This Row],[Athletes]],Table4101317251247545298684173122[SALDO 12]),SUMIF(Table4101317251247545298684173122[ATHLETE 3],Table36111418263048555399694375123[[#This Row],[Athletes]],Table4101317251247545298684173122[SALDO 34]),SUMIF(Table4101317251247545298684173122[ATHLETE 4],Table36111418263048555399694375123[[#This Row],[Athletes]],Table4101317251247545298684173122[SALDO 34]))</f>
        <v>24</v>
      </c>
      <c r="F13" s="19">
        <f>SUM(SUMIF(Table4101317251247545298684173122[ATHLETE 1],Table36111418263048555399694375123[[#This Row],[Athletes]],Table4101317251247545298684173122[PM 12]),SUMIF(Table4101317251247545298684173122[ATHLETE 2],Table36111418263048555399694375123[[#This Row],[Athletes]],Table4101317251247545298684173122[PM 12]),SUMIF(Table4101317251247545298684173122[ATHLETE 3],Table36111418263048555399694375123[[#This Row],[Athletes]],Table4101317251247545298684173122[PM 34]),SUMIF(Table4101317251247545298684173122[ATHLETE 4],Table36111418263048555399694375123[[#This Row],[Athletes]],Table4101317251247545298684173122[PM 34]))</f>
        <v>54</v>
      </c>
      <c r="G13" s="14" t="str">
        <f>IF(COUNTBLANK(Table4101317251247545298684173122[[SCORE 1]:[SCORE 2]])=0,IF(RANK(H13,$H$11:$H$14)=1,RANK(H13,$H$11:$H$14)&amp;"st",IF(RANK(H13,$H$11:$H$14)=2,RANK(H13,$H$11:$H$14)&amp;"nd",RANK(H13,$H$11:$H$14)&amp;"th")),"")</f>
        <v>1st</v>
      </c>
      <c r="H13" s="51">
        <f>Table36111418263048555399694375123[[#This Row],[WIN]]*1000000+Table36111418263048555399694375123[[#This Row],[Saldo]]*1000+Table36111418263048555399694375123[[#This Row],[PM]]</f>
        <v>3024054</v>
      </c>
      <c r="I13" s="2">
        <f t="shared" si="0"/>
        <v>3024054</v>
      </c>
      <c r="J13" s="2" t="str">
        <f>IF(COUNTBLANK(Table4101317251247545298684173122[[SCORE 1]:[SCORE 2]])=0,IF(RANK(I13,$I$11:$I$22)=1,RANK(I13,$I$11:$I$22)&amp;"st",IF(RANK(I13,$I$11:$I$22)=2,RANK(I13,$I$11:$I$22)&amp;"nd",IF(RANK(I13,$I$11:$I$22)=3,RANK(I13,$I$11:$I$22)&amp;"rd",RANK(I13,$I$11:$I$22)&amp;"th"))),"")</f>
        <v>2nd</v>
      </c>
      <c r="K13" s="38" t="str">
        <f>Table36111418263048555399694375123[[#This Row],[Athletes]]</f>
        <v>Stephanie</v>
      </c>
      <c r="L13" s="2" t="str">
        <f t="shared" si="1"/>
        <v>2nd</v>
      </c>
      <c r="M13" s="90">
        <v>1</v>
      </c>
      <c r="N13" s="90">
        <v>2</v>
      </c>
      <c r="O13" s="90"/>
      <c r="P13" s="90"/>
      <c r="Q13" s="90">
        <v>7</v>
      </c>
      <c r="R13" s="90">
        <v>8</v>
      </c>
      <c r="T13" s="66"/>
      <c r="U13" s="67"/>
      <c r="V13" s="66"/>
      <c r="W13" s="66"/>
      <c r="X13" s="66"/>
      <c r="Y13" s="66"/>
    </row>
    <row r="14" spans="1:25" ht="15.95">
      <c r="A14" s="5" t="s">
        <v>208</v>
      </c>
      <c r="B14" s="118" t="s">
        <v>102</v>
      </c>
      <c r="C14" s="14">
        <f>SUM(COUNTIFS(Table4101317251247545298684173122[ATHLETE 1],Table36111418263048555399694375123[[#This Row],[Athletes]],Table4101317251247545298684173122[RESULT 12],Table36111418263048555399694375123[[#Headers],[WIN]]),COUNTIFS(Table4101317251247545298684173122[ATHLETE 2],Table36111418263048555399694375123[[#This Row],[Athletes]],Table4101317251247545298684173122[RESULT 12],Table36111418263048555399694375123[[#Headers],[WIN]]),COUNTIFS(Table4101317251247545298684173122[ATHLETE 3],Table36111418263048555399694375123[[#This Row],[Athletes]],Table4101317251247545298684173122[RESULT 34],Table36111418263048555399694375123[[#Headers],[WIN]]),COUNTIFS(Table4101317251247545298684173122[ATHLETE 4],Table36111418263048555399694375123[[#This Row],[Athletes]],Table4101317251247545298684173122[RESULT 34],Table36111418263048555399694375123[[#Headers],[WIN]]))</f>
        <v>1</v>
      </c>
      <c r="D14" s="14">
        <f>SUM(COUNTIFS(Table4101317251247545298684173122[ATHLETE 1],Table36111418263048555399694375123[[#This Row],[Athletes]],Table4101317251247545298684173122[RESULT 12],Table36111418263048555399694375123[[#Headers],[LOSE]]),COUNTIFS(Table4101317251247545298684173122[ATHLETE 2],Table36111418263048555399694375123[[#This Row],[Athletes]],Table4101317251247545298684173122[RESULT 12],Table36111418263048555399694375123[[#Headers],[LOSE]]),COUNTIFS(Table4101317251247545298684173122[ATHLETE 3],Table36111418263048555399694375123[[#This Row],[Athletes]],Table4101317251247545298684173122[RESULT 34],Table36111418263048555399694375123[[#Headers],[LOSE]]),COUNTIFS(Table4101317251247545298684173122[ATHLETE 4],Table36111418263048555399694375123[[#This Row],[Athletes]],Table4101317251247545298684173122[RESULT 34],Table36111418263048555399694375123[[#Headers],[LOSE]]))</f>
        <v>2</v>
      </c>
      <c r="E14" s="19">
        <f>SUM(SUMIF(Table4101317251247545298684173122[ATHLETE 1],Table36111418263048555399694375123[[#This Row],[Athletes]],Table4101317251247545298684173122[SALDO 12]),SUMIF(Table4101317251247545298684173122[ATHLETE 2],Table36111418263048555399694375123[[#This Row],[Athletes]],Table4101317251247545298684173122[SALDO 12]),SUMIF(Table4101317251247545298684173122[ATHLETE 3],Table36111418263048555399694375123[[#This Row],[Athletes]],Table4101317251247545298684173122[SALDO 34]),SUMIF(Table4101317251247545298684173122[ATHLETE 4],Table36111418263048555399694375123[[#This Row],[Athletes]],Table4101317251247545298684173122[SALDO 34]))</f>
        <v>0</v>
      </c>
      <c r="F14" s="19">
        <f>SUM(SUMIF(Table4101317251247545298684173122[ATHLETE 1],Table36111418263048555399694375123[[#This Row],[Athletes]],Table4101317251247545298684173122[PM 12]),SUMIF(Table4101317251247545298684173122[ATHLETE 2],Table36111418263048555399694375123[[#This Row],[Athletes]],Table4101317251247545298684173122[PM 12]),SUMIF(Table4101317251247545298684173122[ATHLETE 3],Table36111418263048555399694375123[[#This Row],[Athletes]],Table4101317251247545298684173122[PM 34]),SUMIF(Table4101317251247545298684173122[ATHLETE 4],Table36111418263048555399694375123[[#This Row],[Athletes]],Table4101317251247545298684173122[PM 34]))</f>
        <v>42</v>
      </c>
      <c r="G14" s="14" t="str">
        <f>IF(COUNTBLANK(Table4101317251247545298684173122[[SCORE 1]:[SCORE 2]])=0,IF(RANK(H14,$H$11:$H$14)=1,RANK(H14,$H$11:$H$14)&amp;"st",IF(RANK(H14,$H$11:$H$14)=2,RANK(H14,$H$11:$H$14)&amp;"nd",RANK(H14,$H$11:$H$14)&amp;"th")),"")</f>
        <v>2nd</v>
      </c>
      <c r="H14" s="51">
        <f>Table36111418263048555399694375123[[#This Row],[WIN]]*1000000+Table36111418263048555399694375123[[#This Row],[Saldo]]*1000+Table36111418263048555399694375123[[#This Row],[PM]]</f>
        <v>1000042</v>
      </c>
      <c r="I14" s="2">
        <f t="shared" si="0"/>
        <v>1000042</v>
      </c>
      <c r="J14" s="2" t="str">
        <f>IF(COUNTBLANK(Table4101317251247545298684173122[[SCORE 1]:[SCORE 2]])=0,IF(RANK(I14,$I$11:$I$22)=1,RANK(I14,$I$11:$I$22)&amp;"st",IF(RANK(I14,$I$11:$I$22)=2,RANK(I14,$I$11:$I$22)&amp;"nd",IF(RANK(I14,$I$11:$I$22)=3,RANK(I14,$I$11:$I$22)&amp;"rd",RANK(I14,$I$11:$I$22)&amp;"th"))),"")</f>
        <v>4th</v>
      </c>
      <c r="K14" s="38" t="str">
        <f>Table36111418263048555399694375123[[#This Row],[Athletes]]</f>
        <v>Bia Bertolini</v>
      </c>
      <c r="L14" s="2" t="str">
        <f t="shared" si="1"/>
        <v>4th</v>
      </c>
      <c r="M14" s="90"/>
      <c r="N14" s="90"/>
      <c r="O14" s="90"/>
      <c r="P14" s="90"/>
      <c r="Q14" s="90"/>
      <c r="R14" s="90"/>
      <c r="T14" s="66"/>
      <c r="U14" s="67"/>
      <c r="V14" s="66"/>
      <c r="W14" s="66"/>
      <c r="X14" s="66"/>
      <c r="Y14" s="66"/>
    </row>
    <row r="15" spans="1:25">
      <c r="I15" s="2">
        <f>H17</f>
        <v>979029</v>
      </c>
      <c r="J15" s="2" t="str">
        <f>IF(COUNTBLANK(Table4101317251247545298684173122[[SCORE 1]:[SCORE 2]])=0,IF(RANK(I15,$I$11:$I$22)=1,RANK(I15,$I$11:$I$22)&amp;"st",IF(RANK(I15,$I$11:$I$22)=2,RANK(I15,$I$11:$I$22)&amp;"nd",IF(RANK(I15,$I$11:$I$22)=3,RANK(I15,$I$11:$I$22)&amp;"rd",RANK(I15,$I$11:$I$22)&amp;"th"))),"")</f>
        <v>8th</v>
      </c>
      <c r="K15" s="38" t="str">
        <f>B17</f>
        <v>Mariana Freitas</v>
      </c>
      <c r="L15" s="2"/>
      <c r="M15" s="418" t="s">
        <v>193</v>
      </c>
      <c r="N15" s="418" t="s">
        <v>194</v>
      </c>
      <c r="O15" s="542" t="s">
        <v>195</v>
      </c>
      <c r="P15" s="543"/>
      <c r="Q15" s="418" t="s">
        <v>196</v>
      </c>
      <c r="R15" s="418" t="s">
        <v>197</v>
      </c>
      <c r="V15" s="66"/>
      <c r="W15" s="66"/>
      <c r="X15" s="66"/>
      <c r="Y15" s="66"/>
    </row>
    <row r="16" spans="1:25" s="44" customFormat="1" ht="28.5" customHeight="1">
      <c r="A16" s="9" t="s">
        <v>184</v>
      </c>
      <c r="B16" s="48" t="s">
        <v>203</v>
      </c>
      <c r="C16" s="48" t="s">
        <v>186</v>
      </c>
      <c r="D16" s="48" t="s">
        <v>187</v>
      </c>
      <c r="E16" s="48" t="s">
        <v>188</v>
      </c>
      <c r="F16" s="48" t="s">
        <v>189</v>
      </c>
      <c r="G16" s="43" t="s">
        <v>8</v>
      </c>
      <c r="H16" s="79" t="s">
        <v>204</v>
      </c>
      <c r="I16" s="2">
        <f>H18</f>
        <v>991035</v>
      </c>
      <c r="J16" s="2" t="str">
        <f>IF(COUNTBLANK(Table4101317251247545298684173122[[SCORE 1]:[SCORE 2]])=0,IF(RANK(I16,$I$11:$I$22)=1,RANK(I16,$I$11:$I$22)&amp;"st",IF(RANK(I16,$I$11:$I$22)=2,RANK(I16,$I$11:$I$22)&amp;"nd",IF(RANK(I16,$I$11:$I$22)=3,RANK(I16,$I$11:$I$22)&amp;"rd",RANK(I16,$I$11:$I$22)&amp;"th"))),"")</f>
        <v>6th</v>
      </c>
      <c r="K16" s="38" t="str">
        <f>B18</f>
        <v>Laura</v>
      </c>
      <c r="L16" s="419" t="s">
        <v>192</v>
      </c>
      <c r="M16" s="428" t="str" cm="1">
        <f t="array" ref="M16">_xlfn.TEXTJOIN(", ", TRUE, _xlfn._xlws.FILTER($K$11:$K$18, $J$11:$J$18=$U$5, ""))</f>
        <v>Huçana</v>
      </c>
      <c r="N16" s="428" t="str" cm="1">
        <f t="array" ref="N16">_xlfn.TEXTJOIN(", ", TRUE, _xlfn._xlws.FILTER($K$11:$K$18, $J$11:$J$18=$U$6, ""))</f>
        <v>Bia Bertolini</v>
      </c>
      <c r="O16" s="119">
        <v>18</v>
      </c>
      <c r="P16" s="119">
        <v>7</v>
      </c>
      <c r="Q16" s="428" t="str" cm="1">
        <f t="array" ref="Q16">_xlfn.TEXTJOIN(", ", TRUE, _xlfn._xlws.FILTER($K$11:$K$18, $J$11:$J$18=$U$7, ""))</f>
        <v>Paula</v>
      </c>
      <c r="R16" s="428" t="str" cm="1">
        <f t="array" ref="R16">_xlfn.TEXTJOIN(", ", TRUE, _xlfn._xlws.FILTER($K$11:$K$18, $J$11:$J$18=$U$8, ""))</f>
        <v>Laura</v>
      </c>
      <c r="V16" s="92"/>
      <c r="W16" s="92"/>
      <c r="X16" s="92"/>
      <c r="Y16" s="92"/>
    </row>
    <row r="17" spans="1:25">
      <c r="A17" s="430" t="s">
        <v>209</v>
      </c>
      <c r="B17" s="118" t="s">
        <v>114</v>
      </c>
      <c r="C17" s="14">
        <f>SUM(COUNTIFS(Table4101317251247545298684173122[ATHLETE 1],Table61215192731495671100704476124[[#This Row],[Athletes]],Table4101317251247545298684173122[RESULT 12],Table36111418263048555399694375123[[#Headers],[WIN]]),COUNTIFS(Table4101317251247545298684173122[ATHLETE 2],Table61215192731495671100704476124[[#This Row],[Athletes]],Table4101317251247545298684173122[RESULT 12],Table36111418263048555399694375123[[#Headers],[WIN]]),COUNTIFS(Table4101317251247545298684173122[ATHLETE 3],Table61215192731495671100704476124[[#This Row],[Athletes]],Table4101317251247545298684173122[RESULT 34],Table36111418263048555399694375123[[#Headers],[WIN]]),COUNTIFS(Table4101317251247545298684173122[ATHLETE 4],Table61215192731495671100704476124[[#This Row],[Athletes]],Table4101317251247545298684173122[RESULT 34],Table36111418263048555399694375123[[#Headers],[WIN]]))</f>
        <v>1</v>
      </c>
      <c r="D17" s="12">
        <f>SUM(COUNTIFS(Table4101317251247545298684173122[ATHLETE 1],Table61215192731495671100704476124[[#This Row],[Athletes]],Table4101317251247545298684173122[RESULT 12],Table36111418263048555399694375123[[#Headers],[LOSE]]),COUNTIFS(Table4101317251247545298684173122[ATHLETE 2],Table61215192731495671100704476124[[#This Row],[Athletes]],Table4101317251247545298684173122[RESULT 12],Table36111418263048555399694375123[[#Headers],[LOSE]]),COUNTIFS(Table4101317251247545298684173122[ATHLETE 3],Table61215192731495671100704476124[[#This Row],[Athletes]],Table4101317251247545298684173122[RESULT 34],Table36111418263048555399694375123[[#Headers],[LOSE]]),COUNTIFS(Table4101317251247545298684173122[ATHLETE 4],Table61215192731495671100704476124[[#This Row],[Athletes]],Table4101317251247545298684173122[RESULT 34],Table36111418263048555399694375123[[#Headers],[LOSE]]))</f>
        <v>2</v>
      </c>
      <c r="E17" s="19">
        <f>SUM(SUMIF(Table4101317251247545298684173122[ATHLETE 1],Table61215192731495671100704476124[[#This Row],[Athletes]],Table4101317251247545298684173122[SALDO 12]),SUMIF(Table4101317251247545298684173122[ATHLETE 2],Table61215192731495671100704476124[[#This Row],[Athletes]],Table4101317251247545298684173122[SALDO 12]),SUMIF(Table4101317251247545298684173122[ATHLETE 3],Table61215192731495671100704476124[[#This Row],[Athletes]],Table4101317251247545298684173122[SALDO 34]),SUMIF(Table4101317251247545298684173122[ATHLETE 4],Table61215192731495671100704476124[[#This Row],[Athletes]],Table4101317251247545298684173122[SALDO 34]))</f>
        <v>-21</v>
      </c>
      <c r="F17" s="19">
        <f>SUM(SUMIF(Table4101317251247545298684173122[ATHLETE 1],Table61215192731495671100704476124[[#This Row],[Athletes]],Table4101317251247545298684173122[PM 12]),SUMIF(Table4101317251247545298684173122[ATHLETE 2],Table61215192731495671100704476124[[#This Row],[Athletes]],Table4101317251247545298684173122[PM 12]),SUMIF(Table4101317251247545298684173122[ATHLETE 3],Table61215192731495671100704476124[[#This Row],[Athletes]],Table4101317251247545298684173122[PM 34]),SUMIF(Table4101317251247545298684173122[ATHLETE 4],Table61215192731495671100704476124[[#This Row],[Athletes]],Table4101317251247545298684173122[PM 34]))</f>
        <v>29</v>
      </c>
      <c r="G17" s="14" t="str">
        <f>IF(COUNTBLANK(Table4101317251247545298684173122[[SCORE 1]:[SCORE 2]])=0,IF(RANK(H17,$H$17:$H$20)=1,RANK(H17,$H$17:$H$20)&amp;"st",IF(RANK(H17,$H$17:$H$20)=2,RANK(H17,$H$17:$H$20)&amp;"nd",RANK(H17,$H$17:$H$20)&amp;"th")),"")</f>
        <v>4th</v>
      </c>
      <c r="H17" s="51">
        <f>Table61215192731495671100704476124[[#This Row],[WIN]]*1000000+Table61215192731495671100704476124[[#This Row],[Saldo]]*1000+Table61215192731495671100704476124[[#This Row],[PM]]</f>
        <v>979029</v>
      </c>
      <c r="I17" s="2">
        <f>H19</f>
        <v>1001040</v>
      </c>
      <c r="J17" s="2" t="str">
        <f>IF(COUNTBLANK(Table4101317251247545298684173122[[SCORE 1]:[SCORE 2]])=0,IF(RANK(I17,$I$11:$I$22)=1,RANK(I17,$I$11:$I$22)&amp;"st",IF(RANK(I17,$I$11:$I$22)=2,RANK(I17,$I$11:$I$22)&amp;"nd",IF(RANK(I17,$I$11:$I$22)=3,RANK(I17,$I$11:$I$22)&amp;"rd",RANK(I17,$I$11:$I$22)&amp;"th"))),"")</f>
        <v>3rd</v>
      </c>
      <c r="K17" s="38" t="str">
        <f>B19</f>
        <v>Huçana</v>
      </c>
      <c r="L17" s="2" t="str">
        <f>J15</f>
        <v>8th</v>
      </c>
      <c r="M17" s="127" t="str">
        <f>IF(AND($O$17="lose",$O$12="lose"),$U$9,IF($O$17="lose",$U$7,""))</f>
        <v/>
      </c>
      <c r="N17" s="127" t="str">
        <f>IF(AND($O$17="lose",$O$12="lose"),$U$10,IF($O$17="lose",$U$8,""))</f>
        <v/>
      </c>
      <c r="O17" s="2" t="str">
        <f>IF(OR(O16="",P16=""),"",IF((O16&gt;P16),"WIN","LOSE"))</f>
        <v>WIN</v>
      </c>
      <c r="P17" s="2" t="str">
        <f>IF(OR(O16="",P16=""),"",IF((O16&lt;P16),"WIN","LOSE"))</f>
        <v>LOSE</v>
      </c>
      <c r="Q17" s="127" t="str">
        <f>IF(AND($P$17="lose",$O$12="lose"),$U$9,IF($P$17="lose",$U$7,""))</f>
        <v>5th</v>
      </c>
      <c r="R17" s="127" t="str">
        <f>IF(AND($P$17="lose",$O$12="lose"),$U$10,IF($P$17="lose",$U$8,""))</f>
        <v>6th</v>
      </c>
      <c r="V17" s="66"/>
      <c r="W17" s="66"/>
      <c r="X17" s="66"/>
      <c r="Y17" s="66"/>
    </row>
    <row r="18" spans="1:25">
      <c r="A18" s="430" t="s">
        <v>210</v>
      </c>
      <c r="B18" s="118" t="s">
        <v>107</v>
      </c>
      <c r="C18" s="14">
        <f>SUM(COUNTIFS(Table4101317251247545298684173122[ATHLETE 1],Table61215192731495671100704476124[[#This Row],[Athletes]],Table4101317251247545298684173122[RESULT 12],Table36111418263048555399694375123[[#Headers],[WIN]]),COUNTIFS(Table4101317251247545298684173122[ATHLETE 2],Table61215192731495671100704476124[[#This Row],[Athletes]],Table4101317251247545298684173122[RESULT 12],Table36111418263048555399694375123[[#Headers],[WIN]]),COUNTIFS(Table4101317251247545298684173122[ATHLETE 3],Table61215192731495671100704476124[[#This Row],[Athletes]],Table4101317251247545298684173122[RESULT 34],Table36111418263048555399694375123[[#Headers],[WIN]]),COUNTIFS(Table4101317251247545298684173122[ATHLETE 4],Table61215192731495671100704476124[[#This Row],[Athletes]],Table4101317251247545298684173122[RESULT 34],Table36111418263048555399694375123[[#Headers],[WIN]]))</f>
        <v>1</v>
      </c>
      <c r="D18" s="12">
        <f>SUM(COUNTIFS(Table4101317251247545298684173122[ATHLETE 1],Table61215192731495671100704476124[[#This Row],[Athletes]],Table4101317251247545298684173122[RESULT 12],Table36111418263048555399694375123[[#Headers],[LOSE]]),COUNTIFS(Table4101317251247545298684173122[ATHLETE 2],Table61215192731495671100704476124[[#This Row],[Athletes]],Table4101317251247545298684173122[RESULT 12],Table36111418263048555399694375123[[#Headers],[LOSE]]),COUNTIFS(Table4101317251247545298684173122[ATHLETE 3],Table61215192731495671100704476124[[#This Row],[Athletes]],Table4101317251247545298684173122[RESULT 34],Table36111418263048555399694375123[[#Headers],[LOSE]]),COUNTIFS(Table4101317251247545298684173122[ATHLETE 4],Table61215192731495671100704476124[[#This Row],[Athletes]],Table4101317251247545298684173122[RESULT 34],Table36111418263048555399694375123[[#Headers],[LOSE]]))</f>
        <v>2</v>
      </c>
      <c r="E18" s="19">
        <f>SUM(SUMIF(Table4101317251247545298684173122[ATHLETE 1],Table61215192731495671100704476124[[#This Row],[Athletes]],Table4101317251247545298684173122[SALDO 12]),SUMIF(Table4101317251247545298684173122[ATHLETE 2],Table61215192731495671100704476124[[#This Row],[Athletes]],Table4101317251247545298684173122[SALDO 12]),SUMIF(Table4101317251247545298684173122[ATHLETE 3],Table61215192731495671100704476124[[#This Row],[Athletes]],Table4101317251247545298684173122[SALDO 34]),SUMIF(Table4101317251247545298684173122[ATHLETE 4],Table61215192731495671100704476124[[#This Row],[Athletes]],Table4101317251247545298684173122[SALDO 34]))</f>
        <v>-9</v>
      </c>
      <c r="F18" s="19">
        <f>SUM(SUMIF(Table4101317251247545298684173122[ATHLETE 1],Table61215192731495671100704476124[[#This Row],[Athletes]],Table4101317251247545298684173122[PM 12]),SUMIF(Table4101317251247545298684173122[ATHLETE 2],Table61215192731495671100704476124[[#This Row],[Athletes]],Table4101317251247545298684173122[PM 12]),SUMIF(Table4101317251247545298684173122[ATHLETE 3],Table61215192731495671100704476124[[#This Row],[Athletes]],Table4101317251247545298684173122[PM 34]),SUMIF(Table4101317251247545298684173122[ATHLETE 4],Table61215192731495671100704476124[[#This Row],[Athletes]],Table4101317251247545298684173122[PM 34]))</f>
        <v>35</v>
      </c>
      <c r="G18" s="14" t="str">
        <f>IF(COUNTBLANK(Table4101317251247545298684173122[[SCORE 1]:[SCORE 2]])=0,IF(RANK(H18,$H$17:$H$20)=1,RANK(H18,$H$17:$H$20)&amp;"st",IF(RANK(H18,$H$17:$H$20)=2,RANK(H18,$H$17:$H$20)&amp;"nd",RANK(H18,$H$17:$H$20)&amp;"th")),"")</f>
        <v>3th</v>
      </c>
      <c r="H18" s="51">
        <f>Table61215192731495671100704476124[[#This Row],[WIN]]*1000000+Table61215192731495671100704476124[[#This Row],[Saldo]]*1000+Table61215192731495671100704476124[[#This Row],[PM]]</f>
        <v>991035</v>
      </c>
      <c r="I18" s="2">
        <f>H20</f>
        <v>3029054</v>
      </c>
      <c r="J18" s="2" t="str">
        <f>IF(COUNTBLANK(Table4101317251247545298684173122[[SCORE 1]:[SCORE 2]])=0,IF(RANK(I18,$I$11:$I$22)=1,RANK(I18,$I$11:$I$22)&amp;"st",IF(RANK(I18,$I$11:$I$22)=2,RANK(I18,$I$11:$I$22)&amp;"nd",IF(RANK(I18,$I$11:$I$22)=3,RANK(I18,$I$11:$I$22)&amp;"rd",RANK(I18,$I$11:$I$22)&amp;"th"))),"")</f>
        <v>1st</v>
      </c>
      <c r="K18" s="38" t="str">
        <f>B20</f>
        <v>Marie</v>
      </c>
      <c r="L18" s="2" t="str">
        <f t="shared" ref="L18:L20" si="2">J16</f>
        <v>6th</v>
      </c>
      <c r="M18" s="90">
        <v>3</v>
      </c>
      <c r="N18" s="90">
        <v>4</v>
      </c>
      <c r="O18" s="90"/>
      <c r="P18" s="90"/>
      <c r="Q18" s="90">
        <v>5</v>
      </c>
      <c r="R18" s="90">
        <v>6</v>
      </c>
      <c r="V18" s="66"/>
      <c r="W18" s="66"/>
      <c r="X18" s="66"/>
      <c r="Y18" s="66"/>
    </row>
    <row r="19" spans="1:25">
      <c r="A19" s="430" t="s">
        <v>211</v>
      </c>
      <c r="B19" s="118" t="s">
        <v>103</v>
      </c>
      <c r="C19" s="14">
        <f>SUM(COUNTIFS(Table4101317251247545298684173122[ATHLETE 1],Table61215192731495671100704476124[[#This Row],[Athletes]],Table4101317251247545298684173122[RESULT 12],Table36111418263048555399694375123[[#Headers],[WIN]]),COUNTIFS(Table4101317251247545298684173122[ATHLETE 2],Table61215192731495671100704476124[[#This Row],[Athletes]],Table4101317251247545298684173122[RESULT 12],Table36111418263048555399694375123[[#Headers],[WIN]]),COUNTIFS(Table4101317251247545298684173122[ATHLETE 3],Table61215192731495671100704476124[[#This Row],[Athletes]],Table4101317251247545298684173122[RESULT 34],Table36111418263048555399694375123[[#Headers],[WIN]]),COUNTIFS(Table4101317251247545298684173122[ATHLETE 4],Table61215192731495671100704476124[[#This Row],[Athletes]],Table4101317251247545298684173122[RESULT 34],Table36111418263048555399694375123[[#Headers],[WIN]]))</f>
        <v>1</v>
      </c>
      <c r="D19" s="12">
        <f>SUM(COUNTIFS(Table4101317251247545298684173122[ATHLETE 1],Table61215192731495671100704476124[[#This Row],[Athletes]],Table4101317251247545298684173122[RESULT 12],Table36111418263048555399694375123[[#Headers],[LOSE]]),COUNTIFS(Table4101317251247545298684173122[ATHLETE 2],Table61215192731495671100704476124[[#This Row],[Athletes]],Table4101317251247545298684173122[RESULT 12],Table36111418263048555399694375123[[#Headers],[LOSE]]),COUNTIFS(Table4101317251247545298684173122[ATHLETE 3],Table61215192731495671100704476124[[#This Row],[Athletes]],Table4101317251247545298684173122[RESULT 34],Table36111418263048555399694375123[[#Headers],[LOSE]]),COUNTIFS(Table4101317251247545298684173122[ATHLETE 4],Table61215192731495671100704476124[[#This Row],[Athletes]],Table4101317251247545298684173122[RESULT 34],Table36111418263048555399694375123[[#Headers],[LOSE]]))</f>
        <v>2</v>
      </c>
      <c r="E19" s="19">
        <f>SUM(SUMIF(Table4101317251247545298684173122[ATHLETE 1],Table61215192731495671100704476124[[#This Row],[Athletes]],Table4101317251247545298684173122[SALDO 12]),SUMIF(Table4101317251247545298684173122[ATHLETE 2],Table61215192731495671100704476124[[#This Row],[Athletes]],Table4101317251247545298684173122[SALDO 12]),SUMIF(Table4101317251247545298684173122[ATHLETE 3],Table61215192731495671100704476124[[#This Row],[Athletes]],Table4101317251247545298684173122[SALDO 34]),SUMIF(Table4101317251247545298684173122[ATHLETE 4],Table61215192731495671100704476124[[#This Row],[Athletes]],Table4101317251247545298684173122[SALDO 34]))</f>
        <v>1</v>
      </c>
      <c r="F19" s="19">
        <f>SUM(SUMIF(Table4101317251247545298684173122[ATHLETE 1],Table61215192731495671100704476124[[#This Row],[Athletes]],Table4101317251247545298684173122[PM 12]),SUMIF(Table4101317251247545298684173122[ATHLETE 2],Table61215192731495671100704476124[[#This Row],[Athletes]],Table4101317251247545298684173122[PM 12]),SUMIF(Table4101317251247545298684173122[ATHLETE 3],Table61215192731495671100704476124[[#This Row],[Athletes]],Table4101317251247545298684173122[PM 34]),SUMIF(Table4101317251247545298684173122[ATHLETE 4],Table61215192731495671100704476124[[#This Row],[Athletes]],Table4101317251247545298684173122[PM 34]))</f>
        <v>40</v>
      </c>
      <c r="G19" s="14" t="str">
        <f>IF(COUNTBLANK(Table4101317251247545298684173122[[SCORE 1]:[SCORE 2]])=0,IF(RANK(H19,$H$17:$H$20)=1,RANK(H19,$H$17:$H$20)&amp;"st",IF(RANK(H19,$H$17:$H$20)=2,RANK(H19,$H$17:$H$20)&amp;"nd",RANK(H19,$H$17:$H$20)&amp;"th")),"")</f>
        <v>2nd</v>
      </c>
      <c r="H19" s="51">
        <f>Table61215192731495671100704476124[[#This Row],[WIN]]*1000000+Table61215192731495671100704476124[[#This Row],[Saldo]]*1000+Table61215192731495671100704476124[[#This Row],[PM]]</f>
        <v>1001040</v>
      </c>
      <c r="L19" s="2" t="str">
        <f t="shared" si="2"/>
        <v>3rd</v>
      </c>
      <c r="M19" s="90"/>
      <c r="N19" s="90"/>
      <c r="O19" s="90"/>
      <c r="P19" s="90"/>
      <c r="Q19" s="90"/>
      <c r="R19" s="90"/>
      <c r="V19" s="66"/>
      <c r="W19" s="66"/>
      <c r="X19" s="66"/>
      <c r="Y19" s="66"/>
    </row>
    <row r="20" spans="1:25" ht="29.1">
      <c r="A20" s="430" t="s">
        <v>212</v>
      </c>
      <c r="B20" s="172" t="s">
        <v>101</v>
      </c>
      <c r="C20" s="14">
        <f>SUM(COUNTIFS(Table4101317251247545298684173122[ATHLETE 1],Table61215192731495671100704476124[[#This Row],[Athletes]],Table4101317251247545298684173122[RESULT 12],Table36111418263048555399694375123[[#Headers],[WIN]]),COUNTIFS(Table4101317251247545298684173122[ATHLETE 2],Table61215192731495671100704476124[[#This Row],[Athletes]],Table4101317251247545298684173122[RESULT 12],Table36111418263048555399694375123[[#Headers],[WIN]]),COUNTIFS(Table4101317251247545298684173122[ATHLETE 3],Table61215192731495671100704476124[[#This Row],[Athletes]],Table4101317251247545298684173122[RESULT 34],Table36111418263048555399694375123[[#Headers],[WIN]]),COUNTIFS(Table4101317251247545298684173122[ATHLETE 4],Table61215192731495671100704476124[[#This Row],[Athletes]],Table4101317251247545298684173122[RESULT 34],Table36111418263048555399694375123[[#Headers],[WIN]]))</f>
        <v>3</v>
      </c>
      <c r="D20" s="12">
        <f>SUM(COUNTIFS(Table4101317251247545298684173122[ATHLETE 1],Table61215192731495671100704476124[[#This Row],[Athletes]],Table4101317251247545298684173122[RESULT 12],Table36111418263048555399694375123[[#Headers],[LOSE]]),COUNTIFS(Table4101317251247545298684173122[ATHLETE 2],Table61215192731495671100704476124[[#This Row],[Athletes]],Table4101317251247545298684173122[RESULT 12],Table36111418263048555399694375123[[#Headers],[LOSE]]),COUNTIFS(Table4101317251247545298684173122[ATHLETE 3],Table61215192731495671100704476124[[#This Row],[Athletes]],Table4101317251247545298684173122[RESULT 34],Table36111418263048555399694375123[[#Headers],[LOSE]]),COUNTIFS(Table4101317251247545298684173122[ATHLETE 4],Table61215192731495671100704476124[[#This Row],[Athletes]],Table4101317251247545298684173122[RESULT 34],Table36111418263048555399694375123[[#Headers],[LOSE]]))</f>
        <v>0</v>
      </c>
      <c r="E20" s="19">
        <f>SUM(SUMIF(Table4101317251247545298684173122[ATHLETE 1],Table61215192731495671100704476124[[#This Row],[Athletes]],Table4101317251247545298684173122[SALDO 12]),SUMIF(Table4101317251247545298684173122[ATHLETE 2],Table61215192731495671100704476124[[#This Row],[Athletes]],Table4101317251247545298684173122[SALDO 12]),SUMIF(Table4101317251247545298684173122[ATHLETE 3],Table61215192731495671100704476124[[#This Row],[Athletes]],Table4101317251247545298684173122[SALDO 34]),SUMIF(Table4101317251247545298684173122[ATHLETE 4],Table61215192731495671100704476124[[#This Row],[Athletes]],Table4101317251247545298684173122[SALDO 34]))</f>
        <v>29</v>
      </c>
      <c r="F20" s="19">
        <f>SUM(SUMIF(Table4101317251247545298684173122[ATHLETE 1],Table61215192731495671100704476124[[#This Row],[Athletes]],Table4101317251247545298684173122[PM 12]),SUMIF(Table4101317251247545298684173122[ATHLETE 2],Table61215192731495671100704476124[[#This Row],[Athletes]],Table4101317251247545298684173122[PM 12]),SUMIF(Table4101317251247545298684173122[ATHLETE 3],Table61215192731495671100704476124[[#This Row],[Athletes]],Table4101317251247545298684173122[PM 34]),SUMIF(Table4101317251247545298684173122[ATHLETE 4],Table61215192731495671100704476124[[#This Row],[Athletes]],Table4101317251247545298684173122[PM 34]))</f>
        <v>54</v>
      </c>
      <c r="G20" s="14" t="str">
        <f>IF(COUNTBLANK(Table4101317251247545298684173122[[SCORE 1]:[SCORE 2]])=0,IF(RANK(H20,$H$17:$H$20)=1,RANK(H20,$H$17:$H$20)&amp;"st",IF(RANK(H20,$H$17:$H$20)=2,RANK(H20,$H$17:$H$20)&amp;"nd",RANK(H20,$H$17:$H$20)&amp;"th")),"")</f>
        <v>1st</v>
      </c>
      <c r="H20" s="51">
        <f>Table61215192731495671100704476124[[#This Row],[WIN]]*1000000+Table61215192731495671100704476124[[#This Row],[Saldo]]*1000+Table61215192731495671100704476124[[#This Row],[PM]]</f>
        <v>3029054</v>
      </c>
      <c r="L20" s="2" t="str">
        <f t="shared" si="2"/>
        <v>1st</v>
      </c>
      <c r="M20" s="548" t="s">
        <v>199</v>
      </c>
      <c r="N20" s="549"/>
      <c r="O20" s="549"/>
      <c r="P20" s="549"/>
      <c r="Q20" s="549"/>
      <c r="R20" s="549"/>
      <c r="V20" s="66"/>
      <c r="W20" s="66"/>
      <c r="X20" s="66"/>
      <c r="Y20" s="66"/>
    </row>
    <row r="21" spans="1:25">
      <c r="L21" s="2"/>
      <c r="M21" s="418" t="s">
        <v>193</v>
      </c>
      <c r="N21" s="418" t="s">
        <v>194</v>
      </c>
      <c r="O21" s="542" t="s">
        <v>195</v>
      </c>
      <c r="P21" s="543"/>
      <c r="Q21" s="418" t="s">
        <v>196</v>
      </c>
      <c r="R21" s="418" t="s">
        <v>197</v>
      </c>
      <c r="V21" s="66"/>
      <c r="W21" s="66"/>
      <c r="X21" s="66"/>
      <c r="Y21" s="66"/>
    </row>
    <row r="22" spans="1:25">
      <c r="M22" s="431" t="str">
        <f>IF(COUNTBLANK($O$11:$P$11),"",IF($O$12="lose",$Q$11,$M$11))</f>
        <v>Marie</v>
      </c>
      <c r="N22" s="431" t="str">
        <f>IF(COUNTBLANK($O$11:$P$11),"",IF($O$12="lose",$R$11,$N$11))</f>
        <v>Stephanie</v>
      </c>
      <c r="O22" s="119">
        <v>18</v>
      </c>
      <c r="P22" s="120">
        <v>16</v>
      </c>
      <c r="Q22" s="431" t="str">
        <f>IF(COUNTBLANK($O$16:$P$16),"",IF($O$17="lose",$Q$16,$M$16))</f>
        <v>Huçana</v>
      </c>
      <c r="R22" s="431" t="str">
        <f>IF(COUNTBLANK($O$16:$P$16),"",IF($O$17="lose",$R$16,$N$16))</f>
        <v>Bia Bertolini</v>
      </c>
      <c r="V22" s="66"/>
      <c r="W22" s="66"/>
      <c r="X22" s="66"/>
      <c r="Y22" s="66"/>
    </row>
    <row r="23" spans="1:25">
      <c r="I23" s="2"/>
      <c r="J23" s="2"/>
      <c r="K23" s="2"/>
      <c r="M23" s="62" t="str">
        <f>IF(OR($O$22="",$P$22="",$O$23="win"),"",IF($M$24&gt;$N$24,$U$5,$U$6))</f>
        <v/>
      </c>
      <c r="N23" s="62" t="str">
        <f>IF(OR($O$22="",$P$22="",$O$23="win"),"",IF($M$24&lt;$N$24,$U$5,$U$6))</f>
        <v/>
      </c>
      <c r="O23" s="2" t="str">
        <f>IF(OR(O22="",P22=""),"",IF((O22&gt;P22),"WIN","LOSE"))</f>
        <v>WIN</v>
      </c>
      <c r="P23" s="2" t="str">
        <f>IF(OR(O22="",P22=""),"",IF((O22&lt;P22),"WIN","LOSE"))</f>
        <v>LOSE</v>
      </c>
      <c r="Q23" s="62" t="str">
        <f>IF($P$23="lose",$U$5,"")</f>
        <v>3rd</v>
      </c>
      <c r="R23" s="62" t="str">
        <f>IF($P$23="lose",$U$6,"")</f>
        <v>4th</v>
      </c>
      <c r="V23" s="66"/>
      <c r="W23" s="66"/>
      <c r="X23" s="66"/>
      <c r="Y23" s="66"/>
    </row>
    <row r="24" spans="1:25">
      <c r="I24" s="2"/>
      <c r="J24" s="2"/>
      <c r="K24" s="2"/>
      <c r="M24" s="61">
        <f>IF(M22="","",_xlfn.XLOOKUP(M22,$K$11:$K$22,$I$11:$I$22))</f>
        <v>3029054</v>
      </c>
      <c r="N24" s="61">
        <f>IF(N22="","",_xlfn.XLOOKUP(N22,$K$11:$K$22,$I$11:$I$22))</f>
        <v>3024054</v>
      </c>
      <c r="Q24" s="61">
        <f>IF(Q22="","",_xlfn.XLOOKUP(Q22,$K$11:$K$22,$I$11:$I$22))</f>
        <v>1001040</v>
      </c>
      <c r="R24" s="61">
        <f>IF(R22="","",_xlfn.XLOOKUP(R22,$K$11:$K$22,$I$11:$I$22))</f>
        <v>1000042</v>
      </c>
      <c r="V24" s="66"/>
      <c r="W24" s="66"/>
      <c r="X24" s="66"/>
      <c r="Y24" s="66"/>
    </row>
    <row r="25" spans="1:25">
      <c r="I25" s="2"/>
      <c r="J25" s="2"/>
      <c r="K25" s="2"/>
      <c r="V25" s="66"/>
      <c r="W25" s="66"/>
      <c r="X25" s="66"/>
      <c r="Y25" s="66"/>
    </row>
    <row r="26" spans="1:25">
      <c r="I26" s="2"/>
      <c r="J26" s="2"/>
      <c r="K26" s="2"/>
      <c r="V26" s="66"/>
      <c r="W26" s="66"/>
      <c r="X26" s="66"/>
      <c r="Y26" s="66"/>
    </row>
    <row r="27" spans="1:25" ht="30" thickBot="1">
      <c r="M27" s="548" t="s">
        <v>200</v>
      </c>
      <c r="N27" s="549"/>
      <c r="O27" s="549"/>
      <c r="P27" s="549"/>
      <c r="Q27" s="549"/>
      <c r="R27" s="549"/>
      <c r="V27" s="66"/>
      <c r="W27" s="66"/>
      <c r="X27" s="66"/>
      <c r="Y27" s="66"/>
    </row>
    <row r="28" spans="1:25" ht="15.95" thickBot="1">
      <c r="A28" s="123" t="s">
        <v>218</v>
      </c>
      <c r="B28" s="124">
        <v>45814</v>
      </c>
      <c r="M28" s="418" t="s">
        <v>193</v>
      </c>
      <c r="N28" s="418" t="s">
        <v>194</v>
      </c>
      <c r="O28" s="542" t="s">
        <v>195</v>
      </c>
      <c r="P28" s="543"/>
      <c r="Q28" s="418" t="s">
        <v>196</v>
      </c>
      <c r="R28" s="418" t="s">
        <v>197</v>
      </c>
      <c r="T28" s="66"/>
      <c r="U28" s="66"/>
      <c r="V28" s="66"/>
      <c r="W28" s="66"/>
      <c r="X28" s="66"/>
      <c r="Y28" s="66"/>
    </row>
    <row r="29" spans="1:25">
      <c r="M29" s="432" t="str">
        <f>IF(OR($O$22="",$P$22=""),"",IF($O$23="WIN",$M$22,$Q$22))</f>
        <v>Marie</v>
      </c>
      <c r="N29" s="121" t="s">
        <v>141</v>
      </c>
      <c r="O29" s="119">
        <v>17</v>
      </c>
      <c r="P29" s="119">
        <v>19</v>
      </c>
      <c r="Q29" s="432" t="str">
        <f>IF(OR($O$22="",$P$22=""),"",IF($O$23="WIN",$N$22,$R$22))</f>
        <v>Stephanie</v>
      </c>
      <c r="R29" s="122" t="s">
        <v>103</v>
      </c>
      <c r="T29" s="66"/>
      <c r="U29" s="66"/>
      <c r="V29" s="66"/>
      <c r="W29" s="66"/>
      <c r="X29" s="66"/>
      <c r="Y29" s="66"/>
    </row>
    <row r="30" spans="1:25">
      <c r="M30" s="18" t="str">
        <f>IF(OR($O$29="",$P$29=""),"",IF($O$30="win",$U$3,$U$4))</f>
        <v>2nd</v>
      </c>
      <c r="O30" s="2" t="str">
        <f>IF(OR(O29="",P29=""),"",IF((O29&gt;P29),"WIN","LOSE"))</f>
        <v>LOSE</v>
      </c>
      <c r="P30" s="2" t="str">
        <f>IF(OR(O29="",P29=""),"",IF((O29&lt;P29),"WIN","LOSE"))</f>
        <v>WIN</v>
      </c>
      <c r="Q30" s="18" t="str">
        <f>IF(OR($O$29="",$P$29=""),"",IF($P$30="win",$U$3,$U$4))</f>
        <v>1st</v>
      </c>
      <c r="T30" s="66"/>
      <c r="U30" s="66"/>
      <c r="V30" s="66"/>
      <c r="W30" s="66"/>
      <c r="X30" s="66"/>
      <c r="Y30" s="66"/>
    </row>
    <row r="31" spans="1:25">
      <c r="T31" s="66"/>
      <c r="U31" s="66"/>
      <c r="V31" s="66"/>
      <c r="W31" s="66"/>
      <c r="X31" s="66"/>
      <c r="Y31" s="66"/>
    </row>
  </sheetData>
  <sheetProtection algorithmName="SHA-512" hashValue="c7reaXybdUAaqmp+6cdA4bNNe1Kqm7pdvNfxqOrCozASlk+axazb40sIYDBesH5ExT936yd8/89UH/IB0oyaFQ==" saltValue="ecAiDHJKCYSuwC0Qn7BLvQ==" spinCount="100000" sheet="1" objects="1" scenarios="1"/>
  <mergeCells count="10">
    <mergeCell ref="T1:U1"/>
    <mergeCell ref="A9:G9"/>
    <mergeCell ref="M9:R9"/>
    <mergeCell ref="O10:P10"/>
    <mergeCell ref="O15:P15"/>
    <mergeCell ref="M20:R20"/>
    <mergeCell ref="O21:P21"/>
    <mergeCell ref="M27:R27"/>
    <mergeCell ref="O28:P28"/>
    <mergeCell ref="A1:A7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71A8-B9C8-DF4C-A816-2317BD7E03FD}">
  <sheetPr codeName="Sheet46"/>
  <dimension ref="A1:U34"/>
  <sheetViews>
    <sheetView workbookViewId="0">
      <selection sqref="A1:I1"/>
    </sheetView>
    <sheetView workbookViewId="1">
      <selection sqref="A1:A11"/>
    </sheetView>
  </sheetViews>
  <sheetFormatPr defaultColWidth="8.85546875" defaultRowHeight="15"/>
  <cols>
    <col min="1" max="1" width="9.7109375" customWidth="1"/>
    <col min="2" max="2" width="13" bestFit="1" customWidth="1"/>
    <col min="3" max="4" width="20" customWidth="1"/>
    <col min="5" max="6" width="9.7109375" customWidth="1"/>
    <col min="7" max="7" width="14.140625" bestFit="1" customWidth="1"/>
    <col min="8" max="8" width="11.42578125" hidden="1" customWidth="1"/>
    <col min="9" max="9" width="12" hidden="1" customWidth="1"/>
    <col min="10" max="10" width="10.7109375" hidden="1" customWidth="1"/>
    <col min="11" max="11" width="8" hidden="1" customWidth="1"/>
    <col min="12" max="12" width="14.140625" bestFit="1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4" bestFit="1" customWidth="1"/>
    <col min="21" max="22" width="9.7109375" bestFit="1" customWidth="1"/>
  </cols>
  <sheetData>
    <row r="1" spans="1:21">
      <c r="A1" s="550" t="s">
        <v>259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178</v>
      </c>
      <c r="L1" s="7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260</v>
      </c>
      <c r="U1" s="545"/>
    </row>
    <row r="2" spans="1:21" ht="15" customHeight="1">
      <c r="A2" s="554"/>
      <c r="B2" s="13" t="s">
        <v>178</v>
      </c>
      <c r="C2" s="433" t="str">
        <f>B15</f>
        <v>Natalie</v>
      </c>
      <c r="D2" s="25" t="str">
        <f>B18</f>
        <v>Huçana</v>
      </c>
      <c r="E2" s="136">
        <v>18</v>
      </c>
      <c r="F2" s="137">
        <v>12</v>
      </c>
      <c r="G2" s="15" t="str">
        <f>B16</f>
        <v>Paula</v>
      </c>
      <c r="H2" s="15"/>
      <c r="I2" s="15"/>
      <c r="J2" s="15"/>
      <c r="K2" s="15"/>
      <c r="L2" s="16" t="str">
        <f>B17</f>
        <v>Carol</v>
      </c>
      <c r="M2" s="13">
        <f>IF(OR(Game_52147169[[#This Row],[SCORE 1]]="",Game_52147169[[#This Row],[SCORE 2]]=""),"",Game_52147169[[#This Row],[SCORE 1]]-Game_52147169[[#This Row],[SCORE 2]])</f>
        <v>6</v>
      </c>
      <c r="N2" s="13">
        <f>IF(OR(Game_52147169[[#This Row],[SCORE 1]]="",Game_52147169[[#This Row],[SCORE 2]]=""),"",Game_52147169[[#This Row],[SCORE 2]]-Game_52147169[[#This Row],[SCORE 1]])</f>
        <v>-6</v>
      </c>
      <c r="O2" s="13">
        <f>IF(Game_52147169[[#This Row],[SCORE 1]]="","",Game_52147169[[#This Row],[SCORE 1]])</f>
        <v>18</v>
      </c>
      <c r="P2" s="13">
        <f>IF(Game_52147169[[#This Row],[SCORE 2]]="","",Game_52147169[[#This Row],[SCORE 2]])</f>
        <v>12</v>
      </c>
      <c r="Q2" s="13" t="str">
        <f>IF(OR(Game_52147169[[#This Row],[SCORE 1]]="",Game_52147169[[#This Row],[SCORE 2]]=""),"",IF(Game_52147169[[#This Row],[SALDO 12]]&gt;0, "WIN","LOSE"))</f>
        <v>WIN</v>
      </c>
      <c r="R2" s="13" t="str">
        <f>IF(OR(Game_52147169[[#This Row],[SCORE 1]]="",Game_52147169[[#This Row],[SCORE 2]]=""),"",IF(Game_52147169[[#This Row],[SALDO 34]]&gt;0, "WIN","LOSE"))</f>
        <v>LOSE</v>
      </c>
      <c r="T2" s="21" t="s">
        <v>179</v>
      </c>
      <c r="U2" s="21" t="s">
        <v>8</v>
      </c>
    </row>
    <row r="3" spans="1:21">
      <c r="A3" s="554"/>
      <c r="B3" s="13" t="s">
        <v>180</v>
      </c>
      <c r="C3" s="433" t="str">
        <f>B22</f>
        <v>Nati</v>
      </c>
      <c r="D3" s="25" t="str">
        <f>B25</f>
        <v>Bia Bertolini</v>
      </c>
      <c r="E3" s="136">
        <v>18</v>
      </c>
      <c r="F3" s="137">
        <v>7</v>
      </c>
      <c r="G3" s="15" t="str">
        <f>B23</f>
        <v>Laura</v>
      </c>
      <c r="H3" s="15"/>
      <c r="I3" s="15"/>
      <c r="J3" s="15"/>
      <c r="K3" s="15"/>
      <c r="L3" s="16" t="str">
        <f>B24</f>
        <v>Mariana Meireles</v>
      </c>
      <c r="M3" s="13">
        <f>IF(OR(Game_52147169[[#This Row],[SCORE 1]]="",Game_52147169[[#This Row],[SCORE 2]]=""),"",Game_52147169[[#This Row],[SCORE 1]]-Game_52147169[[#This Row],[SCORE 2]])</f>
        <v>11</v>
      </c>
      <c r="N3" s="13">
        <f>IF(OR(Game_52147169[[#This Row],[SCORE 1]]="",Game_52147169[[#This Row],[SCORE 2]]=""),"",Game_52147169[[#This Row],[SCORE 2]]-Game_52147169[[#This Row],[SCORE 1]])</f>
        <v>-11</v>
      </c>
      <c r="O3" s="13">
        <f>IF(Game_52147169[[#This Row],[SCORE 1]]="","",Game_52147169[[#This Row],[SCORE 1]])</f>
        <v>18</v>
      </c>
      <c r="P3" s="13">
        <f>IF(Game_52147169[[#This Row],[SCORE 2]]="","",Game_52147169[[#This Row],[SCORE 2]])</f>
        <v>7</v>
      </c>
      <c r="Q3" s="13" t="str">
        <f>IF(OR(Game_52147169[[#This Row],[SCORE 1]]="",Game_52147169[[#This Row],[SCORE 2]]=""),"",IF(Game_52147169[[#This Row],[SALDO 12]]&gt;0, "WIN","LOSE"))</f>
        <v>WIN</v>
      </c>
      <c r="R3" s="13" t="str">
        <f>IF(OR(Game_52147169[[#This Row],[SCORE 1]]="",Game_52147169[[#This Row],[SCORE 2]]=""),"",IF(Game_52147169[[#This Row],[SALDO 34]]&gt;0, "WIN","LOSE"))</f>
        <v>LOSE</v>
      </c>
      <c r="T3" t="str">
        <f>IFERROR(_xlfn.XLOOKUP(Table1572235446678468165150176[[#This Row],[Rank]],$M$34:$R$34,$M$33:$R$33),"")</f>
        <v>Bia Bertolini</v>
      </c>
      <c r="U3" s="2" t="s">
        <v>19</v>
      </c>
    </row>
    <row r="4" spans="1:21">
      <c r="A4" s="554"/>
      <c r="B4" s="13" t="s">
        <v>178</v>
      </c>
      <c r="C4" s="433" t="str">
        <f>B15</f>
        <v>Natalie</v>
      </c>
      <c r="D4" s="25" t="str">
        <f>B17</f>
        <v>Carol</v>
      </c>
      <c r="E4" s="136">
        <v>15</v>
      </c>
      <c r="F4" s="137">
        <v>18</v>
      </c>
      <c r="G4" s="15" t="str">
        <f>B16</f>
        <v>Paula</v>
      </c>
      <c r="H4" s="15"/>
      <c r="I4" s="15"/>
      <c r="J4" s="15"/>
      <c r="K4" s="15"/>
      <c r="L4" s="16" t="str">
        <f>B19</f>
        <v>Marie</v>
      </c>
      <c r="M4" s="13">
        <f>IF(OR(Game_52147169[[#This Row],[SCORE 1]]="",Game_52147169[[#This Row],[SCORE 2]]=""),"",Game_52147169[[#This Row],[SCORE 1]]-Game_52147169[[#This Row],[SCORE 2]])</f>
        <v>-3</v>
      </c>
      <c r="N4" s="13">
        <f>IF(OR(Game_52147169[[#This Row],[SCORE 1]]="",Game_52147169[[#This Row],[SCORE 2]]=""),"",Game_52147169[[#This Row],[SCORE 2]]-Game_52147169[[#This Row],[SCORE 1]])</f>
        <v>3</v>
      </c>
      <c r="O4" s="13">
        <f>IF(Game_52147169[[#This Row],[SCORE 1]]="","",Game_52147169[[#This Row],[SCORE 1]])</f>
        <v>15</v>
      </c>
      <c r="P4" s="13">
        <f>IF(Game_52147169[[#This Row],[SCORE 2]]="","",Game_52147169[[#This Row],[SCORE 2]])</f>
        <v>18</v>
      </c>
      <c r="Q4" s="13" t="str">
        <f>IF(OR(Game_52147169[[#This Row],[SCORE 1]]="",Game_52147169[[#This Row],[SCORE 2]]=""),"",IF(Game_52147169[[#This Row],[SALDO 12]]&gt;0, "WIN","LOSE"))</f>
        <v>LOSE</v>
      </c>
      <c r="R4" s="13" t="str">
        <f>IF(OR(Game_52147169[[#This Row],[SCORE 1]]="",Game_52147169[[#This Row],[SCORE 2]]=""),"",IF(Game_52147169[[#This Row],[SALDO 34]]&gt;0, "WIN","LOSE"))</f>
        <v>WIN</v>
      </c>
      <c r="T4" t="str">
        <f>IFERROR(_xlfn.XLOOKUP(Table1572235446678468165150176[[#This Row],[Rank]],$M$34:$R$34,$M$33:$R$33),"")</f>
        <v>Marie</v>
      </c>
      <c r="U4" s="2" t="s">
        <v>22</v>
      </c>
    </row>
    <row r="5" spans="1:21">
      <c r="A5" s="554"/>
      <c r="B5" s="13" t="s">
        <v>180</v>
      </c>
      <c r="C5" s="433" t="str">
        <f>B22</f>
        <v>Nati</v>
      </c>
      <c r="D5" s="25" t="str">
        <f>B24</f>
        <v>Mariana Meireles</v>
      </c>
      <c r="E5" s="136">
        <v>17</v>
      </c>
      <c r="F5" s="137">
        <v>19</v>
      </c>
      <c r="G5" s="15" t="str">
        <f>B23</f>
        <v>Laura</v>
      </c>
      <c r="H5" s="15"/>
      <c r="I5" s="15"/>
      <c r="J5" s="15"/>
      <c r="K5" s="15"/>
      <c r="L5" s="16" t="str">
        <f>B26</f>
        <v>Stephanie</v>
      </c>
      <c r="M5" s="13">
        <f>IF(OR(Game_52147169[[#This Row],[SCORE 1]]="",Game_52147169[[#This Row],[SCORE 2]]=""),"",Game_52147169[[#This Row],[SCORE 1]]-Game_52147169[[#This Row],[SCORE 2]])</f>
        <v>-2</v>
      </c>
      <c r="N5" s="13">
        <f>IF(OR(Game_52147169[[#This Row],[SCORE 1]]="",Game_52147169[[#This Row],[SCORE 2]]=""),"",Game_52147169[[#This Row],[SCORE 2]]-Game_52147169[[#This Row],[SCORE 1]])</f>
        <v>2</v>
      </c>
      <c r="O5" s="13">
        <f>IF(Game_52147169[[#This Row],[SCORE 1]]="","",Game_52147169[[#This Row],[SCORE 1]])</f>
        <v>17</v>
      </c>
      <c r="P5" s="13">
        <f>IF(Game_52147169[[#This Row],[SCORE 2]]="","",Game_52147169[[#This Row],[SCORE 2]])</f>
        <v>19</v>
      </c>
      <c r="Q5" s="13" t="str">
        <f>IF(OR(Game_52147169[[#This Row],[SCORE 1]]="",Game_52147169[[#This Row],[SCORE 2]]=""),"",IF(Game_52147169[[#This Row],[SALDO 12]]&gt;0, "WIN","LOSE"))</f>
        <v>LOSE</v>
      </c>
      <c r="R5" s="13" t="str">
        <f>IF(OR(Game_52147169[[#This Row],[SCORE 1]]="",Game_52147169[[#This Row],[SCORE 2]]=""),"",IF(Game_52147169[[#This Row],[SALDO 34]]&gt;0, "WIN","LOSE"))</f>
        <v>WIN</v>
      </c>
      <c r="T5" t="str">
        <f>IFERROR(_xlfn.XLOOKUP(Table1572235446678468165150176[[#This Row],[Rank]],$M$27:$R$27,$M$26:$R$26),"")</f>
        <v>Natalie</v>
      </c>
      <c r="U5" s="2" t="s">
        <v>25</v>
      </c>
    </row>
    <row r="6" spans="1:21">
      <c r="A6" s="554"/>
      <c r="B6" s="13" t="s">
        <v>178</v>
      </c>
      <c r="C6" s="433" t="str">
        <f>B15</f>
        <v>Natalie</v>
      </c>
      <c r="D6" s="25" t="str">
        <f>B16</f>
        <v>Paula</v>
      </c>
      <c r="E6" s="136">
        <v>16</v>
      </c>
      <c r="F6" s="137">
        <v>18</v>
      </c>
      <c r="G6" s="15" t="str">
        <f>B18</f>
        <v>Huçana</v>
      </c>
      <c r="H6" s="15"/>
      <c r="I6" s="15"/>
      <c r="J6" s="15"/>
      <c r="K6" s="15"/>
      <c r="L6" s="16" t="str">
        <f>B19</f>
        <v>Marie</v>
      </c>
      <c r="M6" s="13">
        <f>IF(OR(Game_52147169[[#This Row],[SCORE 1]]="",Game_52147169[[#This Row],[SCORE 2]]=""),"",Game_52147169[[#This Row],[SCORE 1]]-Game_52147169[[#This Row],[SCORE 2]])</f>
        <v>-2</v>
      </c>
      <c r="N6" s="13">
        <f>IF(OR(Game_52147169[[#This Row],[SCORE 1]]="",Game_52147169[[#This Row],[SCORE 2]]=""),"",Game_52147169[[#This Row],[SCORE 2]]-Game_52147169[[#This Row],[SCORE 1]])</f>
        <v>2</v>
      </c>
      <c r="O6" s="13">
        <f>IF(Game_52147169[[#This Row],[SCORE 1]]="","",Game_52147169[[#This Row],[SCORE 1]])</f>
        <v>16</v>
      </c>
      <c r="P6" s="13">
        <f>IF(Game_52147169[[#This Row],[SCORE 2]]="","",Game_52147169[[#This Row],[SCORE 2]])</f>
        <v>18</v>
      </c>
      <c r="Q6" s="13" t="str">
        <f>IF(OR(Game_52147169[[#This Row],[SCORE 1]]="",Game_52147169[[#This Row],[SCORE 2]]=""),"",IF(Game_52147169[[#This Row],[SALDO 12]]&gt;0, "WIN","LOSE"))</f>
        <v>LOSE</v>
      </c>
      <c r="R6" s="13" t="str">
        <f>IF(OR(Game_52147169[[#This Row],[SCORE 1]]="",Game_52147169[[#This Row],[SCORE 2]]=""),"",IF(Game_52147169[[#This Row],[SALDO 34]]&gt;0, "WIN","LOSE"))</f>
        <v>WIN</v>
      </c>
      <c r="T6" t="str">
        <f>IFERROR(_xlfn.XLOOKUP(Table1572235446678468165150176[[#This Row],[Rank]],$M$27:$R$27,$M$26:$R$26),"")</f>
        <v>Paula</v>
      </c>
      <c r="U6" s="2" t="s">
        <v>28</v>
      </c>
    </row>
    <row r="7" spans="1:21">
      <c r="A7" s="554"/>
      <c r="B7" s="13" t="s">
        <v>180</v>
      </c>
      <c r="C7" s="433" t="str">
        <f>B22</f>
        <v>Nati</v>
      </c>
      <c r="D7" s="25" t="str">
        <f>B23</f>
        <v>Laura</v>
      </c>
      <c r="E7" s="136">
        <v>8</v>
      </c>
      <c r="F7" s="137">
        <v>18</v>
      </c>
      <c r="G7" s="15" t="str">
        <f>B25</f>
        <v>Bia Bertolini</v>
      </c>
      <c r="H7" s="15"/>
      <c r="I7" s="15"/>
      <c r="J7" s="15"/>
      <c r="K7" s="15"/>
      <c r="L7" s="16" t="str">
        <f>B26</f>
        <v>Stephanie</v>
      </c>
      <c r="M7" s="13">
        <f>IF(OR(Game_52147169[[#This Row],[SCORE 1]]="",Game_52147169[[#This Row],[SCORE 2]]=""),"",Game_52147169[[#This Row],[SCORE 1]]-Game_52147169[[#This Row],[SCORE 2]])</f>
        <v>-10</v>
      </c>
      <c r="N7" s="13">
        <f>IF(OR(Game_52147169[[#This Row],[SCORE 1]]="",Game_52147169[[#This Row],[SCORE 2]]=""),"",Game_52147169[[#This Row],[SCORE 2]]-Game_52147169[[#This Row],[SCORE 1]])</f>
        <v>10</v>
      </c>
      <c r="O7" s="13">
        <f>IF(Game_52147169[[#This Row],[SCORE 1]]="","",Game_52147169[[#This Row],[SCORE 1]])</f>
        <v>8</v>
      </c>
      <c r="P7" s="13">
        <f>IF(Game_52147169[[#This Row],[SCORE 2]]="","",Game_52147169[[#This Row],[SCORE 2]])</f>
        <v>18</v>
      </c>
      <c r="Q7" s="13" t="str">
        <f>IF(OR(Game_52147169[[#This Row],[SCORE 1]]="",Game_52147169[[#This Row],[SCORE 2]]=""),"",IF(Game_52147169[[#This Row],[SALDO 12]]&gt;0, "WIN","LOSE"))</f>
        <v>LOSE</v>
      </c>
      <c r="R7" s="13" t="str">
        <f>IF(OR(Game_52147169[[#This Row],[SCORE 1]]="",Game_52147169[[#This Row],[SCORE 2]]=""),"",IF(Game_52147169[[#This Row],[SALDO 34]]&gt;0, "WIN","LOSE"))</f>
        <v>WIN</v>
      </c>
      <c r="T7" t="str">
        <f>IFERROR(_xlfn.XLOOKUP(Table1572235446678468165150176[[#This Row],[Rank]],$M$16:$R$16,$M$15:$R$15),IFERROR(_xlfn.XLOOKUP(Table1572235446678468165150176[[#This Row],[Rank]],$M$21:$R$21,$M$20:$R$20),""))</f>
        <v>Stephanie</v>
      </c>
      <c r="U7" s="2" t="s">
        <v>31</v>
      </c>
    </row>
    <row r="8" spans="1:21">
      <c r="A8" s="554"/>
      <c r="B8" s="13" t="s">
        <v>178</v>
      </c>
      <c r="C8" s="433" t="str">
        <f>B15</f>
        <v>Natalie</v>
      </c>
      <c r="D8" s="25" t="str">
        <f>B19</f>
        <v>Marie</v>
      </c>
      <c r="E8" s="136">
        <v>10</v>
      </c>
      <c r="F8" s="137">
        <v>18</v>
      </c>
      <c r="G8" s="15" t="str">
        <f>B17</f>
        <v>Carol</v>
      </c>
      <c r="H8" s="15"/>
      <c r="I8" s="15"/>
      <c r="J8" s="15"/>
      <c r="K8" s="15"/>
      <c r="L8" s="16" t="str">
        <f>B18</f>
        <v>Huçana</v>
      </c>
      <c r="M8" s="13">
        <f>IF(OR(Game_52147169[[#This Row],[SCORE 1]]="",Game_52147169[[#This Row],[SCORE 2]]=""),"",Game_52147169[[#This Row],[SCORE 1]]-Game_52147169[[#This Row],[SCORE 2]])</f>
        <v>-8</v>
      </c>
      <c r="N8" s="13">
        <f>IF(OR(Game_52147169[[#This Row],[SCORE 1]]="",Game_52147169[[#This Row],[SCORE 2]]=""),"",Game_52147169[[#This Row],[SCORE 2]]-Game_52147169[[#This Row],[SCORE 1]])</f>
        <v>8</v>
      </c>
      <c r="O8" s="13">
        <f>IF(Game_52147169[[#This Row],[SCORE 1]]="","",Game_52147169[[#This Row],[SCORE 1]])</f>
        <v>10</v>
      </c>
      <c r="P8" s="13">
        <f>IF(Game_52147169[[#This Row],[SCORE 2]]="","",Game_52147169[[#This Row],[SCORE 2]])</f>
        <v>18</v>
      </c>
      <c r="Q8" s="13" t="str">
        <f>IF(OR(Game_52147169[[#This Row],[SCORE 1]]="",Game_52147169[[#This Row],[SCORE 2]]=""),"",IF(Game_52147169[[#This Row],[SALDO 12]]&gt;0, "WIN","LOSE"))</f>
        <v>LOSE</v>
      </c>
      <c r="R8" s="13" t="str">
        <f>IF(OR(Game_52147169[[#This Row],[SCORE 1]]="",Game_52147169[[#This Row],[SCORE 2]]=""),"",IF(Game_52147169[[#This Row],[SALDO 34]]&gt;0, "WIN","LOSE"))</f>
        <v>WIN</v>
      </c>
      <c r="T8" t="str">
        <f>IFERROR(_xlfn.XLOOKUP(Table1572235446678468165150176[[#This Row],[Rank]],$M$16:$R$16,$M$15:$R$15),IFERROR(_xlfn.XLOOKUP(Table1572235446678468165150176[[#This Row],[Rank]],$M$21:$R$21,$M$20:$R$20),""))</f>
        <v>Huçana</v>
      </c>
      <c r="U8" s="2" t="s">
        <v>34</v>
      </c>
    </row>
    <row r="9" spans="1:21">
      <c r="A9" s="554"/>
      <c r="B9" s="13" t="s">
        <v>180</v>
      </c>
      <c r="C9" s="433" t="str">
        <f>B22</f>
        <v>Nati</v>
      </c>
      <c r="D9" s="25" t="str">
        <f>B26</f>
        <v>Stephanie</v>
      </c>
      <c r="E9" s="136">
        <v>18</v>
      </c>
      <c r="F9" s="137">
        <v>15</v>
      </c>
      <c r="G9" s="15" t="str">
        <f>B24</f>
        <v>Mariana Meireles</v>
      </c>
      <c r="H9" s="15"/>
      <c r="I9" s="15"/>
      <c r="J9" s="15"/>
      <c r="K9" s="15"/>
      <c r="L9" s="16" t="str">
        <f>B25</f>
        <v>Bia Bertolini</v>
      </c>
      <c r="M9" s="13">
        <f>IF(OR(Game_52147169[[#This Row],[SCORE 1]]="",Game_52147169[[#This Row],[SCORE 2]]=""),"",Game_52147169[[#This Row],[SCORE 1]]-Game_52147169[[#This Row],[SCORE 2]])</f>
        <v>3</v>
      </c>
      <c r="N9" s="13">
        <f>IF(OR(Game_52147169[[#This Row],[SCORE 1]]="",Game_52147169[[#This Row],[SCORE 2]]=""),"",Game_52147169[[#This Row],[SCORE 2]]-Game_52147169[[#This Row],[SCORE 1]])</f>
        <v>-3</v>
      </c>
      <c r="O9" s="13">
        <f>IF(Game_52147169[[#This Row],[SCORE 1]]="","",Game_52147169[[#This Row],[SCORE 1]])</f>
        <v>18</v>
      </c>
      <c r="P9" s="13">
        <f>IF(Game_52147169[[#This Row],[SCORE 2]]="","",Game_52147169[[#This Row],[SCORE 2]])</f>
        <v>15</v>
      </c>
      <c r="Q9" s="13" t="str">
        <f>IF(OR(Game_52147169[[#This Row],[SCORE 1]]="",Game_52147169[[#This Row],[SCORE 2]]=""),"",IF(Game_52147169[[#This Row],[SALDO 12]]&gt;0, "WIN","LOSE"))</f>
        <v>WIN</v>
      </c>
      <c r="R9" s="13" t="str">
        <f>IF(OR(Game_52147169[[#This Row],[SCORE 1]]="",Game_52147169[[#This Row],[SCORE 2]]=""),"",IF(Game_52147169[[#This Row],[SALDO 34]]&gt;0, "WIN","LOSE"))</f>
        <v>LOSE</v>
      </c>
      <c r="T9" t="str">
        <f>IFERROR(_xlfn.XLOOKUP(Table1572235446678468165150176[[#This Row],[Rank]],$M$16:$R$16,$M$15:$R$15),IFERROR(_xlfn.XLOOKUP(Table1572235446678468165150176[[#This Row],[Rank]],$M$21:$R$21,$M$20:$R$20),""))</f>
        <v>Carol</v>
      </c>
      <c r="U9" s="2" t="s">
        <v>37</v>
      </c>
    </row>
    <row r="10" spans="1:21">
      <c r="A10" s="554"/>
      <c r="B10" s="13" t="s">
        <v>178</v>
      </c>
      <c r="C10" s="433" t="str">
        <f>B17</f>
        <v>Carol</v>
      </c>
      <c r="D10" s="25" t="str">
        <f>B19</f>
        <v>Marie</v>
      </c>
      <c r="E10" s="136">
        <v>18</v>
      </c>
      <c r="F10" s="137">
        <v>15</v>
      </c>
      <c r="G10" s="15" t="str">
        <f>B16</f>
        <v>Paula</v>
      </c>
      <c r="H10" s="15"/>
      <c r="I10" s="15"/>
      <c r="J10" s="15"/>
      <c r="K10" s="15"/>
      <c r="L10" s="16" t="str">
        <f>B18</f>
        <v>Huçana</v>
      </c>
      <c r="M10" s="13">
        <f>IF(OR(Game_52147169[[#This Row],[SCORE 1]]="",Game_52147169[[#This Row],[SCORE 2]]=""),"",Game_52147169[[#This Row],[SCORE 1]]-Game_52147169[[#This Row],[SCORE 2]])</f>
        <v>3</v>
      </c>
      <c r="N10" s="13">
        <f>IF(OR(Game_52147169[[#This Row],[SCORE 1]]="",Game_52147169[[#This Row],[SCORE 2]]=""),"",Game_52147169[[#This Row],[SCORE 2]]-Game_52147169[[#This Row],[SCORE 1]])</f>
        <v>-3</v>
      </c>
      <c r="O10" s="13">
        <f>IF(Game_52147169[[#This Row],[SCORE 1]]="","",Game_52147169[[#This Row],[SCORE 1]])</f>
        <v>18</v>
      </c>
      <c r="P10" s="13">
        <f>IF(Game_52147169[[#This Row],[SCORE 2]]="","",Game_52147169[[#This Row],[SCORE 2]])</f>
        <v>15</v>
      </c>
      <c r="Q10" s="13" t="str">
        <f>IF(OR(Game_52147169[[#This Row],[SCORE 1]]="",Game_52147169[[#This Row],[SCORE 2]]=""),"",IF(Game_52147169[[#This Row],[SALDO 12]]&gt;0, "WIN","LOSE"))</f>
        <v>WIN</v>
      </c>
      <c r="R10" s="13" t="str">
        <f>IF(OR(Game_52147169[[#This Row],[SCORE 1]]="",Game_52147169[[#This Row],[SCORE 2]]=""),"",IF(Game_52147169[[#This Row],[SALDO 34]]&gt;0, "WIN","LOSE"))</f>
        <v>LOSE</v>
      </c>
      <c r="T10" t="str">
        <f>IFERROR(_xlfn.XLOOKUP(Table1572235446678468165150176[[#This Row],[Rank]],$M$16:$R$16,$M$15:$R$15),IFERROR(_xlfn.XLOOKUP(Table1572235446678468165150176[[#This Row],[Rank]],$M$21:$R$21,$M$20:$R$20),""))</f>
        <v>Nati</v>
      </c>
      <c r="U10" s="2" t="s">
        <v>41</v>
      </c>
    </row>
    <row r="11" spans="1:21">
      <c r="A11" s="554"/>
      <c r="B11" s="13" t="s">
        <v>180</v>
      </c>
      <c r="C11" s="433" t="str">
        <f>B24</f>
        <v>Mariana Meireles</v>
      </c>
      <c r="D11" s="25" t="str">
        <f>B26</f>
        <v>Stephanie</v>
      </c>
      <c r="E11" s="136">
        <v>18</v>
      </c>
      <c r="F11" s="137">
        <v>12</v>
      </c>
      <c r="G11" s="15" t="str">
        <f>B23</f>
        <v>Laura</v>
      </c>
      <c r="H11" s="15"/>
      <c r="I11" s="15"/>
      <c r="J11" s="15"/>
      <c r="K11" s="15"/>
      <c r="L11" s="16" t="str">
        <f>B25</f>
        <v>Bia Bertolini</v>
      </c>
      <c r="M11" s="13">
        <f>IF(OR(Game_52147169[[#This Row],[SCORE 1]]="",Game_52147169[[#This Row],[SCORE 2]]=""),"",Game_52147169[[#This Row],[SCORE 1]]-Game_52147169[[#This Row],[SCORE 2]])</f>
        <v>6</v>
      </c>
      <c r="N11" s="13">
        <f>IF(OR(Game_52147169[[#This Row],[SCORE 1]]="",Game_52147169[[#This Row],[SCORE 2]]=""),"",Game_52147169[[#This Row],[SCORE 2]]-Game_52147169[[#This Row],[SCORE 1]])</f>
        <v>-6</v>
      </c>
      <c r="O11" s="13">
        <f>IF(Game_52147169[[#This Row],[SCORE 1]]="","",Game_52147169[[#This Row],[SCORE 1]])</f>
        <v>18</v>
      </c>
      <c r="P11" s="13">
        <f>IF(Game_52147169[[#This Row],[SCORE 2]]="","",Game_52147169[[#This Row],[SCORE 2]])</f>
        <v>12</v>
      </c>
      <c r="Q11" s="13" t="str">
        <f>IF(OR(Game_52147169[[#This Row],[SCORE 1]]="",Game_52147169[[#This Row],[SCORE 2]]=""),"",IF(Game_52147169[[#This Row],[SALDO 12]]&gt;0, "WIN","LOSE"))</f>
        <v>WIN</v>
      </c>
      <c r="R11" s="13" t="str">
        <f>IF(OR(Game_52147169[[#This Row],[SCORE 1]]="",Game_52147169[[#This Row],[SCORE 2]]=""),"",IF(Game_52147169[[#This Row],[SALDO 34]]&gt;0, "WIN","LOSE"))</f>
        <v>LOSE</v>
      </c>
      <c r="T11" t="str" cm="1">
        <f t="array" ref="T11">_xlfn.TEXTJOIN(", ", TRUE, _xlfn._xlws.FILTER($K$15:$K$24, $J$15:$J$24=U11,""))</f>
        <v>Mariana Meireles</v>
      </c>
      <c r="U11" s="2" t="s">
        <v>44</v>
      </c>
    </row>
    <row r="12" spans="1:21">
      <c r="T12" t="str" cm="1">
        <f t="array" ref="T12">_xlfn.TEXTJOIN(", ", TRUE, _xlfn._xlws.FILTER($K$15:$K$24, $J$15:$J$24=U12,""))</f>
        <v>Laura</v>
      </c>
      <c r="U12" s="2" t="s">
        <v>39</v>
      </c>
    </row>
    <row r="13" spans="1:21" ht="30" customHeight="1">
      <c r="A13" s="546" t="s">
        <v>182</v>
      </c>
      <c r="B13" s="547"/>
      <c r="C13" s="547"/>
      <c r="D13" s="547"/>
      <c r="E13" s="547"/>
      <c r="F13" s="547"/>
      <c r="G13" s="547"/>
      <c r="H13" s="420"/>
      <c r="I13" s="420"/>
      <c r="J13" s="420"/>
      <c r="K13" s="420"/>
      <c r="M13" s="548" t="s">
        <v>183</v>
      </c>
      <c r="N13" s="549"/>
      <c r="O13" s="549"/>
      <c r="P13" s="549"/>
      <c r="Q13" s="549"/>
      <c r="R13" s="549"/>
    </row>
    <row r="14" spans="1:21" ht="15.95">
      <c r="A14" s="6" t="s">
        <v>246</v>
      </c>
      <c r="B14" s="7" t="s">
        <v>261</v>
      </c>
      <c r="C14" s="7" t="s">
        <v>186</v>
      </c>
      <c r="D14" s="7" t="s">
        <v>187</v>
      </c>
      <c r="E14" s="7" t="s">
        <v>188</v>
      </c>
      <c r="F14" s="7" t="s">
        <v>189</v>
      </c>
      <c r="G14" s="7" t="s">
        <v>8</v>
      </c>
      <c r="H14" s="80" t="s">
        <v>190</v>
      </c>
      <c r="I14" s="20" t="s">
        <v>191</v>
      </c>
      <c r="J14" s="20" t="s">
        <v>192</v>
      </c>
      <c r="K14" s="20" t="s">
        <v>1</v>
      </c>
      <c r="L14" s="20" t="s">
        <v>192</v>
      </c>
      <c r="M14" s="418" t="s">
        <v>193</v>
      </c>
      <c r="N14" s="418" t="s">
        <v>194</v>
      </c>
      <c r="O14" s="542" t="s">
        <v>195</v>
      </c>
      <c r="P14" s="543"/>
      <c r="Q14" s="418" t="s">
        <v>196</v>
      </c>
      <c r="R14" s="418" t="s">
        <v>197</v>
      </c>
    </row>
    <row r="15" spans="1:21">
      <c r="A15" s="4" t="s">
        <v>205</v>
      </c>
      <c r="B15" s="365" t="s">
        <v>108</v>
      </c>
      <c r="C15" s="14">
        <f>SUM(COUNTIFS(Game_52147169[ATHLETE 1],Analysis_156148170[[#This Row],[Athletes ]],Game_52147169[RESULT 12],"win"),COUNTIFS(Game_52147169[ATHLETE 2],Analysis_156148170[[#This Row],[Athletes ]],Game_52147169[RESULT 12],"win"),COUNTIFS(Game_52147169[ATHLETE 3],Analysis_156148170[[#This Row],[Athletes ]],Game_52147169[RESULT 34],"win"),COUNTIFS(Game_52147169[ATHLETE 4],Analysis_156148170[[#This Row],[Athletes ]],Game_52147169[RESULT 34],"win"))</f>
        <v>1</v>
      </c>
      <c r="D15" s="14">
        <f>SUM(COUNTIFS(Game_52147169[ATHLETE 1],Analysis_156148170[[#This Row],[Athletes ]],Game_52147169[RESULT 12],"lose"),COUNTIFS(Game_52147169[ATHLETE 2],Analysis_156148170[[#This Row],[Athletes ]],Game_52147169[RESULT 12],"lose"),COUNTIFS(Game_52147169[ATHLETE 3],Analysis_156148170[[#This Row],[Athletes ]],Game_52147169[RESULT 34],"lose"),COUNTIFS(Game_52147169[ATHLETE 4],Analysis_156148170[[#This Row],[Athletes ]],Game_52147169[RESULT 34],"lose"))</f>
        <v>3</v>
      </c>
      <c r="E15" s="19">
        <f>SUM(SUMIF(Game_52147169[ATHLETE 1],Analysis_156148170[[#This Row],[Athletes ]],Game_52147169[SALDO 12]),SUMIF(Game_52147169[ATHLETE 2],Analysis_156148170[[#This Row],[Athletes ]],Game_52147169[SALDO 12]),SUMIF(Game_52147169[ATHLETE 3],Analysis_156148170[[#This Row],[Athletes ]],Game_52147169[SALDO 34]),SUMIF(Game_52147169[ATHLETE 4],Analysis_156148170[[#This Row],[Athletes ]],Game_52147169[SALDO 34]))</f>
        <v>-7</v>
      </c>
      <c r="F15" s="19">
        <f>SUM(SUMIF(Game_52147169[ATHLETE 1],Analysis_156148170[[#This Row],[Athletes ]],Game_52147169[PM 12]),SUMIF(Game_52147169[ATHLETE 2],Analysis_156148170[[#This Row],[Athletes ]],Game_52147169[PM 12]),SUMIF(Game_52147169[ATHLETE 3],Analysis_156148170[[#This Row],[Athletes ]],Game_52147169[PM 34]),SUMIF(Game_52147169[ATHLETE 4],Analysis_156148170[[#This Row],[Athletes ]],Game_52147169[PM 34]))</f>
        <v>59</v>
      </c>
      <c r="G15" s="14" t="str">
        <f>IF(COUNTBLANK(Game_52147169[[SCORE 1]:[SCORE 2]])=0,IF(RANK(H15,$H$15:$H$19)=1,RANK(H15,$H$15:$H$19)&amp;"st",IF(RANK(H15,$H$15:$H$19)=2,RANK(H15,$H$15:$H$19)&amp;"nd",IF(RANK(H15,$H$15:$H$19)=3,RANK(H15,$H$15:$H$19)&amp;"rd",RANK(H15,$H$15:$H$19)&amp;"th"))),"")</f>
        <v>4th</v>
      </c>
      <c r="H15" s="203">
        <f>Analysis_156148170[[#This Row],[WIN]]*1000000+Analysis_156148170[[#This Row],[Saldo]]*1000+Analysis_156148170[[#This Row],[PM]]</f>
        <v>993059</v>
      </c>
      <c r="I15" s="2">
        <f>H15</f>
        <v>993059</v>
      </c>
      <c r="J15" s="2" t="str">
        <f>IF(COUNTBLANK(Game_52147169[[SCORE 1]:[SCORE 2]])=0,IF(RANK(I15,$I$15:$I$24)=1,RANK(I15,$I$15:$I$24)&amp;"st",IF(RANK(I15,$I$15:$I$24)=2,RANK(I15,$I$15:$I$24)&amp;"nd",IF(RANK(I15,$I$15:$I$24)=3,RANK(I15,$I$15:$I$24)&amp;"rd",RANK(I15,$I$15:$I$24)&amp;"th"))),"")</f>
        <v>7th</v>
      </c>
      <c r="K15" s="38" t="str">
        <f>Analysis_156148170[[#This Row],[Athletes ]]</f>
        <v>Natalie</v>
      </c>
      <c r="L15" s="2" t="str">
        <f>J15</f>
        <v>7th</v>
      </c>
      <c r="M15" s="428" t="str" cm="1">
        <f t="array" ref="M15">_xlfn.TEXTJOIN(", ", TRUE, _xlfn._xlws.FILTER($K$15:$K$24, $J$15:$J$24=$U$3, ""))</f>
        <v>Stephanie</v>
      </c>
      <c r="N15" s="428" t="str" cm="1">
        <f t="array" ref="N15">_xlfn.TEXTJOIN(", ", TRUE, _xlfn._xlws.FILTER($K$15:$K$24, $J$15:$J$24=$U$4, ""))</f>
        <v>Huçana</v>
      </c>
      <c r="O15" s="119">
        <v>14</v>
      </c>
      <c r="P15" s="120">
        <v>18</v>
      </c>
      <c r="Q15" s="428" t="str" cm="1">
        <f t="array" ref="Q15">_xlfn.TEXTJOIN(", ", TRUE, _xlfn._xlws.FILTER($K$15:$K$24, $J$15:$J$24=$U$9, ""))</f>
        <v>Natalie</v>
      </c>
      <c r="R15" s="428" t="str" cm="1">
        <f t="array" ref="R15">_xlfn.TEXTJOIN(", ", TRUE, _xlfn._xlws.FILTER($K$14:$K$24, $J$14:$J$24=$U$10, ""))</f>
        <v>Paula</v>
      </c>
    </row>
    <row r="16" spans="1:21">
      <c r="A16" s="3" t="s">
        <v>206</v>
      </c>
      <c r="B16" s="365" t="s">
        <v>104</v>
      </c>
      <c r="C16" s="14">
        <f>SUM(COUNTIFS(Game_52147169[ATHLETE 1],Analysis_156148170[[#This Row],[Athletes ]],Game_52147169[RESULT 12],"win"),COUNTIFS(Game_52147169[ATHLETE 2],Analysis_156148170[[#This Row],[Athletes ]],Game_52147169[RESULT 12],"win"),COUNTIFS(Game_52147169[ATHLETE 3],Analysis_156148170[[#This Row],[Athletes ]],Game_52147169[RESULT 34],"win"),COUNTIFS(Game_52147169[ATHLETE 4],Analysis_156148170[[#This Row],[Athletes ]],Game_52147169[RESULT 34],"win"))</f>
        <v>1</v>
      </c>
      <c r="D16" s="14">
        <f>SUM(COUNTIFS(Game_52147169[ATHLETE 1],Analysis_156148170[[#This Row],[Athletes ]],Game_52147169[RESULT 12],"lose"),COUNTIFS(Game_52147169[ATHLETE 2],Analysis_156148170[[#This Row],[Athletes ]],Game_52147169[RESULT 12],"lose"),COUNTIFS(Game_52147169[ATHLETE 3],Analysis_156148170[[#This Row],[Athletes ]],Game_52147169[RESULT 34],"lose"),COUNTIFS(Game_52147169[ATHLETE 4],Analysis_156148170[[#This Row],[Athletes ]],Game_52147169[RESULT 34],"lose"))</f>
        <v>3</v>
      </c>
      <c r="E16" s="19">
        <f>SUM(SUMIF(Game_52147169[ATHLETE 1],Analysis_156148170[[#This Row],[Athletes ]],Game_52147169[SALDO 12]),SUMIF(Game_52147169[ATHLETE 2],Analysis_156148170[[#This Row],[Athletes ]],Game_52147169[SALDO 12]),SUMIF(Game_52147169[ATHLETE 3],Analysis_156148170[[#This Row],[Athletes ]],Game_52147169[SALDO 34]),SUMIF(Game_52147169[ATHLETE 4],Analysis_156148170[[#This Row],[Athletes ]],Game_52147169[SALDO 34]))</f>
        <v>-8</v>
      </c>
      <c r="F16" s="19">
        <f>SUM(SUMIF(Game_52147169[ATHLETE 1],Analysis_156148170[[#This Row],[Athletes ]],Game_52147169[PM 12]),SUMIF(Game_52147169[ATHLETE 2],Analysis_156148170[[#This Row],[Athletes ]],Game_52147169[PM 12]),SUMIF(Game_52147169[ATHLETE 3],Analysis_156148170[[#This Row],[Athletes ]],Game_52147169[PM 34]),SUMIF(Game_52147169[ATHLETE 4],Analysis_156148170[[#This Row],[Athletes ]],Game_52147169[PM 34]))</f>
        <v>61</v>
      </c>
      <c r="G16" s="14" t="str">
        <f>IF(COUNTBLANK(Game_52147169[[SCORE 1]:[SCORE 2]])=0,IF(RANK(H16,$H$15:$H$19)=1,RANK(H16,$H$15:$H$19)&amp;"st",IF(RANK(H16,$H$15:$H$19)=2,RANK(H16,$H$15:$H$19)&amp;"nd",IF(RANK(H16,$H$15:$H$19)=3,RANK(H16,$H$15:$H$19)&amp;"rd",RANK(H16,$H$15:$H$19)&amp;"th"))),"")</f>
        <v>5th</v>
      </c>
      <c r="H16" s="203">
        <f>Analysis_156148170[[#This Row],[WIN]]*1000000+Analysis_156148170[[#This Row],[Saldo]]*1000+Analysis_156148170[[#This Row],[PM]]</f>
        <v>992061</v>
      </c>
      <c r="I16" s="2">
        <f t="shared" ref="I16:I18" si="0">H16</f>
        <v>992061</v>
      </c>
      <c r="J16" s="2" t="str">
        <f>IF(COUNTBLANK(Game_52147169[[SCORE 1]:[SCORE 2]])=0,IF(RANK(I16,$I$15:$I$24)=1,RANK(I16,$I$15:$I$24)&amp;"st",IF(RANK(I16,$I$15:$I$24)=2,RANK(I16,$I$15:$I$24)&amp;"nd",IF(RANK(I16,$I$15:$I$24)=3,RANK(I16,$I$15:$I$24)&amp;"rd",RANK(I16,$I$15:$I$24)&amp;"th"))),"")</f>
        <v>8th</v>
      </c>
      <c r="K16" s="38" t="str">
        <f>Analysis_156148170[[#This Row],[Athletes ]]</f>
        <v>Paula</v>
      </c>
      <c r="L16" s="2" t="str">
        <f t="shared" ref="L16:L19" si="1">J16</f>
        <v>8th</v>
      </c>
      <c r="M16" s="127" t="str">
        <f>IF($O$16="lose",$U$7,"")</f>
        <v>5th</v>
      </c>
      <c r="N16" s="127" t="str">
        <f>IF($O$16="lose",$U$8,"")</f>
        <v>6th</v>
      </c>
      <c r="O16" s="2" t="str">
        <f>IF(OR(O15="",P15=""),"",IF((O15&gt;P15),"WIN","LOSE"))</f>
        <v>LOSE</v>
      </c>
      <c r="P16" s="2" t="str">
        <f>IF(OR(O15="",P15=""),"",IF((O15&lt;P15),"WIN","LOSE"))</f>
        <v>WIN</v>
      </c>
      <c r="Q16" s="127" t="str">
        <f>IF($P$16="lose",$U$9,"")</f>
        <v/>
      </c>
      <c r="R16" s="127" t="str">
        <f>IF($P$16="lose",$U$10,"")</f>
        <v/>
      </c>
      <c r="S16" s="17"/>
    </row>
    <row r="17" spans="1:18">
      <c r="A17" s="3" t="s">
        <v>207</v>
      </c>
      <c r="B17" s="365" t="s">
        <v>112</v>
      </c>
      <c r="C17" s="14">
        <f>SUM(COUNTIFS(Game_52147169[ATHLETE 1],Analysis_156148170[[#This Row],[Athletes ]],Game_52147169[RESULT 12],"win"),COUNTIFS(Game_52147169[ATHLETE 2],Analysis_156148170[[#This Row],[Athletes ]],Game_52147169[RESULT 12],"win"),COUNTIFS(Game_52147169[ATHLETE 3],Analysis_156148170[[#This Row],[Athletes ]],Game_52147169[RESULT 34],"win"),COUNTIFS(Game_52147169[ATHLETE 4],Analysis_156148170[[#This Row],[Athletes ]],Game_52147169[RESULT 34],"win"))</f>
        <v>2</v>
      </c>
      <c r="D17" s="14">
        <f>SUM(COUNTIFS(Game_52147169[ATHLETE 1],Analysis_156148170[[#This Row],[Athletes ]],Game_52147169[RESULT 12],"lose"),COUNTIFS(Game_52147169[ATHLETE 2],Analysis_156148170[[#This Row],[Athletes ]],Game_52147169[RESULT 12],"lose"),COUNTIFS(Game_52147169[ATHLETE 3],Analysis_156148170[[#This Row],[Athletes ]],Game_52147169[RESULT 34],"lose"),COUNTIFS(Game_52147169[ATHLETE 4],Analysis_156148170[[#This Row],[Athletes ]],Game_52147169[RESULT 34],"lose"))</f>
        <v>2</v>
      </c>
      <c r="E17" s="19">
        <f>SUM(SUMIF(Game_52147169[ATHLETE 1],Analysis_156148170[[#This Row],[Athletes ]],Game_52147169[SALDO 12]),SUMIF(Game_52147169[ATHLETE 2],Analysis_156148170[[#This Row],[Athletes ]],Game_52147169[SALDO 12]),SUMIF(Game_52147169[ATHLETE 3],Analysis_156148170[[#This Row],[Athletes ]],Game_52147169[SALDO 34]),SUMIF(Game_52147169[ATHLETE 4],Analysis_156148170[[#This Row],[Athletes ]],Game_52147169[SALDO 34]))</f>
        <v>2</v>
      </c>
      <c r="F17" s="19">
        <f>SUM(SUMIF(Game_52147169[ATHLETE 1],Analysis_156148170[[#This Row],[Athletes ]],Game_52147169[PM 12]),SUMIF(Game_52147169[ATHLETE 2],Analysis_156148170[[#This Row],[Athletes ]],Game_52147169[PM 12]),SUMIF(Game_52147169[ATHLETE 3],Analysis_156148170[[#This Row],[Athletes ]],Game_52147169[PM 34]),SUMIF(Game_52147169[ATHLETE 4],Analysis_156148170[[#This Row],[Athletes ]],Game_52147169[PM 34]))</f>
        <v>63</v>
      </c>
      <c r="G17" s="14" t="str">
        <f>IF(COUNTBLANK(Game_52147169[[SCORE 1]:[SCORE 2]])=0,IF(RANK(H17,$H$15:$H$19)=1,RANK(H17,$H$15:$H$19)&amp;"st",IF(RANK(H17,$H$15:$H$19)=2,RANK(H17,$H$15:$H$19)&amp;"nd",IF(RANK(H17,$H$15:$H$19)=3,RANK(H17,$H$15:$H$19)&amp;"rd",RANK(H17,$H$15:$H$19)&amp;"th"))),"")</f>
        <v>3rd</v>
      </c>
      <c r="H17" s="203">
        <f>Analysis_156148170[[#This Row],[WIN]]*1000000+Analysis_156148170[[#This Row],[Saldo]]*1000+Analysis_156148170[[#This Row],[PM]]</f>
        <v>2002063</v>
      </c>
      <c r="I17" s="2">
        <f t="shared" si="0"/>
        <v>2002063</v>
      </c>
      <c r="J17" s="2" t="str">
        <f>IF(COUNTBLANK(Game_52147169[[SCORE 1]:[SCORE 2]])=0,IF(RANK(I17,$I$15:$I$24)=1,RANK(I17,$I$15:$I$24)&amp;"st",IF(RANK(I17,$I$15:$I$24)=2,RANK(I17,$I$15:$I$24)&amp;"nd",IF(RANK(I17,$I$15:$I$24)=3,RANK(I17,$I$15:$I$24)&amp;"rd",RANK(I17,$I$15:$I$24)&amp;"th"))),"")</f>
        <v>5th</v>
      </c>
      <c r="K17" s="38" t="str">
        <f>Analysis_156148170[[#This Row],[Athletes ]]</f>
        <v>Carol</v>
      </c>
      <c r="L17" s="2" t="str">
        <f t="shared" si="1"/>
        <v>5th</v>
      </c>
      <c r="M17" s="90">
        <v>1</v>
      </c>
      <c r="N17" s="90">
        <v>2</v>
      </c>
      <c r="O17" s="90"/>
      <c r="P17" s="90"/>
      <c r="Q17" s="90">
        <v>7</v>
      </c>
      <c r="R17" s="90">
        <v>8</v>
      </c>
    </row>
    <row r="18" spans="1:18" ht="15.95">
      <c r="A18" s="5" t="s">
        <v>208</v>
      </c>
      <c r="B18" s="365" t="s">
        <v>103</v>
      </c>
      <c r="C18" s="14">
        <f>SUM(COUNTIFS(Game_52147169[ATHLETE 1],Analysis_156148170[[#This Row],[Athletes ]],Game_52147169[RESULT 12],"win"),COUNTIFS(Game_52147169[ATHLETE 2],Analysis_156148170[[#This Row],[Athletes ]],Game_52147169[RESULT 12],"win"),COUNTIFS(Game_52147169[ATHLETE 3],Analysis_156148170[[#This Row],[Athletes ]],Game_52147169[RESULT 34],"win"),COUNTIFS(Game_52147169[ATHLETE 4],Analysis_156148170[[#This Row],[Athletes ]],Game_52147169[RESULT 34],"win"))</f>
        <v>3</v>
      </c>
      <c r="D18" s="14">
        <f>SUM(COUNTIFS(Game_52147169[ATHLETE 1],Analysis_156148170[[#This Row],[Athletes ]],Game_52147169[RESULT 12],"lose"),COUNTIFS(Game_52147169[ATHLETE 2],Analysis_156148170[[#This Row],[Athletes ]],Game_52147169[RESULT 12],"lose"),COUNTIFS(Game_52147169[ATHLETE 3],Analysis_156148170[[#This Row],[Athletes ]],Game_52147169[RESULT 34],"lose"),COUNTIFS(Game_52147169[ATHLETE 4],Analysis_156148170[[#This Row],[Athletes ]],Game_52147169[RESULT 34],"lose"))</f>
        <v>1</v>
      </c>
      <c r="E18" s="19">
        <f>SUM(SUMIF(Game_52147169[ATHLETE 1],Analysis_156148170[[#This Row],[Athletes ]],Game_52147169[SALDO 12]),SUMIF(Game_52147169[ATHLETE 2],Analysis_156148170[[#This Row],[Athletes ]],Game_52147169[SALDO 12]),SUMIF(Game_52147169[ATHLETE 3],Analysis_156148170[[#This Row],[Athletes ]],Game_52147169[SALDO 34]),SUMIF(Game_52147169[ATHLETE 4],Analysis_156148170[[#This Row],[Athletes ]],Game_52147169[SALDO 34]))</f>
        <v>13</v>
      </c>
      <c r="F18" s="19">
        <f>SUM(SUMIF(Game_52147169[ATHLETE 1],Analysis_156148170[[#This Row],[Athletes ]],Game_52147169[PM 12]),SUMIF(Game_52147169[ATHLETE 2],Analysis_156148170[[#This Row],[Athletes ]],Game_52147169[PM 12]),SUMIF(Game_52147169[ATHLETE 3],Analysis_156148170[[#This Row],[Athletes ]],Game_52147169[PM 34]),SUMIF(Game_52147169[ATHLETE 4],Analysis_156148170[[#This Row],[Athletes ]],Game_52147169[PM 34]))</f>
        <v>69</v>
      </c>
      <c r="G18" s="14" t="str">
        <f>IF(COUNTBLANK(Game_52147169[[SCORE 1]:[SCORE 2]])=0,IF(RANK(H18,$H$15:$H$19)=1,RANK(H18,$H$15:$H$19)&amp;"st",IF(RANK(H18,$H$15:$H$19)=2,RANK(H18,$H$15:$H$19)&amp;"nd",IF(RANK(H18,$H$15:$H$19)=3,RANK(H18,$H$15:$H$19)&amp;"rd",RANK(H18,$H$15:$H$19)&amp;"th"))),"")</f>
        <v>1st</v>
      </c>
      <c r="H18" s="203">
        <f>Analysis_156148170[[#This Row],[WIN]]*1000000+Analysis_156148170[[#This Row],[Saldo]]*1000+Analysis_156148170[[#This Row],[PM]]</f>
        <v>3013069</v>
      </c>
      <c r="I18" s="2">
        <f t="shared" si="0"/>
        <v>3013069</v>
      </c>
      <c r="J18" s="2" t="str">
        <f>IF(COUNTBLANK(Game_52147169[[SCORE 1]:[SCORE 2]])=0,IF(RANK(I18,$I$15:$I$24)=1,RANK(I18,$I$15:$I$24)&amp;"st",IF(RANK(I18,$I$15:$I$24)=2,RANK(I18,$I$15:$I$24)&amp;"nd",IF(RANK(I18,$I$15:$I$24)=3,RANK(I18,$I$15:$I$24)&amp;"rd",RANK(I18,$I$15:$I$24)&amp;"th"))),"")</f>
        <v>2nd</v>
      </c>
      <c r="K18" s="38" t="str">
        <f>Analysis_156148170[[#This Row],[Athletes ]]</f>
        <v>Huçana</v>
      </c>
      <c r="L18" s="2" t="str">
        <f t="shared" si="1"/>
        <v>2nd</v>
      </c>
      <c r="M18" s="90"/>
      <c r="N18" s="90"/>
      <c r="O18" s="90"/>
      <c r="P18" s="90"/>
      <c r="Q18" s="90"/>
      <c r="R18" s="90"/>
    </row>
    <row r="19" spans="1:18">
      <c r="A19" s="3" t="s">
        <v>230</v>
      </c>
      <c r="B19" s="365" t="s">
        <v>101</v>
      </c>
      <c r="C19" s="14">
        <f>SUM(COUNTIFS(Game_52147169[ATHLETE 1],Analysis_156148170[[#This Row],[Athletes ]],Game_52147169[RESULT 12],"win"),COUNTIFS(Game_52147169[ATHLETE 2],Analysis_156148170[[#This Row],[Athletes ]],Game_52147169[RESULT 12],"win"),COUNTIFS(Game_52147169[ATHLETE 3],Analysis_156148170[[#This Row],[Athletes ]],Game_52147169[RESULT 34],"win"),COUNTIFS(Game_52147169[ATHLETE 4],Analysis_156148170[[#This Row],[Athletes ]],Game_52147169[RESULT 34],"win"))</f>
        <v>3</v>
      </c>
      <c r="D19" s="14">
        <f>SUM(COUNTIFS(Game_52147169[ATHLETE 1],Analysis_156148170[[#This Row],[Athletes ]],Game_52147169[RESULT 12],"lose"),COUNTIFS(Game_52147169[ATHLETE 2],Analysis_156148170[[#This Row],[Athletes ]],Game_52147169[RESULT 12],"lose"),COUNTIFS(Game_52147169[ATHLETE 3],Analysis_156148170[[#This Row],[Athletes ]],Game_52147169[RESULT 34],"lose"),COUNTIFS(Game_52147169[ATHLETE 4],Analysis_156148170[[#This Row],[Athletes ]],Game_52147169[RESULT 34],"lose"))</f>
        <v>1</v>
      </c>
      <c r="E19" s="19">
        <f>SUM(SUMIF(Game_52147169[ATHLETE 1],Analysis_156148170[[#This Row],[Athletes ]],Game_52147169[SALDO 12]),SUMIF(Game_52147169[ATHLETE 2],Analysis_156148170[[#This Row],[Athletes ]],Game_52147169[SALDO 12]),SUMIF(Game_52147169[ATHLETE 3],Analysis_156148170[[#This Row],[Athletes ]],Game_52147169[SALDO 34]),SUMIF(Game_52147169[ATHLETE 4],Analysis_156148170[[#This Row],[Athletes ]],Game_52147169[SALDO 34]))</f>
        <v>0</v>
      </c>
      <c r="F19" s="19">
        <f>SUM(SUMIF(Game_52147169[ATHLETE 1],Analysis_156148170[[#This Row],[Athletes ]],Game_52147169[PM 12]),SUMIF(Game_52147169[ATHLETE 2],Analysis_156148170[[#This Row],[Athletes ]],Game_52147169[PM 12]),SUMIF(Game_52147169[ATHLETE 3],Analysis_156148170[[#This Row],[Athletes ]],Game_52147169[PM 34]),SUMIF(Game_52147169[ATHLETE 4],Analysis_156148170[[#This Row],[Athletes ]],Game_52147169[PM 34]))</f>
        <v>64</v>
      </c>
      <c r="G19" s="14" t="str">
        <f>IF(COUNTBLANK(Game_52147169[[SCORE 1]:[SCORE 2]])=0,IF(RANK(H19,$H$15:$H$19)=1,RANK(H19,$H$15:$H$19)&amp;"st",IF(RANK(H19,$H$15:$H$19)=2,RANK(H19,$H$15:$H$19)&amp;"nd",IF(RANK(H19,$H$15:$H$19)=3,RANK(H19,$H$15:$H$19)&amp;"rd",RANK(H19,$H$15:$H$19)&amp;"th"))),"")</f>
        <v>2nd</v>
      </c>
      <c r="H19" s="203">
        <f>Analysis_156148170[[#This Row],[WIN]]*1000000+Analysis_156148170[[#This Row],[Saldo]]*1000+Analysis_156148170[[#This Row],[PM]]</f>
        <v>3000064</v>
      </c>
      <c r="I19" s="2">
        <f>H19</f>
        <v>3000064</v>
      </c>
      <c r="J19" s="2" t="str">
        <f>IF(COUNTBLANK(Game_52147169[[SCORE 1]:[SCORE 2]])=0,IF(RANK(I19,$I$15:$I$24)=1,RANK(I19,$I$15:$I$24)&amp;"st",IF(RANK(I19,$I$15:$I$24)=2,RANK(I19,$I$15:$I$24)&amp;"nd",IF(RANK(I19,$I$15:$I$24)=3,RANK(I19,$I$15:$I$24)&amp;"rd",RANK(I19,$I$15:$I$24)&amp;"th"))),"")</f>
        <v>3rd</v>
      </c>
      <c r="K19" s="38" t="str">
        <f>Analysis_156148170[[#This Row],[Athletes ]]</f>
        <v>Marie</v>
      </c>
      <c r="L19" s="2" t="str">
        <f t="shared" si="1"/>
        <v>3rd</v>
      </c>
      <c r="M19" s="418" t="s">
        <v>193</v>
      </c>
      <c r="N19" s="418" t="s">
        <v>194</v>
      </c>
      <c r="O19" s="542" t="s">
        <v>195</v>
      </c>
      <c r="P19" s="543"/>
      <c r="Q19" s="418" t="s">
        <v>196</v>
      </c>
      <c r="R19" s="418" t="s">
        <v>197</v>
      </c>
    </row>
    <row r="20" spans="1:18" ht="28.5" customHeight="1">
      <c r="I20" s="2">
        <f>H22</f>
        <v>2002061</v>
      </c>
      <c r="J20" s="2" t="str">
        <f>IF(COUNTBLANK(Game_52147169[[SCORE 1]:[SCORE 2]])=0,IF(RANK(I20,$I$15:$I$24)=1,RANK(I20,$I$15:$I$24)&amp;"st",IF(RANK(I20,$I$15:$I$24)=2,RANK(I20,$I$15:$I$24)&amp;"nd",IF(RANK(I20,$I$15:$I$24)=3,RANK(I20,$I$15:$I$24)&amp;"rd",RANK(I20,$I$15:$I$24)&amp;"th"))),"")</f>
        <v>6th</v>
      </c>
      <c r="K20" s="38" t="str">
        <f>B22</f>
        <v>Nati</v>
      </c>
      <c r="M20" s="147" t="str" cm="1">
        <f t="array" ref="M20">_xlfn.TEXTJOIN(", ", TRUE, _xlfn._xlws.FILTER($K$15:$K$24, $J$15:$J$24=$U$5, ""))</f>
        <v>Marie</v>
      </c>
      <c r="N20" s="147" t="str" cm="1">
        <f t="array" ref="N20">_xlfn.TEXTJOIN(", ", TRUE, _xlfn._xlws.FILTER($K$15:$K$24, $J$15:$J$24=$U$6, ""))</f>
        <v>Bia Bertolini</v>
      </c>
      <c r="O20" s="119">
        <v>18</v>
      </c>
      <c r="P20" s="119">
        <v>4</v>
      </c>
      <c r="Q20" s="147" t="str" cm="1">
        <f t="array" ref="Q20">_xlfn.TEXTJOIN(", ", TRUE, _xlfn._xlws.FILTER($K$15:$K$24, $J$15:$J$24=$U$7, ""))</f>
        <v>Carol</v>
      </c>
      <c r="R20" s="428" t="str" cm="1">
        <f t="array" ref="R20">_xlfn.TEXTJOIN(", ", TRUE, _xlfn._xlws.FILTER($K$15:$K$24, $J$15:$J$24=$U$8, ""))</f>
        <v>Nati</v>
      </c>
    </row>
    <row r="21" spans="1:18" ht="15.95">
      <c r="A21" s="6" t="s">
        <v>246</v>
      </c>
      <c r="B21" s="10" t="s">
        <v>261</v>
      </c>
      <c r="C21" s="10" t="s">
        <v>186</v>
      </c>
      <c r="D21" s="10" t="s">
        <v>187</v>
      </c>
      <c r="E21" s="10" t="s">
        <v>188</v>
      </c>
      <c r="F21" s="10" t="s">
        <v>189</v>
      </c>
      <c r="G21" s="7" t="s">
        <v>8</v>
      </c>
      <c r="H21" s="80" t="s">
        <v>190</v>
      </c>
      <c r="I21" s="2">
        <f t="shared" ref="I21:I24" si="2">H23</f>
        <v>975046</v>
      </c>
      <c r="J21" s="2" t="str">
        <f>IF(COUNTBLANK(Game_52147169[[SCORE 1]:[SCORE 2]])=0,IF(RANK(I21,$I$15:$I$24)=1,RANK(I21,$I$15:$I$24)&amp;"st",IF(RANK(I21,$I$15:$I$24)=2,RANK(I21,$I$15:$I$24)&amp;"nd",IF(RANK(I21,$I$15:$I$24)=3,RANK(I21,$I$15:$I$24)&amp;"rd",RANK(I21,$I$15:$I$24)&amp;"th"))),"")</f>
        <v>10th</v>
      </c>
      <c r="K21" s="38" t="str">
        <f t="shared" ref="K21:K24" si="3">B23</f>
        <v>Laura</v>
      </c>
      <c r="L21" s="419" t="s">
        <v>192</v>
      </c>
      <c r="M21" s="127" t="str">
        <f>IF(AND($O$21="lose",$O$16="lose"),$U$9,IF($O$21="lose",$U$7,""))</f>
        <v/>
      </c>
      <c r="N21" s="127" t="str">
        <f>IF(AND($O$21="lose",$O$16="lose"),$U$10,IF($O$21="lose",$U$8,""))</f>
        <v/>
      </c>
      <c r="O21" s="2" t="str">
        <f>IF(OR(O20="",P20=""),"",IF((O20&gt;P20),"WIN","LOSE"))</f>
        <v>WIN</v>
      </c>
      <c r="P21" s="2" t="str">
        <f>IF(OR(O20="",P20=""),"",IF((O20&lt;P20),"WIN","LOSE"))</f>
        <v>LOSE</v>
      </c>
      <c r="Q21" s="127" t="str">
        <f>IF(AND($P$21="lose",$O$16="lose"),$U$9,IF($P$21="lose",$U$7,""))</f>
        <v>7th</v>
      </c>
      <c r="R21" s="127" t="str">
        <f>IF(AND($P$21="lose",$O$16="lose"),$U$10,IF($P$21="lose",$U$8,""))</f>
        <v>8th</v>
      </c>
    </row>
    <row r="22" spans="1:18">
      <c r="A22" s="430" t="s">
        <v>209</v>
      </c>
      <c r="B22" s="365" t="s">
        <v>105</v>
      </c>
      <c r="C22" s="14">
        <f>SUM(COUNTIFS(Game_52147169[ATHLETE 1],Analysis_1664149171[[#This Row],[Athletes ]],Game_52147169[RESULT 12],"win"),COUNTIFS(Game_52147169[ATHLETE 2],Analysis_1664149171[[#This Row],[Athletes ]],Game_52147169[RESULT 12],"win"),COUNTIFS(Game_52147169[ATHLETE 3],Analysis_1664149171[[#This Row],[Athletes ]],Game_52147169[RESULT 34],"win"),COUNTIFS(Game_52147169[ATHLETE 4],Analysis_1664149171[[#This Row],[Athletes ]],Game_52147169[RESULT 34],"win"))</f>
        <v>2</v>
      </c>
      <c r="D22" s="14">
        <f>SUM(COUNTIFS(Game_52147169[ATHLETE 1],Analysis_1664149171[[#This Row],[Athletes ]],Game_52147169[RESULT 12],"lose"),COUNTIFS(Game_52147169[ATHLETE 2],Analysis_1664149171[[#This Row],[Athletes ]],Game_52147169[RESULT 12],"lose"),COUNTIFS(Game_52147169[ATHLETE 3],Analysis_1664149171[[#This Row],[Athletes ]],Game_52147169[RESULT 34],"lose"),COUNTIFS(Game_52147169[ATHLETE 4],Analysis_1664149171[[#This Row],[Athletes ]],Game_52147169[RESULT 34],"lose"))</f>
        <v>2</v>
      </c>
      <c r="E22" s="19">
        <f>SUM(SUMIF(Game_52147169[ATHLETE 1],Analysis_1664149171[[#This Row],[Athletes ]],Game_52147169[SALDO 12]),SUMIF(Game_52147169[ATHLETE 2],Analysis_1664149171[[#This Row],[Athletes ]],Game_52147169[SALDO 12]),SUMIF(Game_52147169[ATHLETE 3],Analysis_1664149171[[#This Row],[Athletes ]],Game_52147169[SALDO 34]),SUMIF(Game_52147169[ATHLETE 4],Analysis_1664149171[[#This Row],[Athletes ]],Game_52147169[SALDO 34]))</f>
        <v>2</v>
      </c>
      <c r="F22" s="19">
        <f>SUM(SUMIF(Game_52147169[ATHLETE 1],Analysis_1664149171[[#This Row],[Athletes ]],Game_52147169[PM 12]),SUMIF(Game_52147169[ATHLETE 2],Analysis_1664149171[[#This Row],[Athletes ]],Game_52147169[PM 12]),SUMIF(Game_52147169[ATHLETE 3],Analysis_1664149171[[#This Row],[Athletes ]],Game_52147169[PM 34]),SUMIF(Game_52147169[ATHLETE 4],Analysis_1664149171[[#This Row],[Athletes ]],Game_52147169[PM 34]))</f>
        <v>61</v>
      </c>
      <c r="G22" s="14" t="str">
        <f>IF(COUNTBLANK(Game_52147169[[SCORE 1]:[SCORE 2]])=0,IF(RANK(H22,$H$22:$H$26)=1,RANK(H22,$H$22:$H$26)&amp;"st",IF(RANK(H22,$H$22:$H$26)=2,RANK(H22,$H$22:$H$26)&amp;"nd",IF(RANK(H22,$H$22:$H$26)=3,RANK(H22,$H$22:$H$26)&amp;"rd",RANK(H22,$H$22:$H$26)&amp;"th"))),"")</f>
        <v>3rd</v>
      </c>
      <c r="H22" s="203">
        <f>Analysis_1664149171[[#This Row],[WIN]]*1000000+Analysis_1664149171[[#This Row],[Saldo]]*1000+Analysis_1664149171[[#This Row],[PM]]</f>
        <v>2002061</v>
      </c>
      <c r="I22" s="2">
        <f t="shared" si="2"/>
        <v>990057</v>
      </c>
      <c r="J22" s="2" t="str">
        <f>IF(COUNTBLANK(Game_52147169[[SCORE 1]:[SCORE 2]])=0,IF(RANK(I22,$I$15:$I$24)=1,RANK(I22,$I$15:$I$24)&amp;"st",IF(RANK(I22,$I$15:$I$24)=2,RANK(I22,$I$15:$I$24)&amp;"nd",IF(RANK(I22,$I$15:$I$24)=3,RANK(I22,$I$15:$I$24)&amp;"rd",RANK(I22,$I$15:$I$24)&amp;"th"))),"")</f>
        <v>9th</v>
      </c>
      <c r="K22" s="38" t="str">
        <f t="shared" si="3"/>
        <v>Mariana Meireles</v>
      </c>
      <c r="L22" s="2" t="str">
        <f>J20</f>
        <v>6th</v>
      </c>
      <c r="M22" s="90">
        <v>3</v>
      </c>
      <c r="N22" s="90">
        <v>4</v>
      </c>
      <c r="O22" s="90"/>
      <c r="P22" s="90"/>
      <c r="Q22" s="90">
        <v>5</v>
      </c>
      <c r="R22" s="90">
        <v>6</v>
      </c>
    </row>
    <row r="23" spans="1:18">
      <c r="A23" s="430" t="s">
        <v>210</v>
      </c>
      <c r="B23" s="365" t="s">
        <v>107</v>
      </c>
      <c r="C23" s="14">
        <f>SUM(COUNTIFS(Game_52147169[ATHLETE 1],Analysis_1664149171[[#This Row],[Athletes ]],Game_52147169[RESULT 12],"win"),COUNTIFS(Game_52147169[ATHLETE 2],Analysis_1664149171[[#This Row],[Athletes ]],Game_52147169[RESULT 12],"win"),COUNTIFS(Game_52147169[ATHLETE 3],Analysis_1664149171[[#This Row],[Athletes ]],Game_52147169[RESULT 34],"win"),COUNTIFS(Game_52147169[ATHLETE 4],Analysis_1664149171[[#This Row],[Athletes ]],Game_52147169[RESULT 34],"win"))</f>
        <v>1</v>
      </c>
      <c r="D23" s="14">
        <f>SUM(COUNTIFS(Game_52147169[ATHLETE 1],Analysis_1664149171[[#This Row],[Athletes ]],Game_52147169[RESULT 12],"lose"),COUNTIFS(Game_52147169[ATHLETE 2],Analysis_1664149171[[#This Row],[Athletes ]],Game_52147169[RESULT 12],"lose"),COUNTIFS(Game_52147169[ATHLETE 3],Analysis_1664149171[[#This Row],[Athletes ]],Game_52147169[RESULT 34],"lose"),COUNTIFS(Game_52147169[ATHLETE 4],Analysis_1664149171[[#This Row],[Athletes ]],Game_52147169[RESULT 34],"lose"))</f>
        <v>3</v>
      </c>
      <c r="E23" s="19">
        <f>SUM(SUMIF(Game_52147169[ATHLETE 1],Analysis_1664149171[[#This Row],[Athletes ]],Game_52147169[SALDO 12]),SUMIF(Game_52147169[ATHLETE 2],Analysis_1664149171[[#This Row],[Athletes ]],Game_52147169[SALDO 12]),SUMIF(Game_52147169[ATHLETE 3],Analysis_1664149171[[#This Row],[Athletes ]],Game_52147169[SALDO 34]),SUMIF(Game_52147169[ATHLETE 4],Analysis_1664149171[[#This Row],[Athletes ]],Game_52147169[SALDO 34]))</f>
        <v>-25</v>
      </c>
      <c r="F23" s="19">
        <f>SUM(SUMIF(Game_52147169[ATHLETE 1],Analysis_1664149171[[#This Row],[Athletes ]],Game_52147169[PM 12]),SUMIF(Game_52147169[ATHLETE 2],Analysis_1664149171[[#This Row],[Athletes ]],Game_52147169[PM 12]),SUMIF(Game_52147169[ATHLETE 3],Analysis_1664149171[[#This Row],[Athletes ]],Game_52147169[PM 34]),SUMIF(Game_52147169[ATHLETE 4],Analysis_1664149171[[#This Row],[Athletes ]],Game_52147169[PM 34]))</f>
        <v>46</v>
      </c>
      <c r="G23" s="14" t="str">
        <f>IF(COUNTBLANK(Game_52147169[[SCORE 1]:[SCORE 2]])=0,IF(RANK(H23,$H$22:$H$26)=1,RANK(H23,$H$22:$H$26)&amp;"st",IF(RANK(H23,$H$22:$H$26)=2,RANK(H23,$H$22:$H$26)&amp;"nd",IF(RANK(H23,$H$22:$H$26)=3,RANK(H23,$H$22:$H$26)&amp;"rd",RANK(H23,$H$22:$H$26)&amp;"th"))),"")</f>
        <v>5th</v>
      </c>
      <c r="H23" s="203">
        <f>Analysis_1664149171[[#This Row],[WIN]]*1000000+Analysis_1664149171[[#This Row],[Saldo]]*1000+Analysis_1664149171[[#This Row],[PM]]</f>
        <v>975046</v>
      </c>
      <c r="I23" s="2">
        <f t="shared" si="2"/>
        <v>2012063</v>
      </c>
      <c r="J23" s="2" t="str">
        <f>IF(COUNTBLANK(Game_52147169[[SCORE 1]:[SCORE 2]])=0,IF(RANK(I23,$I$15:$I$24)=1,RANK(I23,$I$15:$I$24)&amp;"st",IF(RANK(I23,$I$15:$I$24)=2,RANK(I23,$I$15:$I$24)&amp;"nd",IF(RANK(I23,$I$15:$I$24)=3,RANK(I23,$I$15:$I$24)&amp;"rd",RANK(I23,$I$15:$I$24)&amp;"th"))),"")</f>
        <v>4th</v>
      </c>
      <c r="K23" s="38" t="str">
        <f t="shared" si="3"/>
        <v>Bia Bertolini</v>
      </c>
      <c r="L23" s="2" t="str">
        <f t="shared" ref="L23:L26" si="4">J21</f>
        <v>10th</v>
      </c>
      <c r="M23" s="90"/>
      <c r="N23" s="90"/>
      <c r="O23" s="90"/>
      <c r="P23" s="90"/>
      <c r="Q23" s="90"/>
      <c r="R23" s="90"/>
    </row>
    <row r="24" spans="1:18" ht="29.1">
      <c r="A24" s="430" t="s">
        <v>211</v>
      </c>
      <c r="B24" s="365" t="s">
        <v>106</v>
      </c>
      <c r="C24" s="14">
        <f>SUM(COUNTIFS(Game_52147169[ATHLETE 1],Analysis_1664149171[[#This Row],[Athletes ]],Game_52147169[RESULT 12],"win"),COUNTIFS(Game_52147169[ATHLETE 2],Analysis_1664149171[[#This Row],[Athletes ]],Game_52147169[RESULT 12],"win"),COUNTIFS(Game_52147169[ATHLETE 3],Analysis_1664149171[[#This Row],[Athletes ]],Game_52147169[RESULT 34],"win"),COUNTIFS(Game_52147169[ATHLETE 4],Analysis_1664149171[[#This Row],[Athletes ]],Game_52147169[RESULT 34],"win"))</f>
        <v>1</v>
      </c>
      <c r="D24" s="14">
        <f>SUM(COUNTIFS(Game_52147169[ATHLETE 1],Analysis_1664149171[[#This Row],[Athletes ]],Game_52147169[RESULT 12],"lose"),COUNTIFS(Game_52147169[ATHLETE 2],Analysis_1664149171[[#This Row],[Athletes ]],Game_52147169[RESULT 12],"lose"),COUNTIFS(Game_52147169[ATHLETE 3],Analysis_1664149171[[#This Row],[Athletes ]],Game_52147169[RESULT 34],"lose"),COUNTIFS(Game_52147169[ATHLETE 4],Analysis_1664149171[[#This Row],[Athletes ]],Game_52147169[RESULT 34],"lose"))</f>
        <v>3</v>
      </c>
      <c r="E24" s="19">
        <f>SUM(SUMIF(Game_52147169[ATHLETE 1],Analysis_1664149171[[#This Row],[Athletes ]],Game_52147169[SALDO 12]),SUMIF(Game_52147169[ATHLETE 2],Analysis_1664149171[[#This Row],[Athletes ]],Game_52147169[SALDO 12]),SUMIF(Game_52147169[ATHLETE 3],Analysis_1664149171[[#This Row],[Athletes ]],Game_52147169[SALDO 34]),SUMIF(Game_52147169[ATHLETE 4],Analysis_1664149171[[#This Row],[Athletes ]],Game_52147169[SALDO 34]))</f>
        <v>-10</v>
      </c>
      <c r="F24" s="19">
        <f>SUM(SUMIF(Game_52147169[ATHLETE 1],Analysis_1664149171[[#This Row],[Athletes ]],Game_52147169[PM 12]),SUMIF(Game_52147169[ATHLETE 2],Analysis_1664149171[[#This Row],[Athletes ]],Game_52147169[PM 12]),SUMIF(Game_52147169[ATHLETE 3],Analysis_1664149171[[#This Row],[Athletes ]],Game_52147169[PM 34]),SUMIF(Game_52147169[ATHLETE 4],Analysis_1664149171[[#This Row],[Athletes ]],Game_52147169[PM 34]))</f>
        <v>57</v>
      </c>
      <c r="G24" s="14" t="str">
        <f>IF(COUNTBLANK(Game_52147169[[SCORE 1]:[SCORE 2]])=0,IF(RANK(H24,$H$22:$H$26)=1,RANK(H24,$H$22:$H$26)&amp;"st",IF(RANK(H24,$H$22:$H$26)=2,RANK(H24,$H$22:$H$26)&amp;"nd",IF(RANK(H24,$H$22:$H$26)=3,RANK(H24,$H$22:$H$26)&amp;"rd",RANK(H24,$H$22:$H$26)&amp;"th"))),"")</f>
        <v>4th</v>
      </c>
      <c r="H24" s="203">
        <f>Analysis_1664149171[[#This Row],[WIN]]*1000000+Analysis_1664149171[[#This Row],[Saldo]]*1000+Analysis_1664149171[[#This Row],[PM]]</f>
        <v>990057</v>
      </c>
      <c r="I24" s="2">
        <f t="shared" si="2"/>
        <v>4021073</v>
      </c>
      <c r="J24" s="2" t="str">
        <f>IF(COUNTBLANK(Game_52147169[[SCORE 1]:[SCORE 2]])=0,IF(RANK(I24,$I$15:$I$24)=1,RANK(I24,$I$15:$I$24)&amp;"st",IF(RANK(I24,$I$15:$I$24)=2,RANK(I24,$I$15:$I$24)&amp;"nd",IF(RANK(I24,$I$15:$I$24)=3,RANK(I24,$I$15:$I$24)&amp;"rd",RANK(I24,$I$15:$I$24)&amp;"th"))),"")</f>
        <v>1st</v>
      </c>
      <c r="K24" s="38" t="str">
        <f t="shared" si="3"/>
        <v>Stephanie</v>
      </c>
      <c r="L24" s="2" t="str">
        <f t="shared" si="4"/>
        <v>9th</v>
      </c>
      <c r="M24" s="548" t="s">
        <v>199</v>
      </c>
      <c r="N24" s="549"/>
      <c r="O24" s="549"/>
      <c r="P24" s="549"/>
      <c r="Q24" s="549"/>
      <c r="R24" s="549"/>
    </row>
    <row r="25" spans="1:18">
      <c r="A25" s="430" t="s">
        <v>212</v>
      </c>
      <c r="B25" s="365" t="s">
        <v>102</v>
      </c>
      <c r="C25" s="14">
        <f>SUM(COUNTIFS(Game_52147169[ATHLETE 1],Analysis_1664149171[[#This Row],[Athletes ]],Game_52147169[RESULT 12],"win"),COUNTIFS(Game_52147169[ATHLETE 2],Analysis_1664149171[[#This Row],[Athletes ]],Game_52147169[RESULT 12],"win"),COUNTIFS(Game_52147169[ATHLETE 3],Analysis_1664149171[[#This Row],[Athletes ]],Game_52147169[RESULT 34],"win"),COUNTIFS(Game_52147169[ATHLETE 4],Analysis_1664149171[[#This Row],[Athletes ]],Game_52147169[RESULT 34],"win"))</f>
        <v>2</v>
      </c>
      <c r="D25" s="14">
        <f>SUM(COUNTIFS(Game_52147169[ATHLETE 1],Analysis_1664149171[[#This Row],[Athletes ]],Game_52147169[RESULT 12],"lose"),COUNTIFS(Game_52147169[ATHLETE 2],Analysis_1664149171[[#This Row],[Athletes ]],Game_52147169[RESULT 12],"lose"),COUNTIFS(Game_52147169[ATHLETE 3],Analysis_1664149171[[#This Row],[Athletes ]],Game_52147169[RESULT 34],"lose"),COUNTIFS(Game_52147169[ATHLETE 4],Analysis_1664149171[[#This Row],[Athletes ]],Game_52147169[RESULT 34],"lose"))</f>
        <v>2</v>
      </c>
      <c r="E25" s="19">
        <f>SUM(SUMIF(Game_52147169[ATHLETE 1],Analysis_1664149171[[#This Row],[Athletes ]],Game_52147169[SALDO 12]),SUMIF(Game_52147169[ATHLETE 2],Analysis_1664149171[[#This Row],[Athletes ]],Game_52147169[SALDO 12]),SUMIF(Game_52147169[ATHLETE 3],Analysis_1664149171[[#This Row],[Athletes ]],Game_52147169[SALDO 34]),SUMIF(Game_52147169[ATHLETE 4],Analysis_1664149171[[#This Row],[Athletes ]],Game_52147169[SALDO 34]))</f>
        <v>12</v>
      </c>
      <c r="F25" s="19">
        <f>SUM(SUMIF(Game_52147169[ATHLETE 1],Analysis_1664149171[[#This Row],[Athletes ]],Game_52147169[PM 12]),SUMIF(Game_52147169[ATHLETE 2],Analysis_1664149171[[#This Row],[Athletes ]],Game_52147169[PM 12]),SUMIF(Game_52147169[ATHLETE 3],Analysis_1664149171[[#This Row],[Athletes ]],Game_52147169[PM 34]),SUMIF(Game_52147169[ATHLETE 4],Analysis_1664149171[[#This Row],[Athletes ]],Game_52147169[PM 34]))</f>
        <v>63</v>
      </c>
      <c r="G25" s="14" t="str">
        <f>IF(COUNTBLANK(Game_52147169[[SCORE 1]:[SCORE 2]])=0,IF(RANK(H25,$H$22:$H$26)=1,RANK(H25,$H$22:$H$26)&amp;"st",IF(RANK(H25,$H$22:$H$26)=2,RANK(H25,$H$22:$H$26)&amp;"nd",IF(RANK(H25,$H$22:$H$26)=3,RANK(H25,$H$22:$H$26)&amp;"rd",RANK(H25,$H$22:$H$26)&amp;"th"))),"")</f>
        <v>2nd</v>
      </c>
      <c r="H25" s="203">
        <f>Analysis_1664149171[[#This Row],[WIN]]*1000000+Analysis_1664149171[[#This Row],[Saldo]]*1000+Analysis_1664149171[[#This Row],[PM]]</f>
        <v>2012063</v>
      </c>
      <c r="I25" s="2"/>
      <c r="J25" s="2" t="str">
        <f>IF(COUNTBLANK(Table41013172512475452986841[[SCORE 1]:[SCORE 2]])=0,IF(RANK(I25,$I$14:$I$25)=1,RANK(I25,$I$14:$I$25)&amp;"st",IF(RANK(I25,$I$14:$I$25)=2,RANK(I25,$I$14:$I$25)&amp;"nd",IF(RANK(I25,$I$14:$I$25)=3,RANK(I25,$I$14:$I$25)&amp;"rd",RANK(I25,$I$14:$I$25)&amp;"th"))),"")</f>
        <v/>
      </c>
      <c r="L25" s="2" t="str">
        <f t="shared" si="4"/>
        <v>4th</v>
      </c>
      <c r="M25" s="418" t="s">
        <v>193</v>
      </c>
      <c r="N25" s="418" t="s">
        <v>194</v>
      </c>
      <c r="O25" s="542" t="s">
        <v>195</v>
      </c>
      <c r="P25" s="543"/>
      <c r="Q25" s="418" t="s">
        <v>196</v>
      </c>
      <c r="R25" s="418" t="s">
        <v>197</v>
      </c>
    </row>
    <row r="26" spans="1:18">
      <c r="A26" s="11" t="s">
        <v>231</v>
      </c>
      <c r="B26" s="365" t="s">
        <v>100</v>
      </c>
      <c r="C26" s="14">
        <f>SUM(COUNTIFS(Game_52147169[ATHLETE 1],Analysis_1664149171[[#This Row],[Athletes ]],Game_52147169[RESULT 12],"win"),COUNTIFS(Game_52147169[ATHLETE 2],Analysis_1664149171[[#This Row],[Athletes ]],Game_52147169[RESULT 12],"win"),COUNTIFS(Game_52147169[ATHLETE 3],Analysis_1664149171[[#This Row],[Athletes ]],Game_52147169[RESULT 34],"win"),COUNTIFS(Game_52147169[ATHLETE 4],Analysis_1664149171[[#This Row],[Athletes ]],Game_52147169[RESULT 34],"win"))</f>
        <v>4</v>
      </c>
      <c r="D26" s="14">
        <f>SUM(COUNTIFS(Game_52147169[ATHLETE 1],Analysis_1664149171[[#This Row],[Athletes ]],Game_52147169[RESULT 12],"lose"),COUNTIFS(Game_52147169[ATHLETE 2],Analysis_1664149171[[#This Row],[Athletes ]],Game_52147169[RESULT 12],"lose"),COUNTIFS(Game_52147169[ATHLETE 3],Analysis_1664149171[[#This Row],[Athletes ]],Game_52147169[RESULT 34],"lose"),COUNTIFS(Game_52147169[ATHLETE 4],Analysis_1664149171[[#This Row],[Athletes ]],Game_52147169[RESULT 34],"lose"))</f>
        <v>0</v>
      </c>
      <c r="E26" s="19">
        <f>SUM(SUMIF(Game_52147169[ATHLETE 1],Analysis_1664149171[[#This Row],[Athletes ]],Game_52147169[SALDO 12]),SUMIF(Game_52147169[ATHLETE 2],Analysis_1664149171[[#This Row],[Athletes ]],Game_52147169[SALDO 12]),SUMIF(Game_52147169[ATHLETE 3],Analysis_1664149171[[#This Row],[Athletes ]],Game_52147169[SALDO 34]),SUMIF(Game_52147169[ATHLETE 4],Analysis_1664149171[[#This Row],[Athletes ]],Game_52147169[SALDO 34]))</f>
        <v>21</v>
      </c>
      <c r="F26" s="19">
        <f>SUM(SUMIF(Game_52147169[ATHLETE 1],Analysis_1664149171[[#This Row],[Athletes ]],Game_52147169[PM 12]),SUMIF(Game_52147169[ATHLETE 2],Analysis_1664149171[[#This Row],[Athletes ]],Game_52147169[PM 12]),SUMIF(Game_52147169[ATHLETE 3],Analysis_1664149171[[#This Row],[Athletes ]],Game_52147169[PM 34]),SUMIF(Game_52147169[ATHLETE 4],Analysis_1664149171[[#This Row],[Athletes ]],Game_52147169[PM 34]))</f>
        <v>73</v>
      </c>
      <c r="G26" s="14" t="str">
        <f>IF(COUNTBLANK(Game_52147169[[SCORE 1]:[SCORE 2]])=0,IF(RANK(H26,$H$22:$H$26)=1,RANK(H26,$H$22:$H$26)&amp;"st",IF(RANK(H26,$H$22:$H$26)=2,RANK(H26,$H$22:$H$26)&amp;"nd",IF(RANK(H26,$H$22:$H$26)=3,RANK(H26,$H$22:$H$26)&amp;"rd",RANK(H26,$H$22:$H$26)&amp;"th"))),"")</f>
        <v>1st</v>
      </c>
      <c r="H26" s="203">
        <f>Analysis_1664149171[[#This Row],[WIN]]*1000000+Analysis_1664149171[[#This Row],[Saldo]]*1000+Analysis_1664149171[[#This Row],[PM]]</f>
        <v>4021073</v>
      </c>
      <c r="I26" s="2"/>
      <c r="J26" s="2" t="str">
        <f>IF(COUNTBLANK(Table41013172512475452986841[[SCORE 1]:[SCORE 2]])=0,IF(RANK(I26,$I$14:$I$25)=1,RANK(I26,$I$14:$I$25)&amp;"st",IF(RANK(I26,$I$14:$I$25)=2,RANK(I26,$I$14:$I$25)&amp;"nd",IF(RANK(I26,$I$14:$I$25)=3,RANK(I26,$I$14:$I$25)&amp;"rd",RANK(I26,$I$14:$I$25)&amp;"th"))),"")</f>
        <v/>
      </c>
      <c r="L26" s="2" t="str">
        <f t="shared" si="4"/>
        <v>1st</v>
      </c>
      <c r="M26" s="431" t="str">
        <f>IF(COUNTBLANK($O$15:$P$15),"",IF($O$16="lose",$Q$15,$M$15))</f>
        <v>Natalie</v>
      </c>
      <c r="N26" s="431" t="str">
        <f>IF(COUNTBLANK($O$15:$P$15),"",IF($O$16="lose",$R$15,$N$15))</f>
        <v>Paula</v>
      </c>
      <c r="O26" s="119">
        <v>8</v>
      </c>
      <c r="P26" s="120">
        <v>18</v>
      </c>
      <c r="Q26" s="431" t="str">
        <f>IF(COUNTBLANK($O$20:$P$20),"",IF($O$21="lose",$Q$20,$M$20))</f>
        <v>Marie</v>
      </c>
      <c r="R26" s="431" t="str">
        <f>IF(COUNTBLANK($O$20:$P$20),"",IF($O$21="lose",$R$20,$N$20))</f>
        <v>Bia Bertolini</v>
      </c>
    </row>
    <row r="27" spans="1:18" ht="15.95" thickBot="1">
      <c r="I27" s="2"/>
      <c r="J27" s="2"/>
      <c r="K27" s="2"/>
      <c r="M27" s="62" t="str">
        <f>IF($O$27="lose",$U$5,"")</f>
        <v>3rd</v>
      </c>
      <c r="N27" s="62" t="str">
        <f>IF($O$27="lose",$U$6,"")</f>
        <v>4th</v>
      </c>
      <c r="O27" s="2" t="str">
        <f>IF(OR(O26="",P26=""),"",IF((O26&gt;P26),"WIN","LOSE"))</f>
        <v>LOSE</v>
      </c>
      <c r="P27" s="2" t="str">
        <f>IF(OR(O26="",P26=""),"",IF((O26&lt;P26),"WIN","LOSE"))</f>
        <v>WIN</v>
      </c>
      <c r="Q27" s="62" t="str">
        <f>IF($P$27="lose",$U$5,"")</f>
        <v/>
      </c>
      <c r="R27" s="62" t="str">
        <f>IF($P$27="lose",$U$6,"")</f>
        <v/>
      </c>
    </row>
    <row r="28" spans="1:18" ht="15.95" thickBot="1">
      <c r="A28" s="124">
        <v>45862</v>
      </c>
      <c r="B28" s="44" t="s">
        <v>256</v>
      </c>
      <c r="I28" s="2"/>
      <c r="J28" s="2"/>
      <c r="K28" s="2"/>
      <c r="M28" s="61">
        <f>IF(M26="","",_xlfn.XLOOKUP(M26,$K$14:$K$25,$I$14:$I$25))</f>
        <v>993059</v>
      </c>
      <c r="N28" s="61">
        <f>IF(N26="","",_xlfn.XLOOKUP(N26,$K$14:$K$25,$I$14:$I$25))</f>
        <v>992061</v>
      </c>
      <c r="Q28" s="61">
        <f>IF(Q26="","",_xlfn.XLOOKUP(Q26,$K$14:$K$25,$I$14:$I$25))</f>
        <v>3000064</v>
      </c>
      <c r="R28" s="61">
        <f>IF(R26="","",_xlfn.XLOOKUP(R26,$K$14:$K$25,$I$14:$I$25))</f>
        <v>2012063</v>
      </c>
    </row>
    <row r="29" spans="1:18">
      <c r="I29" s="2"/>
      <c r="J29" s="2"/>
      <c r="K29" s="2"/>
    </row>
    <row r="30" spans="1:18">
      <c r="I30" s="2"/>
      <c r="J30" s="2"/>
      <c r="K30" s="2"/>
    </row>
    <row r="31" spans="1:18" ht="29.1">
      <c r="M31" s="548" t="s">
        <v>200</v>
      </c>
      <c r="N31" s="549"/>
      <c r="O31" s="549"/>
      <c r="P31" s="549"/>
      <c r="Q31" s="549"/>
      <c r="R31" s="549"/>
    </row>
    <row r="32" spans="1:18">
      <c r="M32" s="418" t="s">
        <v>193</v>
      </c>
      <c r="N32" s="418" t="s">
        <v>194</v>
      </c>
      <c r="O32" s="542" t="s">
        <v>195</v>
      </c>
      <c r="P32" s="543"/>
      <c r="Q32" s="418" t="s">
        <v>196</v>
      </c>
      <c r="R32" s="418" t="s">
        <v>197</v>
      </c>
    </row>
    <row r="33" spans="13:18">
      <c r="M33" s="432" t="str">
        <f>IF(OR($O$26="",$P$26=""),"",IF($O$27="WIN",$M$26,$Q$26))</f>
        <v>Marie</v>
      </c>
      <c r="N33" s="121"/>
      <c r="O33" s="119">
        <v>0</v>
      </c>
      <c r="P33" s="119">
        <v>18</v>
      </c>
      <c r="Q33" s="432" t="str">
        <f>IF(OR($O$26="",$P$26=""),"",IF($O$27="WIN",$N$26,$R$26))</f>
        <v>Bia Bertolini</v>
      </c>
      <c r="R33" s="122"/>
    </row>
    <row r="34" spans="13:18">
      <c r="M34" s="18" t="str">
        <f>IF(OR($O$34="",$P$34=""),"",IF($O$34="win",$U$3,$U$4))</f>
        <v>2nd</v>
      </c>
      <c r="O34" s="2" t="str">
        <f>IF(OR(O33="",P33=""),"",IF((O33&gt;P33),"WIN","LOSE"))</f>
        <v>LOSE</v>
      </c>
      <c r="P34" s="2" t="str">
        <f>IF(OR(O33="",P33=""),"",IF((O33&lt;P33),"WIN","LOSE"))</f>
        <v>WIN</v>
      </c>
      <c r="Q34" s="18" t="str">
        <f>IF(OR($O$34="",$P$34=""),"",IF($P$34="win",$U$3,$U$4))</f>
        <v>1st</v>
      </c>
    </row>
  </sheetData>
  <sheetProtection algorithmName="SHA-512" hashValue="FLmmsWm0zQEJO0OS10BT5gXILn3AK+wnN2PkQJCbs5Jgymw71y/xooOy3ISWhn8wNSP3o40yg03A7vdplWUfiA==" saltValue="RN/5fky3ob1h3797E1OSBQ==" spinCount="100000" sheet="1" objects="1" scenarios="1"/>
  <mergeCells count="10">
    <mergeCell ref="M24:R24"/>
    <mergeCell ref="O25:P25"/>
    <mergeCell ref="M31:R31"/>
    <mergeCell ref="O32:P32"/>
    <mergeCell ref="A1:A11"/>
    <mergeCell ref="T1:U1"/>
    <mergeCell ref="A13:G13"/>
    <mergeCell ref="M13:R13"/>
    <mergeCell ref="O14:P14"/>
    <mergeCell ref="O19:P19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0660-1983-BF45-91C8-BE541C757E32}">
  <sheetPr codeName="Sheet10"/>
  <dimension ref="A1:AA33"/>
  <sheetViews>
    <sheetView topLeftCell="O1" workbookViewId="0">
      <selection sqref="A1:I1"/>
    </sheetView>
    <sheetView workbookViewId="1">
      <selection sqref="A1:A11"/>
    </sheetView>
  </sheetViews>
  <sheetFormatPr defaultColWidth="8.85546875" defaultRowHeight="15"/>
  <cols>
    <col min="1" max="1" width="9.7109375" customWidth="1"/>
    <col min="2" max="4" width="20" customWidth="1"/>
    <col min="5" max="6" width="9.7109375" customWidth="1"/>
    <col min="7" max="7" width="20" customWidth="1"/>
    <col min="8" max="8" width="11.42578125" hidden="1" customWidth="1"/>
    <col min="9" max="9" width="12" hidden="1" customWidth="1"/>
    <col min="10" max="10" width="8" hidden="1" customWidth="1"/>
    <col min="11" max="11" width="20" customWidth="1"/>
    <col min="12" max="12" width="13.42578125" bestFit="1" customWidth="1"/>
    <col min="13" max="14" width="14.140625" bestFit="1" customWidth="1"/>
    <col min="15" max="16" width="10.42578125" bestFit="1" customWidth="1"/>
    <col min="17" max="18" width="14.85546875" bestFit="1" customWidth="1"/>
    <col min="19" max="19" width="14" bestFit="1" customWidth="1"/>
    <col min="20" max="21" width="9.7109375" bestFit="1" customWidth="1"/>
  </cols>
  <sheetData>
    <row r="1" spans="1:20">
      <c r="A1" s="550" t="s">
        <v>262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170</v>
      </c>
      <c r="L1" s="7" t="s">
        <v>171</v>
      </c>
      <c r="M1" s="7" t="s">
        <v>172</v>
      </c>
      <c r="N1" s="7" t="s">
        <v>173</v>
      </c>
      <c r="O1" s="7" t="s">
        <v>174</v>
      </c>
      <c r="P1" s="7" t="s">
        <v>175</v>
      </c>
      <c r="Q1" s="7" t="s">
        <v>176</v>
      </c>
      <c r="S1" s="544" t="s">
        <v>263</v>
      </c>
      <c r="T1" s="545"/>
    </row>
    <row r="2" spans="1:20" ht="15" customHeight="1">
      <c r="A2" s="554"/>
      <c r="B2" s="13" t="s">
        <v>178</v>
      </c>
      <c r="C2" s="433" t="str">
        <f>B15</f>
        <v>Jackson</v>
      </c>
      <c r="D2" s="25" t="str">
        <f>B18</f>
        <v>Marco</v>
      </c>
      <c r="E2" s="136">
        <v>5</v>
      </c>
      <c r="F2" s="137">
        <v>18</v>
      </c>
      <c r="G2" s="15" t="str">
        <f>B16</f>
        <v>Raileno</v>
      </c>
      <c r="H2" s="15"/>
      <c r="I2" s="15"/>
      <c r="J2" s="15"/>
      <c r="K2" s="16" t="str">
        <f>B17</f>
        <v>Andrew</v>
      </c>
      <c r="L2" s="13">
        <f>IF(OR(Game_534[[#This Row],[SCORE 1]]="",Game_534[[#This Row],[SCORE 2]]=""),"",Game_534[[#This Row],[SCORE 1]]-Game_534[[#This Row],[SCORE 2]])</f>
        <v>-13</v>
      </c>
      <c r="M2" s="13">
        <f>IF(OR(Game_534[[#This Row],[SCORE 1]]="",Game_534[[#This Row],[SCORE 2]]=""),"",Game_534[[#This Row],[SCORE 2]]-Game_534[[#This Row],[SCORE 1]])</f>
        <v>13</v>
      </c>
      <c r="N2" s="13">
        <f>IF(Game_534[[#This Row],[SCORE 1]]="","",Game_534[[#This Row],[SCORE 1]])</f>
        <v>5</v>
      </c>
      <c r="O2" s="13">
        <f>IF(Game_534[[#This Row],[SCORE 2]]="","",Game_534[[#This Row],[SCORE 2]])</f>
        <v>18</v>
      </c>
      <c r="P2" s="13" t="str">
        <f>IF(OR(Game_534[[#This Row],[SCORE 1]]="",Game_534[[#This Row],[SCORE 2]]=""),"",IF(Game_534[[#This Row],[SALDO 12]]&gt;0, "WIN","LOSE"))</f>
        <v>LOSE</v>
      </c>
      <c r="Q2" s="13" t="str">
        <f>IF(OR(Game_534[[#This Row],[SCORE 1]]="",Game_534[[#This Row],[SCORE 2]]=""),"",IF(Game_534[[#This Row],[SALDO 34]]&gt;0, "WIN","LOSE"))</f>
        <v>WIN</v>
      </c>
      <c r="S2" s="21" t="s">
        <v>179</v>
      </c>
      <c r="T2" s="21" t="s">
        <v>8</v>
      </c>
    </row>
    <row r="3" spans="1:20">
      <c r="A3" s="554"/>
      <c r="B3" s="13" t="s">
        <v>180</v>
      </c>
      <c r="C3" s="433" t="str">
        <f>B22</f>
        <v>Bo Nielsen</v>
      </c>
      <c r="D3" s="25" t="str">
        <f>B25</f>
        <v>David</v>
      </c>
      <c r="E3" s="136">
        <v>18</v>
      </c>
      <c r="F3" s="137">
        <v>5</v>
      </c>
      <c r="G3" s="15" t="str">
        <f>B23</f>
        <v>Shahar</v>
      </c>
      <c r="H3" s="15"/>
      <c r="I3" s="15"/>
      <c r="J3" s="15"/>
      <c r="K3" s="16" t="str">
        <f>B24</f>
        <v>Teixeira</v>
      </c>
      <c r="L3" s="13">
        <f>IF(OR(Game_534[[#This Row],[SCORE 1]]="",Game_534[[#This Row],[SCORE 2]]=""),"",Game_534[[#This Row],[SCORE 1]]-Game_534[[#This Row],[SCORE 2]])</f>
        <v>13</v>
      </c>
      <c r="M3" s="13">
        <f>IF(OR(Game_534[[#This Row],[SCORE 1]]="",Game_534[[#This Row],[SCORE 2]]=""),"",Game_534[[#This Row],[SCORE 2]]-Game_534[[#This Row],[SCORE 1]])</f>
        <v>-13</v>
      </c>
      <c r="N3" s="13">
        <f>IF(Game_534[[#This Row],[SCORE 1]]="","",Game_534[[#This Row],[SCORE 1]])</f>
        <v>18</v>
      </c>
      <c r="O3" s="13">
        <f>IF(Game_534[[#This Row],[SCORE 2]]="","",Game_534[[#This Row],[SCORE 2]])</f>
        <v>5</v>
      </c>
      <c r="P3" s="13" t="str">
        <f>IF(OR(Game_534[[#This Row],[SCORE 1]]="",Game_534[[#This Row],[SCORE 2]]=""),"",IF(Game_534[[#This Row],[SALDO 12]]&gt;0, "WIN","LOSE"))</f>
        <v>WIN</v>
      </c>
      <c r="Q3" s="13" t="str">
        <f>IF(OR(Game_534[[#This Row],[SCORE 1]]="",Game_534[[#This Row],[SCORE 2]]=""),"",IF(Game_534[[#This Row],[SALDO 34]]&gt;0, "WIN","LOSE"))</f>
        <v>LOSE</v>
      </c>
      <c r="S3" s="143" t="str">
        <f>L33</f>
        <v>Raileno</v>
      </c>
      <c r="T3" s="2" t="s">
        <v>19</v>
      </c>
    </row>
    <row r="4" spans="1:20">
      <c r="A4" s="554"/>
      <c r="B4" s="13" t="s">
        <v>178</v>
      </c>
      <c r="C4" s="433" t="str">
        <f>B15</f>
        <v>Jackson</v>
      </c>
      <c r="D4" s="25" t="str">
        <f>B17</f>
        <v>Andrew</v>
      </c>
      <c r="E4" s="136">
        <v>6</v>
      </c>
      <c r="F4" s="137">
        <v>18</v>
      </c>
      <c r="G4" s="15" t="str">
        <f>B16</f>
        <v>Raileno</v>
      </c>
      <c r="H4" s="15"/>
      <c r="I4" s="15"/>
      <c r="J4" s="15"/>
      <c r="K4" s="16" t="str">
        <f>B19</f>
        <v>Piu</v>
      </c>
      <c r="L4" s="13">
        <f>IF(OR(Game_534[[#This Row],[SCORE 1]]="",Game_534[[#This Row],[SCORE 2]]=""),"",Game_534[[#This Row],[SCORE 1]]-Game_534[[#This Row],[SCORE 2]])</f>
        <v>-12</v>
      </c>
      <c r="M4" s="13">
        <f>IF(OR(Game_534[[#This Row],[SCORE 1]]="",Game_534[[#This Row],[SCORE 2]]=""),"",Game_534[[#This Row],[SCORE 2]]-Game_534[[#This Row],[SCORE 1]])</f>
        <v>12</v>
      </c>
      <c r="N4" s="13">
        <f>IF(Game_534[[#This Row],[SCORE 1]]="","",Game_534[[#This Row],[SCORE 1]])</f>
        <v>6</v>
      </c>
      <c r="O4" s="13">
        <f>IF(Game_534[[#This Row],[SCORE 2]]="","",Game_534[[#This Row],[SCORE 2]])</f>
        <v>18</v>
      </c>
      <c r="P4" s="13" t="str">
        <f>IF(OR(Game_534[[#This Row],[SCORE 1]]="",Game_534[[#This Row],[SCORE 2]]=""),"",IF(Game_534[[#This Row],[SALDO 12]]&gt;0, "WIN","LOSE"))</f>
        <v>LOSE</v>
      </c>
      <c r="Q4" s="13" t="str">
        <f>IF(OR(Game_534[[#This Row],[SCORE 1]]="",Game_534[[#This Row],[SCORE 2]]=""),"",IF(Game_534[[#This Row],[SALDO 34]]&gt;0, "WIN","LOSE"))</f>
        <v>WIN</v>
      </c>
      <c r="S4" s="143" t="str">
        <f>P33</f>
        <v>Piu</v>
      </c>
      <c r="T4" s="2" t="s">
        <v>22</v>
      </c>
    </row>
    <row r="5" spans="1:20">
      <c r="A5" s="554"/>
      <c r="B5" s="13" t="s">
        <v>180</v>
      </c>
      <c r="C5" s="433" t="str">
        <f>B22</f>
        <v>Bo Nielsen</v>
      </c>
      <c r="D5" s="25" t="str">
        <f>B24</f>
        <v>Teixeira</v>
      </c>
      <c r="E5" s="136">
        <v>19</v>
      </c>
      <c r="F5" s="137">
        <v>17</v>
      </c>
      <c r="G5" s="15" t="str">
        <f>B23</f>
        <v>Shahar</v>
      </c>
      <c r="H5" s="15"/>
      <c r="I5" s="15"/>
      <c r="J5" s="15"/>
      <c r="K5" s="16" t="str">
        <f>B26</f>
        <v>Pablo</v>
      </c>
      <c r="L5" s="13">
        <f>IF(OR(Game_534[[#This Row],[SCORE 1]]="",Game_534[[#This Row],[SCORE 2]]=""),"",Game_534[[#This Row],[SCORE 1]]-Game_534[[#This Row],[SCORE 2]])</f>
        <v>2</v>
      </c>
      <c r="M5" s="13">
        <f>IF(OR(Game_534[[#This Row],[SCORE 1]]="",Game_534[[#This Row],[SCORE 2]]=""),"",Game_534[[#This Row],[SCORE 2]]-Game_534[[#This Row],[SCORE 1]])</f>
        <v>-2</v>
      </c>
      <c r="N5" s="13">
        <f>IF(Game_534[[#This Row],[SCORE 1]]="","",Game_534[[#This Row],[SCORE 1]])</f>
        <v>19</v>
      </c>
      <c r="O5" s="13">
        <f>IF(Game_534[[#This Row],[SCORE 2]]="","",Game_534[[#This Row],[SCORE 2]])</f>
        <v>17</v>
      </c>
      <c r="P5" s="13" t="str">
        <f>IF(OR(Game_534[[#This Row],[SCORE 1]]="",Game_534[[#This Row],[SCORE 2]]=""),"",IF(Game_534[[#This Row],[SALDO 12]]&gt;0, "WIN","LOSE"))</f>
        <v>WIN</v>
      </c>
      <c r="Q5" s="13" t="str">
        <f>IF(OR(Game_534[[#This Row],[SCORE 1]]="",Game_534[[#This Row],[SCORE 2]]=""),"",IF(Game_534[[#This Row],[SALDO 34]]&gt;0, "WIN","LOSE"))</f>
        <v>LOSE</v>
      </c>
      <c r="S5" t="str">
        <f>IFERROR(_xlfn.XLOOKUP(Table1572235446678468137[[#This Row],[Rank]],$L$27:$Q$27,$L$26:$Q$26),"")</f>
        <v>Bo Nielsen</v>
      </c>
      <c r="T5" s="2" t="s">
        <v>25</v>
      </c>
    </row>
    <row r="6" spans="1:20">
      <c r="A6" s="554"/>
      <c r="B6" s="13" t="s">
        <v>178</v>
      </c>
      <c r="C6" s="433" t="str">
        <f>B15</f>
        <v>Jackson</v>
      </c>
      <c r="D6" s="25" t="str">
        <f>B16</f>
        <v>Raileno</v>
      </c>
      <c r="E6" s="136">
        <v>18</v>
      </c>
      <c r="F6" s="137">
        <v>15</v>
      </c>
      <c r="G6" s="15" t="str">
        <f>B18</f>
        <v>Marco</v>
      </c>
      <c r="H6" s="15"/>
      <c r="I6" s="15"/>
      <c r="J6" s="15"/>
      <c r="K6" s="16" t="str">
        <f>B19</f>
        <v>Piu</v>
      </c>
      <c r="L6" s="13">
        <f>IF(OR(Game_534[[#This Row],[SCORE 1]]="",Game_534[[#This Row],[SCORE 2]]=""),"",Game_534[[#This Row],[SCORE 1]]-Game_534[[#This Row],[SCORE 2]])</f>
        <v>3</v>
      </c>
      <c r="M6" s="13">
        <f>IF(OR(Game_534[[#This Row],[SCORE 1]]="",Game_534[[#This Row],[SCORE 2]]=""),"",Game_534[[#This Row],[SCORE 2]]-Game_534[[#This Row],[SCORE 1]])</f>
        <v>-3</v>
      </c>
      <c r="N6" s="13">
        <f>IF(Game_534[[#This Row],[SCORE 1]]="","",Game_534[[#This Row],[SCORE 1]])</f>
        <v>18</v>
      </c>
      <c r="O6" s="13">
        <f>IF(Game_534[[#This Row],[SCORE 2]]="","",Game_534[[#This Row],[SCORE 2]])</f>
        <v>15</v>
      </c>
      <c r="P6" s="13" t="str">
        <f>IF(OR(Game_534[[#This Row],[SCORE 1]]="",Game_534[[#This Row],[SCORE 2]]=""),"",IF(Game_534[[#This Row],[SALDO 12]]&gt;0, "WIN","LOSE"))</f>
        <v>WIN</v>
      </c>
      <c r="Q6" s="13" t="str">
        <f>IF(OR(Game_534[[#This Row],[SCORE 1]]="",Game_534[[#This Row],[SCORE 2]]=""),"",IF(Game_534[[#This Row],[SALDO 34]]&gt;0, "WIN","LOSE"))</f>
        <v>LOSE</v>
      </c>
      <c r="S6" t="str">
        <f>IFERROR(_xlfn.XLOOKUP(Table1572235446678468137[[#This Row],[Rank]],$L$27:$Q$27,$L$26:$Q$26),"")</f>
        <v>Shahar</v>
      </c>
      <c r="T6" s="2" t="s">
        <v>28</v>
      </c>
    </row>
    <row r="7" spans="1:20">
      <c r="A7" s="554"/>
      <c r="B7" s="13" t="s">
        <v>180</v>
      </c>
      <c r="C7" s="433" t="str">
        <f>B22</f>
        <v>Bo Nielsen</v>
      </c>
      <c r="D7" s="25" t="str">
        <f>B23</f>
        <v>Shahar</v>
      </c>
      <c r="E7" s="136">
        <v>18</v>
      </c>
      <c r="F7" s="137">
        <v>13</v>
      </c>
      <c r="G7" s="15" t="str">
        <f>B25</f>
        <v>David</v>
      </c>
      <c r="H7" s="15"/>
      <c r="I7" s="15"/>
      <c r="J7" s="15"/>
      <c r="K7" s="16" t="str">
        <f>B26</f>
        <v>Pablo</v>
      </c>
      <c r="L7" s="13">
        <f>IF(OR(Game_534[[#This Row],[SCORE 1]]="",Game_534[[#This Row],[SCORE 2]]=""),"",Game_534[[#This Row],[SCORE 1]]-Game_534[[#This Row],[SCORE 2]])</f>
        <v>5</v>
      </c>
      <c r="M7" s="13">
        <f>IF(OR(Game_534[[#This Row],[SCORE 1]]="",Game_534[[#This Row],[SCORE 2]]=""),"",Game_534[[#This Row],[SCORE 2]]-Game_534[[#This Row],[SCORE 1]])</f>
        <v>-5</v>
      </c>
      <c r="N7" s="13">
        <f>IF(Game_534[[#This Row],[SCORE 1]]="","",Game_534[[#This Row],[SCORE 1]])</f>
        <v>18</v>
      </c>
      <c r="O7" s="13">
        <f>IF(Game_534[[#This Row],[SCORE 2]]="","",Game_534[[#This Row],[SCORE 2]])</f>
        <v>13</v>
      </c>
      <c r="P7" s="13" t="str">
        <f>IF(OR(Game_534[[#This Row],[SCORE 1]]="",Game_534[[#This Row],[SCORE 2]]=""),"",IF(Game_534[[#This Row],[SALDO 12]]&gt;0, "WIN","LOSE"))</f>
        <v>WIN</v>
      </c>
      <c r="Q7" s="13" t="str">
        <f>IF(OR(Game_534[[#This Row],[SCORE 1]]="",Game_534[[#This Row],[SCORE 2]]=""),"",IF(Game_534[[#This Row],[SALDO 34]]&gt;0, "WIN","LOSE"))</f>
        <v>LOSE</v>
      </c>
      <c r="S7" s="144" t="str">
        <f>M20</f>
        <v>David</v>
      </c>
      <c r="T7" s="2" t="s">
        <v>31</v>
      </c>
    </row>
    <row r="8" spans="1:20">
      <c r="A8" s="554"/>
      <c r="B8" s="13" t="s">
        <v>178</v>
      </c>
      <c r="C8" s="433" t="str">
        <f>B15</f>
        <v>Jackson</v>
      </c>
      <c r="D8" s="25" t="str">
        <f>B19</f>
        <v>Piu</v>
      </c>
      <c r="E8" s="136">
        <v>13</v>
      </c>
      <c r="F8" s="137">
        <v>18</v>
      </c>
      <c r="G8" s="15" t="str">
        <f>B17</f>
        <v>Andrew</v>
      </c>
      <c r="H8" s="15"/>
      <c r="I8" s="15"/>
      <c r="J8" s="15"/>
      <c r="K8" s="16" t="str">
        <f>B18</f>
        <v>Marco</v>
      </c>
      <c r="L8" s="13">
        <f>IF(OR(Game_534[[#This Row],[SCORE 1]]="",Game_534[[#This Row],[SCORE 2]]=""),"",Game_534[[#This Row],[SCORE 1]]-Game_534[[#This Row],[SCORE 2]])</f>
        <v>-5</v>
      </c>
      <c r="M8" s="13">
        <f>IF(OR(Game_534[[#This Row],[SCORE 1]]="",Game_534[[#This Row],[SCORE 2]]=""),"",Game_534[[#This Row],[SCORE 2]]-Game_534[[#This Row],[SCORE 1]])</f>
        <v>5</v>
      </c>
      <c r="N8" s="13">
        <f>IF(Game_534[[#This Row],[SCORE 1]]="","",Game_534[[#This Row],[SCORE 1]])</f>
        <v>13</v>
      </c>
      <c r="O8" s="13">
        <f>IF(Game_534[[#This Row],[SCORE 2]]="","",Game_534[[#This Row],[SCORE 2]])</f>
        <v>18</v>
      </c>
      <c r="P8" s="13" t="str">
        <f>IF(OR(Game_534[[#This Row],[SCORE 1]]="",Game_534[[#This Row],[SCORE 2]]=""),"",IF(Game_534[[#This Row],[SALDO 12]]&gt;0, "WIN","LOSE"))</f>
        <v>LOSE</v>
      </c>
      <c r="Q8" s="13" t="str">
        <f>IF(OR(Game_534[[#This Row],[SCORE 1]]="",Game_534[[#This Row],[SCORE 2]]=""),"",IF(Game_534[[#This Row],[SALDO 34]]&gt;0, "WIN","LOSE"))</f>
        <v>WIN</v>
      </c>
      <c r="S8" s="144" t="str">
        <f>L20</f>
        <v>Andrew</v>
      </c>
      <c r="T8" s="2" t="s">
        <v>34</v>
      </c>
    </row>
    <row r="9" spans="1:20">
      <c r="A9" s="554"/>
      <c r="B9" s="13" t="s">
        <v>180</v>
      </c>
      <c r="C9" s="433" t="str">
        <f>B22</f>
        <v>Bo Nielsen</v>
      </c>
      <c r="D9" s="25" t="str">
        <f>B26</f>
        <v>Pablo</v>
      </c>
      <c r="E9" s="136">
        <v>13</v>
      </c>
      <c r="F9" s="137">
        <v>18</v>
      </c>
      <c r="G9" s="15" t="str">
        <f>B24</f>
        <v>Teixeira</v>
      </c>
      <c r="H9" s="15"/>
      <c r="I9" s="15"/>
      <c r="J9" s="15"/>
      <c r="K9" s="16" t="str">
        <f>B25</f>
        <v>David</v>
      </c>
      <c r="L9" s="13">
        <f>IF(OR(Game_534[[#This Row],[SCORE 1]]="",Game_534[[#This Row],[SCORE 2]]=""),"",Game_534[[#This Row],[SCORE 1]]-Game_534[[#This Row],[SCORE 2]])</f>
        <v>-5</v>
      </c>
      <c r="M9" s="13">
        <f>IF(OR(Game_534[[#This Row],[SCORE 1]]="",Game_534[[#This Row],[SCORE 2]]=""),"",Game_534[[#This Row],[SCORE 2]]-Game_534[[#This Row],[SCORE 1]])</f>
        <v>5</v>
      </c>
      <c r="N9" s="13">
        <f>IF(Game_534[[#This Row],[SCORE 1]]="","",Game_534[[#This Row],[SCORE 1]])</f>
        <v>13</v>
      </c>
      <c r="O9" s="13">
        <f>IF(Game_534[[#This Row],[SCORE 2]]="","",Game_534[[#This Row],[SCORE 2]])</f>
        <v>18</v>
      </c>
      <c r="P9" s="13" t="str">
        <f>IF(OR(Game_534[[#This Row],[SCORE 1]]="",Game_534[[#This Row],[SCORE 2]]=""),"",IF(Game_534[[#This Row],[SALDO 12]]&gt;0, "WIN","LOSE"))</f>
        <v>LOSE</v>
      </c>
      <c r="Q9" s="13" t="str">
        <f>IF(OR(Game_534[[#This Row],[SCORE 1]]="",Game_534[[#This Row],[SCORE 2]]=""),"",IF(Game_534[[#This Row],[SALDO 34]]&gt;0, "WIN","LOSE"))</f>
        <v>WIN</v>
      </c>
      <c r="S9" s="144" t="str">
        <f>Q15</f>
        <v>Teixeira</v>
      </c>
      <c r="T9" s="2" t="s">
        <v>37</v>
      </c>
    </row>
    <row r="10" spans="1:20">
      <c r="A10" s="554"/>
      <c r="B10" s="13" t="s">
        <v>178</v>
      </c>
      <c r="C10" s="433" t="str">
        <f>B17</f>
        <v>Andrew</v>
      </c>
      <c r="D10" s="25" t="str">
        <f>B19</f>
        <v>Piu</v>
      </c>
      <c r="E10" s="136">
        <v>18</v>
      </c>
      <c r="F10" s="137">
        <v>12</v>
      </c>
      <c r="G10" s="15" t="str">
        <f>B16</f>
        <v>Raileno</v>
      </c>
      <c r="H10" s="15"/>
      <c r="I10" s="15"/>
      <c r="J10" s="15"/>
      <c r="K10" s="16" t="str">
        <f>B18</f>
        <v>Marco</v>
      </c>
      <c r="L10" s="13">
        <f>IF(OR(Game_534[[#This Row],[SCORE 1]]="",Game_534[[#This Row],[SCORE 2]]=""),"",Game_534[[#This Row],[SCORE 1]]-Game_534[[#This Row],[SCORE 2]])</f>
        <v>6</v>
      </c>
      <c r="M10" s="13">
        <f>IF(OR(Game_534[[#This Row],[SCORE 1]]="",Game_534[[#This Row],[SCORE 2]]=""),"",Game_534[[#This Row],[SCORE 2]]-Game_534[[#This Row],[SCORE 1]])</f>
        <v>-6</v>
      </c>
      <c r="N10" s="13">
        <f>IF(Game_534[[#This Row],[SCORE 1]]="","",Game_534[[#This Row],[SCORE 1]])</f>
        <v>18</v>
      </c>
      <c r="O10" s="13">
        <f>IF(Game_534[[#This Row],[SCORE 2]]="","",Game_534[[#This Row],[SCORE 2]])</f>
        <v>12</v>
      </c>
      <c r="P10" s="13" t="str">
        <f>IF(OR(Game_534[[#This Row],[SCORE 1]]="",Game_534[[#This Row],[SCORE 2]]=""),"",IF(Game_534[[#This Row],[SALDO 12]]&gt;0, "WIN","LOSE"))</f>
        <v>WIN</v>
      </c>
      <c r="Q10" s="13" t="str">
        <f>IF(OR(Game_534[[#This Row],[SCORE 1]]="",Game_534[[#This Row],[SCORE 2]]=""),"",IF(Game_534[[#This Row],[SALDO 34]]&gt;0, "WIN","LOSE"))</f>
        <v>LOSE</v>
      </c>
      <c r="S10" s="145" t="str">
        <f>B18</f>
        <v>Marco</v>
      </c>
      <c r="T10" s="2" t="s">
        <v>41</v>
      </c>
    </row>
    <row r="11" spans="1:20">
      <c r="A11" s="554"/>
      <c r="B11" s="13" t="s">
        <v>180</v>
      </c>
      <c r="C11" s="433" t="str">
        <f>B24</f>
        <v>Teixeira</v>
      </c>
      <c r="D11" s="25" t="str">
        <f>B26</f>
        <v>Pablo</v>
      </c>
      <c r="E11" s="136">
        <v>18</v>
      </c>
      <c r="F11" s="137">
        <v>20</v>
      </c>
      <c r="G11" s="15" t="str">
        <f>B23</f>
        <v>Shahar</v>
      </c>
      <c r="H11" s="15"/>
      <c r="I11" s="15"/>
      <c r="J11" s="15"/>
      <c r="K11" s="16" t="str">
        <f>B25</f>
        <v>David</v>
      </c>
      <c r="L11" s="13">
        <f>IF(OR(Game_534[[#This Row],[SCORE 1]]="",Game_534[[#This Row],[SCORE 2]]=""),"",Game_534[[#This Row],[SCORE 1]]-Game_534[[#This Row],[SCORE 2]])</f>
        <v>-2</v>
      </c>
      <c r="M11" s="13">
        <f>IF(OR(Game_534[[#This Row],[SCORE 1]]="",Game_534[[#This Row],[SCORE 2]]=""),"",Game_534[[#This Row],[SCORE 2]]-Game_534[[#This Row],[SCORE 1]])</f>
        <v>2</v>
      </c>
      <c r="N11" s="13">
        <f>IF(Game_534[[#This Row],[SCORE 1]]="","",Game_534[[#This Row],[SCORE 1]])</f>
        <v>18</v>
      </c>
      <c r="O11" s="13">
        <f>IF(Game_534[[#This Row],[SCORE 2]]="","",Game_534[[#This Row],[SCORE 2]])</f>
        <v>20</v>
      </c>
      <c r="P11" s="13" t="str">
        <f>IF(OR(Game_534[[#This Row],[SCORE 1]]="",Game_534[[#This Row],[SCORE 2]]=""),"",IF(Game_534[[#This Row],[SALDO 12]]&gt;0, "WIN","LOSE"))</f>
        <v>LOSE</v>
      </c>
      <c r="Q11" s="13" t="str">
        <f>IF(OR(Game_534[[#This Row],[SCORE 1]]="",Game_534[[#This Row],[SCORE 2]]=""),"",IF(Game_534[[#This Row],[SALDO 34]]&gt;0, "WIN","LOSE"))</f>
        <v>WIN</v>
      </c>
      <c r="S11" s="44" t="str" cm="1">
        <f t="array" ref="S11">_xlfn.TEXTJOIN(", ", TRUE, _xlfn._xlws.FILTER($J$15:$J$26, $K$15:$K$26=T11,""))</f>
        <v>Jackson</v>
      </c>
      <c r="T11" s="2" t="s">
        <v>44</v>
      </c>
    </row>
    <row r="12" spans="1:20" ht="30" customHeight="1">
      <c r="S12" s="145" t="str" cm="1">
        <f t="array" ref="S12">_xlfn.TEXTJOIN(", ", TRUE, _xlfn._xlws.FILTER($J$15:$J$26, $K$15:$K$26=T12,""))</f>
        <v>Pablo</v>
      </c>
      <c r="T12" s="2" t="s">
        <v>39</v>
      </c>
    </row>
    <row r="13" spans="1:20" ht="30" customHeight="1">
      <c r="A13" s="546" t="s">
        <v>182</v>
      </c>
      <c r="B13" s="547"/>
      <c r="C13" s="547"/>
      <c r="D13" s="547"/>
      <c r="E13" s="547"/>
      <c r="F13" s="547"/>
      <c r="G13" s="547"/>
      <c r="H13" s="420"/>
      <c r="I13" s="420"/>
      <c r="J13" s="420"/>
      <c r="K13" s="420"/>
      <c r="L13" s="548" t="s">
        <v>183</v>
      </c>
      <c r="M13" s="549"/>
      <c r="N13" s="549"/>
      <c r="O13" s="549"/>
      <c r="P13" s="549"/>
      <c r="Q13" s="549"/>
    </row>
    <row r="14" spans="1:20" ht="15.95">
      <c r="A14" s="6" t="s">
        <v>246</v>
      </c>
      <c r="B14" s="7" t="s">
        <v>185</v>
      </c>
      <c r="C14" s="7" t="s">
        <v>186</v>
      </c>
      <c r="D14" s="7" t="s">
        <v>187</v>
      </c>
      <c r="E14" s="7" t="s">
        <v>188</v>
      </c>
      <c r="F14" s="7" t="s">
        <v>189</v>
      </c>
      <c r="G14" s="7" t="s">
        <v>8</v>
      </c>
      <c r="H14" s="20" t="s">
        <v>190</v>
      </c>
      <c r="I14" s="20" t="s">
        <v>191</v>
      </c>
      <c r="J14" s="20" t="s">
        <v>1</v>
      </c>
      <c r="K14" s="20" t="s">
        <v>192</v>
      </c>
      <c r="L14" s="418" t="s">
        <v>193</v>
      </c>
      <c r="M14" s="418" t="s">
        <v>194</v>
      </c>
      <c r="N14" s="542" t="s">
        <v>195</v>
      </c>
      <c r="O14" s="543"/>
      <c r="P14" s="418" t="s">
        <v>196</v>
      </c>
      <c r="Q14" s="418" t="s">
        <v>197</v>
      </c>
    </row>
    <row r="15" spans="1:20">
      <c r="A15" s="4" t="s">
        <v>205</v>
      </c>
      <c r="B15" s="29" t="s">
        <v>130</v>
      </c>
      <c r="C15" s="14">
        <f>SUM(COUNTIFS(Game_534[ATHLETE 1],Analysis_1535[[#This Row],[Atheletes ]],Game_534[RESULT 12],"win"),COUNTIFS(Game_534[ATHLETE 2],Analysis_1535[[#This Row],[Atheletes ]],Game_534[RESULT 12],"win"),COUNTIFS(Game_534[ATHLETE 3],Analysis_1535[[#This Row],[Atheletes ]],Game_534[RESULT 34],"win"),COUNTIFS(Game_534[ATHLETE 4],Analysis_1535[[#This Row],[Atheletes ]],Game_534[RESULT 34],"win"))</f>
        <v>1</v>
      </c>
      <c r="D15" s="14">
        <f>SUM(COUNTIFS(Game_534[ATHLETE 1],Analysis_1535[[#This Row],[Atheletes ]],Game_534[RESULT 12],"lose"),COUNTIFS(Game_534[ATHLETE 2],Analysis_1535[[#This Row],[Atheletes ]],Game_534[RESULT 12],"lose"),COUNTIFS(Game_534[ATHLETE 3],Analysis_1535[[#This Row],[Atheletes ]],Game_534[RESULT 34],"lose"),COUNTIFS(Game_534[ATHLETE 4],Analysis_1535[[#This Row],[Atheletes ]],Game_534[RESULT 34],"lose"))</f>
        <v>3</v>
      </c>
      <c r="E15" s="19">
        <f>SUM(SUMIF(Game_534[ATHLETE 1],Analysis_1535[[#This Row],[Atheletes ]],Game_534[SALDO 12]),SUMIF(Game_534[ATHLETE 2],Analysis_1535[[#This Row],[Atheletes ]],Game_534[SALDO 12]),SUMIF(Game_534[ATHLETE 3],Analysis_1535[[#This Row],[Atheletes ]],Game_534[SALDO 34]),SUMIF(Game_534[ATHLETE 4],Analysis_1535[[#This Row],[Atheletes ]],Game_534[SALDO 34]))</f>
        <v>-27</v>
      </c>
      <c r="F15" s="19">
        <f>SUM(SUMIF(Game_534[ATHLETE 1],Analysis_1535[[#This Row],[Atheletes ]],Game_534[PM 12]),SUMIF(Game_534[ATHLETE 2],Analysis_1535[[#This Row],[Atheletes ]],Game_534[PM 12]),SUMIF(Game_534[ATHLETE 3],Analysis_1535[[#This Row],[Atheletes ]],Game_534[PM 34]),SUMIF(Game_534[ATHLETE 4],Analysis_1535[[#This Row],[Atheletes ]],Game_534[PM 34]))</f>
        <v>42</v>
      </c>
      <c r="G15" s="14" t="str">
        <f>IF(COUNTBLANK(Game_534[[SCORE 1]:[SCORE 2]])=0,IF(RANK(H15,$H$15:$H$19)=1,RANK(H15,$H$15:$H$19)&amp;"st",IF(RANK(H15,$H$15:$H$19)=2,RANK(H15,$H$15:$H$19)&amp;"nd",IF(RANK(H15,$H$15:$H$19)=3,RANK(H15,$H$15:$H$19)&amp;"rd",RANK(H15,$H$15:$H$19)&amp;"th"))),"")</f>
        <v>5th</v>
      </c>
      <c r="H15" s="56">
        <f>Analysis_1535[[#This Row],[WIN]]*1000000+Analysis_1535[[#This Row],[Saldo]]*1000+Analysis_1535[[#This Row],[PM]]</f>
        <v>973042</v>
      </c>
      <c r="I15" s="56">
        <f>H15</f>
        <v>973042</v>
      </c>
      <c r="J15" s="58" t="str">
        <f>Analysis_1535[[#This Row],[Atheletes ]]</f>
        <v>Jackson</v>
      </c>
      <c r="K15" s="56" t="str">
        <f>IF(RANK(I15,$I$15:$I$26)=1,RANK(I15,$I$15:$I$26)&amp;"st",IF(RANK(I15,$I$15:$I$26)=2,RANK(I15,$I$15:$I$26)&amp;"nd",IF(RANK(I15,$I$15:$I$26)=3,RANK(I15,$I$15:$I$26)&amp;"rd",RANK(I15,$I$15:$I$26)&amp;"th")))</f>
        <v>9th</v>
      </c>
      <c r="L15" s="8" t="str" cm="1">
        <f t="array" ref="L15">IF(COUNTBLANK(Game_534[[SCORE 1]:[SCORE 2]])=0,_xlfn.TEXTJOIN(", ", TRUE, _xlfn._xlws.FILTER($J$15:$J$26, $K$15:$K$26=T3,"")),"")</f>
        <v>Raileno</v>
      </c>
      <c r="M15" s="131" t="str">
        <f>B19</f>
        <v>Piu</v>
      </c>
      <c r="N15" s="99">
        <v>18</v>
      </c>
      <c r="O15" s="132">
        <v>14</v>
      </c>
      <c r="P15" s="131" t="str">
        <f>B26</f>
        <v>Pablo</v>
      </c>
      <c r="Q15" s="131" t="str">
        <f>B24</f>
        <v>Teixeira</v>
      </c>
    </row>
    <row r="16" spans="1:20">
      <c r="A16" s="3" t="s">
        <v>206</v>
      </c>
      <c r="B16" s="29" t="s">
        <v>118</v>
      </c>
      <c r="C16" s="14">
        <f>SUM(COUNTIFS(Game_534[ATHLETE 1],Analysis_1535[[#This Row],[Atheletes ]],Game_534[RESULT 12],"win"),COUNTIFS(Game_534[ATHLETE 2],Analysis_1535[[#This Row],[Atheletes ]],Game_534[RESULT 12],"win"),COUNTIFS(Game_534[ATHLETE 3],Analysis_1535[[#This Row],[Atheletes ]],Game_534[RESULT 34],"win"),COUNTIFS(Game_534[ATHLETE 4],Analysis_1535[[#This Row],[Atheletes ]],Game_534[RESULT 34],"win"))</f>
        <v>3</v>
      </c>
      <c r="D16" s="14">
        <f>SUM(COUNTIFS(Game_534[ATHLETE 1],Analysis_1535[[#This Row],[Atheletes ]],Game_534[RESULT 12],"lose"),COUNTIFS(Game_534[ATHLETE 2],Analysis_1535[[#This Row],[Atheletes ]],Game_534[RESULT 12],"lose"),COUNTIFS(Game_534[ATHLETE 3],Analysis_1535[[#This Row],[Atheletes ]],Game_534[RESULT 34],"lose"),COUNTIFS(Game_534[ATHLETE 4],Analysis_1535[[#This Row],[Atheletes ]],Game_534[RESULT 34],"lose"))</f>
        <v>1</v>
      </c>
      <c r="E16" s="19">
        <f>SUM(SUMIF(Game_534[ATHLETE 1],Analysis_1535[[#This Row],[Atheletes ]],Game_534[SALDO 12]),SUMIF(Game_534[ATHLETE 2],Analysis_1535[[#This Row],[Atheletes ]],Game_534[SALDO 12]),SUMIF(Game_534[ATHLETE 3],Analysis_1535[[#This Row],[Atheletes ]],Game_534[SALDO 34]),SUMIF(Game_534[ATHLETE 4],Analysis_1535[[#This Row],[Atheletes ]],Game_534[SALDO 34]))</f>
        <v>22</v>
      </c>
      <c r="F16" s="19">
        <f>SUM(SUMIF(Game_534[ATHLETE 1],Analysis_1535[[#This Row],[Atheletes ]],Game_534[PM 12]),SUMIF(Game_534[ATHLETE 2],Analysis_1535[[#This Row],[Atheletes ]],Game_534[PM 12]),SUMIF(Game_534[ATHLETE 3],Analysis_1535[[#This Row],[Atheletes ]],Game_534[PM 34]),SUMIF(Game_534[ATHLETE 4],Analysis_1535[[#This Row],[Atheletes ]],Game_534[PM 34]))</f>
        <v>66</v>
      </c>
      <c r="G16" s="14" t="str">
        <f>IF(COUNTBLANK(Game_534[[SCORE 1]:[SCORE 2]])=0,IF(RANK(H16,$H$15:$H$19)=1,RANK(H16,$H$15:$H$19)&amp;"st",IF(RANK(H16,$H$15:$H$19)=2,RANK(H16,$H$15:$H$19)&amp;"nd",IF(RANK(H16,$H$15:$H$19)=3,RANK(H16,$H$15:$H$19)&amp;"rd",RANK(H16,$H$15:$H$19)&amp;"th"))),"")</f>
        <v>1st</v>
      </c>
      <c r="H16" s="56">
        <f>Analysis_1535[[#This Row],[WIN]]*1000000+Analysis_1535[[#This Row],[Saldo]]*1000+Analysis_1535[[#This Row],[PM]]</f>
        <v>3022066</v>
      </c>
      <c r="I16" s="56">
        <f t="shared" ref="I16:I19" si="0">H16</f>
        <v>3022066</v>
      </c>
      <c r="J16" s="58" t="str">
        <f>Analysis_1535[[#This Row],[Atheletes ]]</f>
        <v>Raileno</v>
      </c>
      <c r="K16" s="56" t="str">
        <f>IF(RANK(I16,$I$15:$I$26)=1,RANK(I16,$I$15:$I$26)&amp;"st",IF(RANK(I16,$I$15:$I$26)=2,RANK(I16,$I$15:$I$26)&amp;"nd",IF(RANK(I16,$I$15:$I$26)=3,RANK(I16,$I$15:$I$26)&amp;"rd",RANK(I16,$I$15:$I$26)&amp;"th")))</f>
        <v>1st</v>
      </c>
      <c r="L16" t="str">
        <f>IF(OR(O18="",N21=""),"",IF($O$18="lose",IF(RANK(M19,$T$24:$W$24)=1,$T$7,IF(RANK(M19,$T$24:$W$24)=2,$T$8,IF(RANK(M19,$T$24:$W$24)=3,$T$9,$T$10))),""))</f>
        <v/>
      </c>
      <c r="R16" s="17"/>
    </row>
    <row r="17" spans="1:27">
      <c r="A17" s="3" t="s">
        <v>207</v>
      </c>
      <c r="B17" s="29" t="s">
        <v>117</v>
      </c>
      <c r="C17" s="14">
        <f>SUM(COUNTIFS(Game_534[ATHLETE 1],Analysis_1535[[#This Row],[Atheletes ]],Game_534[RESULT 12],"win"),COUNTIFS(Game_534[ATHLETE 2],Analysis_1535[[#This Row],[Atheletes ]],Game_534[RESULT 12],"win"),COUNTIFS(Game_534[ATHLETE 3],Analysis_1535[[#This Row],[Atheletes ]],Game_534[RESULT 34],"win"),COUNTIFS(Game_534[ATHLETE 4],Analysis_1535[[#This Row],[Atheletes ]],Game_534[RESULT 34],"win"))</f>
        <v>3</v>
      </c>
      <c r="D17" s="14">
        <f>SUM(COUNTIFS(Game_534[ATHLETE 1],Analysis_1535[[#This Row],[Atheletes ]],Game_534[RESULT 12],"lose"),COUNTIFS(Game_534[ATHLETE 2],Analysis_1535[[#This Row],[Atheletes ]],Game_534[RESULT 12],"lose"),COUNTIFS(Game_534[ATHLETE 3],Analysis_1535[[#This Row],[Atheletes ]],Game_534[RESULT 34],"lose"),COUNTIFS(Game_534[ATHLETE 4],Analysis_1535[[#This Row],[Atheletes ]],Game_534[RESULT 34],"lose"))</f>
        <v>1</v>
      </c>
      <c r="E17" s="19">
        <f>SUM(SUMIF(Game_534[ATHLETE 1],Analysis_1535[[#This Row],[Atheletes ]],Game_534[SALDO 12]),SUMIF(Game_534[ATHLETE 2],Analysis_1535[[#This Row],[Atheletes ]],Game_534[SALDO 12]),SUMIF(Game_534[ATHLETE 3],Analysis_1535[[#This Row],[Atheletes ]],Game_534[SALDO 34]),SUMIF(Game_534[ATHLETE 4],Analysis_1535[[#This Row],[Atheletes ]],Game_534[SALDO 34]))</f>
        <v>12</v>
      </c>
      <c r="F17" s="19">
        <f>SUM(SUMIF(Game_534[ATHLETE 1],Analysis_1535[[#This Row],[Atheletes ]],Game_534[PM 12]),SUMIF(Game_534[ATHLETE 2],Analysis_1535[[#This Row],[Atheletes ]],Game_534[PM 12]),SUMIF(Game_534[ATHLETE 3],Analysis_1535[[#This Row],[Atheletes ]],Game_534[PM 34]),SUMIF(Game_534[ATHLETE 4],Analysis_1535[[#This Row],[Atheletes ]],Game_534[PM 34]))</f>
        <v>60</v>
      </c>
      <c r="G17" s="14" t="str">
        <f>IF(COUNTBLANK(Game_534[[SCORE 1]:[SCORE 2]])=0,IF(RANK(H17,$H$15:$H$19)=1,RANK(H17,$H$15:$H$19)&amp;"st",IF(RANK(H17,$H$15:$H$19)=2,RANK(H17,$H$15:$H$19)&amp;"nd",IF(RANK(H17,$H$15:$H$19)=3,RANK(H17,$H$15:$H$19)&amp;"rd",RANK(H17,$H$15:$H$19)&amp;"th"))),"")</f>
        <v>2nd</v>
      </c>
      <c r="H17" s="56">
        <f>Analysis_1535[[#This Row],[WIN]]*1000000+Analysis_1535[[#This Row],[Saldo]]*1000+Analysis_1535[[#This Row],[PM]]</f>
        <v>3012060</v>
      </c>
      <c r="I17" s="56">
        <f t="shared" si="0"/>
        <v>3012060</v>
      </c>
      <c r="J17" s="58" t="str">
        <f>Analysis_1535[[#This Row],[Atheletes ]]</f>
        <v>Andrew</v>
      </c>
      <c r="K17" s="56" t="str">
        <f>IF(RANK(I17,$I$15:$I$26)=1,RANK(I17,$I$15:$I$26)&amp;"st",IF(RANK(I17,$I$15:$I$26)=2,RANK(I17,$I$15:$I$26)&amp;"nd",IF(RANK(I17,$I$15:$I$26)=3,RANK(I17,$I$15:$I$26)&amp;"rd",RANK(I17,$I$15:$I$26)&amp;"th")))</f>
        <v>4th</v>
      </c>
    </row>
    <row r="18" spans="1:27" ht="15.95">
      <c r="A18" s="138" t="s">
        <v>208</v>
      </c>
      <c r="B18" s="139" t="s">
        <v>120</v>
      </c>
      <c r="C18" s="140">
        <f>SUM(COUNTIFS(Game_534[ATHLETE 1],Analysis_1535[[#This Row],[Atheletes ]],Game_534[RESULT 12],"win"),COUNTIFS(Game_534[ATHLETE 2],Analysis_1535[[#This Row],[Atheletes ]],Game_534[RESULT 12],"win"),COUNTIFS(Game_534[ATHLETE 3],Analysis_1535[[#This Row],[Atheletes ]],Game_534[RESULT 34],"win"),COUNTIFS(Game_534[ATHLETE 4],Analysis_1535[[#This Row],[Atheletes ]],Game_534[RESULT 34],"win"))</f>
        <v>1</v>
      </c>
      <c r="D18" s="140">
        <f>SUM(COUNTIFS(Game_534[ATHLETE 1],Analysis_1535[[#This Row],[Atheletes ]],Game_534[RESULT 12],"lose"),COUNTIFS(Game_534[ATHLETE 2],Analysis_1535[[#This Row],[Atheletes ]],Game_534[RESULT 12],"lose"),COUNTIFS(Game_534[ATHLETE 3],Analysis_1535[[#This Row],[Atheletes ]],Game_534[RESULT 34],"lose"),COUNTIFS(Game_534[ATHLETE 4],Analysis_1535[[#This Row],[Atheletes ]],Game_534[RESULT 34],"lose"))</f>
        <v>3</v>
      </c>
      <c r="E18" s="141">
        <f>SUM(SUMIF(Game_534[ATHLETE 1],Analysis_1535[[#This Row],[Atheletes ]],Game_534[SALDO 12]),SUMIF(Game_534[ATHLETE 2],Analysis_1535[[#This Row],[Atheletes ]],Game_534[SALDO 12]),SUMIF(Game_534[ATHLETE 3],Analysis_1535[[#This Row],[Atheletes ]],Game_534[SALDO 34]),SUMIF(Game_534[ATHLETE 4],Analysis_1535[[#This Row],[Atheletes ]],Game_534[SALDO 34]))</f>
        <v>-17</v>
      </c>
      <c r="F18" s="141">
        <f>SUM(SUMIF(Game_534[ATHLETE 1],Analysis_1535[[#This Row],[Atheletes ]],Game_534[PM 12]),SUMIF(Game_534[ATHLETE 2],Analysis_1535[[#This Row],[Atheletes ]],Game_534[PM 12]),SUMIF(Game_534[ATHLETE 3],Analysis_1535[[#This Row],[Atheletes ]],Game_534[PM 34]),SUMIF(Game_534[ATHLETE 4],Analysis_1535[[#This Row],[Atheletes ]],Game_534[PM 34]))</f>
        <v>50</v>
      </c>
      <c r="G18" s="140" t="str">
        <f>IF(COUNTBLANK(Game_534[[SCORE 1]:[SCORE 2]])=0,IF(RANK(H18,$H$15:$H$19)=1,RANK(H18,$H$15:$H$19)&amp;"st",IF(RANK(H18,$H$15:$H$19)=2,RANK(H18,$H$15:$H$19)&amp;"nd",IF(RANK(H18,$H$15:$H$19)=3,RANK(H18,$H$15:$H$19)&amp;"rd",RANK(H18,$H$15:$H$19)&amp;"th"))),"")</f>
        <v>4th</v>
      </c>
      <c r="H18" s="56">
        <f>Analysis_1535[[#This Row],[WIN]]*1000000+Analysis_1535[[#This Row],[Saldo]]*1000+Analysis_1535[[#This Row],[PM]]</f>
        <v>983050</v>
      </c>
      <c r="I18" s="56">
        <f t="shared" si="0"/>
        <v>983050</v>
      </c>
      <c r="J18" s="58" t="str">
        <f>Analysis_1535[[#This Row],[Atheletes ]]</f>
        <v>Marco</v>
      </c>
      <c r="K18" s="56" t="str">
        <f>IF(RANK(I18,$I$15:$I$26)=1,RANK(I18,$I$15:$I$26)&amp;"st",IF(RANK(I18,$I$15:$I$26)=2,RANK(I18,$I$15:$I$26)&amp;"nd",IF(RANK(I18,$I$15:$I$26)=3,RANK(I18,$I$15:$I$26)&amp;"rd",RANK(I18,$I$15:$I$26)&amp;"th")))</f>
        <v>8th</v>
      </c>
    </row>
    <row r="19" spans="1:27">
      <c r="A19" s="3" t="s">
        <v>230</v>
      </c>
      <c r="B19" s="29" t="s">
        <v>119</v>
      </c>
      <c r="C19" s="14">
        <f>SUM(COUNTIFS(Game_534[ATHLETE 1],Analysis_1535[[#This Row],[Atheletes ]],Game_534[RESULT 12],"win"),COUNTIFS(Game_534[ATHLETE 2],Analysis_1535[[#This Row],[Atheletes ]],Game_534[RESULT 12],"win"),COUNTIFS(Game_534[ATHLETE 3],Analysis_1535[[#This Row],[Atheletes ]],Game_534[RESULT 34],"win"),COUNTIFS(Game_534[ATHLETE 4],Analysis_1535[[#This Row],[Atheletes ]],Game_534[RESULT 34],"win"))</f>
        <v>2</v>
      </c>
      <c r="D19" s="14">
        <f>SUM(COUNTIFS(Game_534[ATHLETE 1],Analysis_1535[[#This Row],[Atheletes ]],Game_534[RESULT 12],"lose"),COUNTIFS(Game_534[ATHLETE 2],Analysis_1535[[#This Row],[Atheletes ]],Game_534[RESULT 12],"lose"),COUNTIFS(Game_534[ATHLETE 3],Analysis_1535[[#This Row],[Atheletes ]],Game_534[RESULT 34],"lose"),COUNTIFS(Game_534[ATHLETE 4],Analysis_1535[[#This Row],[Atheletes ]],Game_534[RESULT 34],"lose"))</f>
        <v>2</v>
      </c>
      <c r="E19" s="19">
        <f>SUM(SUMIF(Game_534[ATHLETE 1],Analysis_1535[[#This Row],[Atheletes ]],Game_534[SALDO 12]),SUMIF(Game_534[ATHLETE 2],Analysis_1535[[#This Row],[Atheletes ]],Game_534[SALDO 12]),SUMIF(Game_534[ATHLETE 3],Analysis_1535[[#This Row],[Atheletes ]],Game_534[SALDO 34]),SUMIF(Game_534[ATHLETE 4],Analysis_1535[[#This Row],[Atheletes ]],Game_534[SALDO 34]))</f>
        <v>10</v>
      </c>
      <c r="F19" s="19">
        <f>SUM(SUMIF(Game_534[ATHLETE 1],Analysis_1535[[#This Row],[Atheletes ]],Game_534[PM 12]),SUMIF(Game_534[ATHLETE 2],Analysis_1535[[#This Row],[Atheletes ]],Game_534[PM 12]),SUMIF(Game_534[ATHLETE 3],Analysis_1535[[#This Row],[Atheletes ]],Game_534[PM 34]),SUMIF(Game_534[ATHLETE 4],Analysis_1535[[#This Row],[Atheletes ]],Game_534[PM 34]))</f>
        <v>64</v>
      </c>
      <c r="G19" s="14" t="str">
        <f>IF(COUNTBLANK(Game_534[[SCORE 1]:[SCORE 2]])=0,IF(RANK(H19,$H$15:$H$19)=1,RANK(H19,$H$15:$H$19)&amp;"st",IF(RANK(H19,$H$15:$H$19)=2,RANK(H19,$H$15:$H$19)&amp;"nd",IF(RANK(H19,$H$15:$H$19)=3,RANK(H19,$H$15:$H$19)&amp;"rd",RANK(H19,$H$15:$H$19)&amp;"th"))),"")</f>
        <v>3rd</v>
      </c>
      <c r="H19" s="56">
        <f>Analysis_1535[[#This Row],[WIN]]*1000000+Analysis_1535[[#This Row],[Saldo]]*1000+Analysis_1535[[#This Row],[PM]]</f>
        <v>2010064</v>
      </c>
      <c r="I19" s="56">
        <f t="shared" si="0"/>
        <v>2010064</v>
      </c>
      <c r="J19" s="58" t="str">
        <f>Analysis_1535[[#This Row],[Atheletes ]]</f>
        <v>Piu</v>
      </c>
      <c r="K19" s="56" t="str">
        <f>IF(RANK(I19,$I$15:$I$26)=1,RANK(I19,$I$15:$I$26)&amp;"st",IF(RANK(I19,$I$15:$I$26)=2,RANK(I19,$I$15:$I$26)&amp;"nd",IF(RANK(I19,$I$15:$I$26)=3,RANK(I19,$I$15:$I$26)&amp;"rd",RANK(I19,$I$15:$I$26)&amp;"th")))</f>
        <v>5th</v>
      </c>
      <c r="L19" s="418" t="s">
        <v>193</v>
      </c>
      <c r="M19" s="418" t="s">
        <v>194</v>
      </c>
      <c r="N19" s="542" t="s">
        <v>195</v>
      </c>
      <c r="O19" s="543"/>
      <c r="P19" s="418" t="s">
        <v>196</v>
      </c>
      <c r="Q19" s="418" t="s">
        <v>197</v>
      </c>
    </row>
    <row r="20" spans="1:27" ht="28.5" customHeight="1">
      <c r="L20" s="131" t="str">
        <f>B17</f>
        <v>Andrew</v>
      </c>
      <c r="M20" s="131" t="str">
        <f>B25</f>
        <v>David</v>
      </c>
      <c r="N20" s="99">
        <v>16</v>
      </c>
      <c r="O20" s="132">
        <v>18</v>
      </c>
      <c r="P20" s="131" t="str">
        <f>B22</f>
        <v>Bo Nielsen</v>
      </c>
      <c r="Q20" s="131" t="str">
        <f>B23</f>
        <v>Shahar</v>
      </c>
    </row>
    <row r="21" spans="1:27" ht="15.95">
      <c r="A21" s="6" t="s">
        <v>246</v>
      </c>
      <c r="B21" s="10" t="s">
        <v>185</v>
      </c>
      <c r="C21" s="10" t="s">
        <v>186</v>
      </c>
      <c r="D21" s="10" t="s">
        <v>187</v>
      </c>
      <c r="E21" s="10" t="s">
        <v>188</v>
      </c>
      <c r="F21" s="10" t="s">
        <v>189</v>
      </c>
      <c r="G21" s="7" t="s">
        <v>8</v>
      </c>
      <c r="H21" s="20" t="s">
        <v>190</v>
      </c>
    </row>
    <row r="22" spans="1:27">
      <c r="A22" s="430" t="s">
        <v>209</v>
      </c>
      <c r="B22" s="29" t="s">
        <v>121</v>
      </c>
      <c r="C22" s="14">
        <f>SUM(COUNTIFS(Game_534[ATHLETE 1],Analysis_1636[[#This Row],[Atheletes ]],Game_534[RESULT 12],"win"),COUNTIFS(Game_534[ATHLETE 2],Analysis_1636[[#This Row],[Atheletes ]],Game_534[RESULT 12],"win"),COUNTIFS(Game_534[ATHLETE 3],Analysis_1636[[#This Row],[Atheletes ]],Game_534[RESULT 34],"win"),COUNTIFS(Game_534[ATHLETE 4],Analysis_1636[[#This Row],[Atheletes ]],Game_534[RESULT 34],"win"))</f>
        <v>3</v>
      </c>
      <c r="D22" s="14">
        <f>SUM(COUNTIFS(Game_534[ATHLETE 1],Analysis_1636[[#This Row],[Atheletes ]],Game_534[RESULT 12],"lose"),COUNTIFS(Game_534[ATHLETE 2],Analysis_1636[[#This Row],[Atheletes ]],Game_534[RESULT 12],"lose"),COUNTIFS(Game_534[ATHLETE 3],Analysis_1636[[#This Row],[Atheletes ]],Game_534[RESULT 34],"lose"),COUNTIFS(Game_534[ATHLETE 4],Analysis_1636[[#This Row],[Atheletes ]],Game_534[RESULT 34],"lose"))</f>
        <v>1</v>
      </c>
      <c r="E22" s="19">
        <f>SUM(SUMIF(Game_534[ATHLETE 1],Analysis_1636[[#This Row],[Atheletes ]],Game_534[SALDO 12]),SUMIF(Game_534[ATHLETE 2],Analysis_1636[[#This Row],[Atheletes ]],Game_534[SALDO 12]),SUMIF(Game_534[ATHLETE 3],Analysis_1636[[#This Row],[Atheletes ]],Game_534[SALDO 34]),SUMIF(Game_534[ATHLETE 4],Analysis_1636[[#This Row],[Atheletes ]],Game_534[SALDO 34]))</f>
        <v>15</v>
      </c>
      <c r="F22" s="19">
        <f>SUM(SUMIF(Game_534[ATHLETE 1],Analysis_1636[[#This Row],[Atheletes ]],Game_534[PM 12]),SUMIF(Game_534[ATHLETE 2],Analysis_1636[[#This Row],[Atheletes ]],Game_534[PM 12]),SUMIF(Game_534[ATHLETE 3],Analysis_1636[[#This Row],[Atheletes ]],Game_534[PM 34]),SUMIF(Game_534[ATHLETE 4],Analysis_1636[[#This Row],[Atheletes ]],Game_534[PM 34]))</f>
        <v>68</v>
      </c>
      <c r="G22" s="14" t="str">
        <f>IF(COUNTBLANK(Game_534[[SCORE 1]:[SCORE 2]])=0,IF(RANK(H22,$H$22:$H$26)=1,RANK(H22,$H$22:$H$26)&amp;"st",IF(RANK(H22,$H$22:$H$26)=2,RANK(H22,$H$22:$H$26)&amp;"nd",IF(RANK(H22,$H$22:$H$26)=3,RANK(H22,$H$22:$H$26)&amp;"rd",RANK(H22,$H$22:$H$26)&amp;"th"))),"")</f>
        <v>2nd</v>
      </c>
      <c r="H22" s="56">
        <f>Analysis_1636[[#This Row],[WIN]]*1000000+Analysis_1636[[#This Row],[Saldo]]*1000+Analysis_1636[[#This Row],[PM]]</f>
        <v>3015068</v>
      </c>
      <c r="I22" s="59">
        <f>H22</f>
        <v>3015068</v>
      </c>
      <c r="J22" s="60" t="str">
        <f>B22</f>
        <v>Bo Nielsen</v>
      </c>
      <c r="K22" s="56" t="str">
        <f>IF(RANK(I22,$I$15:$I$26)=1,RANK(I22,$I$15:$I$26)&amp;"st",IF(RANK(I22,$I$15:$I$26)=2,RANK(I22,$I$15:$I$26)&amp;"nd",IF(RANK(I22,$I$15:$I$26)=3,RANK(I22,$I$15:$I$26)&amp;"rd",RANK(I22,$I$15:$I$26)&amp;"th")))</f>
        <v>3rd</v>
      </c>
    </row>
    <row r="23" spans="1:27">
      <c r="A23" s="430" t="s">
        <v>210</v>
      </c>
      <c r="B23" s="29" t="s">
        <v>123</v>
      </c>
      <c r="C23" s="14">
        <f>SUM(COUNTIFS(Game_534[ATHLETE 1],Analysis_1636[[#This Row],[Atheletes ]],Game_534[RESULT 12],"win"),COUNTIFS(Game_534[ATHLETE 2],Analysis_1636[[#This Row],[Atheletes ]],Game_534[RESULT 12],"win"),COUNTIFS(Game_534[ATHLETE 3],Analysis_1636[[#This Row],[Atheletes ]],Game_534[RESULT 34],"win"),COUNTIFS(Game_534[ATHLETE 4],Analysis_1636[[#This Row],[Atheletes ]],Game_534[RESULT 34],"win"))</f>
        <v>2</v>
      </c>
      <c r="D23" s="14">
        <f>SUM(COUNTIFS(Game_534[ATHLETE 1],Analysis_1636[[#This Row],[Atheletes ]],Game_534[RESULT 12],"lose"),COUNTIFS(Game_534[ATHLETE 2],Analysis_1636[[#This Row],[Atheletes ]],Game_534[RESULT 12],"lose"),COUNTIFS(Game_534[ATHLETE 3],Analysis_1636[[#This Row],[Atheletes ]],Game_534[RESULT 34],"lose"),COUNTIFS(Game_534[ATHLETE 4],Analysis_1636[[#This Row],[Atheletes ]],Game_534[RESULT 34],"lose"))</f>
        <v>2</v>
      </c>
      <c r="E23" s="19">
        <f>SUM(SUMIF(Game_534[ATHLETE 1],Analysis_1636[[#This Row],[Atheletes ]],Game_534[SALDO 12]),SUMIF(Game_534[ATHLETE 2],Analysis_1636[[#This Row],[Atheletes ]],Game_534[SALDO 12]),SUMIF(Game_534[ATHLETE 3],Analysis_1636[[#This Row],[Atheletes ]],Game_534[SALDO 34]),SUMIF(Game_534[ATHLETE 4],Analysis_1636[[#This Row],[Atheletes ]],Game_534[SALDO 34]))</f>
        <v>-8</v>
      </c>
      <c r="F23" s="19">
        <f>SUM(SUMIF(Game_534[ATHLETE 1],Analysis_1636[[#This Row],[Atheletes ]],Game_534[PM 12]),SUMIF(Game_534[ATHLETE 2],Analysis_1636[[#This Row],[Atheletes ]],Game_534[PM 12]),SUMIF(Game_534[ATHLETE 3],Analysis_1636[[#This Row],[Atheletes ]],Game_534[PM 34]),SUMIF(Game_534[ATHLETE 4],Analysis_1636[[#This Row],[Atheletes ]],Game_534[PM 34]))</f>
        <v>60</v>
      </c>
      <c r="G23" s="14" t="str">
        <f>IF(COUNTBLANK(Game_534[[SCORE 1]:[SCORE 2]])=0,IF(RANK(H23,$H$22:$H$26)=1,RANK(H23,$H$22:$H$26)&amp;"st",IF(RANK(H23,$H$22:$H$26)=2,RANK(H23,$H$22:$H$26)&amp;"nd",IF(RANK(H23,$H$22:$H$26)=3,RANK(H23,$H$22:$H$26)&amp;"rd",RANK(H23,$H$22:$H$26)&amp;"th"))),"")</f>
        <v>3rd</v>
      </c>
      <c r="H23" s="56">
        <f>Analysis_1636[[#This Row],[WIN]]*1000000+Analysis_1636[[#This Row],[Saldo]]*1000+Analysis_1636[[#This Row],[PM]]</f>
        <v>1992060</v>
      </c>
      <c r="I23" s="59">
        <f>H23</f>
        <v>1992060</v>
      </c>
      <c r="J23" s="60" t="str">
        <f>B23</f>
        <v>Shahar</v>
      </c>
      <c r="K23" s="56" t="str">
        <f>IF(RANK(I23,$I$15:$I$26)=1,RANK(I23,$I$15:$I$26)&amp;"st",IF(RANK(I23,$I$15:$I$26)=2,RANK(I23,$I$15:$I$26)&amp;"nd",IF(RANK(I23,$I$15:$I$26)=3,RANK(I23,$I$15:$I$26)&amp;"rd",RANK(I23,$I$15:$I$26)&amp;"th")))</f>
        <v>6th</v>
      </c>
      <c r="T23" s="90" t="s">
        <v>198</v>
      </c>
    </row>
    <row r="24" spans="1:27" ht="29.1">
      <c r="A24" s="430" t="s">
        <v>211</v>
      </c>
      <c r="B24" s="29" t="s">
        <v>126</v>
      </c>
      <c r="C24" s="14">
        <f>SUM(COUNTIFS(Game_534[ATHLETE 1],Analysis_1636[[#This Row],[Atheletes ]],Game_534[RESULT 12],"win"),COUNTIFS(Game_534[ATHLETE 2],Analysis_1636[[#This Row],[Atheletes ]],Game_534[RESULT 12],"win"),COUNTIFS(Game_534[ATHLETE 3],Analysis_1636[[#This Row],[Atheletes ]],Game_534[RESULT 34],"win"),COUNTIFS(Game_534[ATHLETE 4],Analysis_1636[[#This Row],[Atheletes ]],Game_534[RESULT 34],"win"))</f>
        <v>2</v>
      </c>
      <c r="D24" s="14">
        <f>SUM(COUNTIFS(Game_534[ATHLETE 1],Analysis_1636[[#This Row],[Atheletes ]],Game_534[RESULT 12],"lose"),COUNTIFS(Game_534[ATHLETE 2],Analysis_1636[[#This Row],[Atheletes ]],Game_534[RESULT 12],"lose"),COUNTIFS(Game_534[ATHLETE 3],Analysis_1636[[#This Row],[Atheletes ]],Game_534[RESULT 34],"lose"),COUNTIFS(Game_534[ATHLETE 4],Analysis_1636[[#This Row],[Atheletes ]],Game_534[RESULT 34],"lose"))</f>
        <v>2</v>
      </c>
      <c r="E24" s="19">
        <f>SUM(SUMIF(Game_534[ATHLETE 1],Analysis_1636[[#This Row],[Atheletes ]],Game_534[SALDO 12]),SUMIF(Game_534[ATHLETE 2],Analysis_1636[[#This Row],[Atheletes ]],Game_534[SALDO 12]),SUMIF(Game_534[ATHLETE 3],Analysis_1636[[#This Row],[Atheletes ]],Game_534[SALDO 34]),SUMIF(Game_534[ATHLETE 4],Analysis_1636[[#This Row],[Atheletes ]],Game_534[SALDO 34]))</f>
        <v>-8</v>
      </c>
      <c r="F24" s="19">
        <f>SUM(SUMIF(Game_534[ATHLETE 1],Analysis_1636[[#This Row],[Atheletes ]],Game_534[PM 12]),SUMIF(Game_534[ATHLETE 2],Analysis_1636[[#This Row],[Atheletes ]],Game_534[PM 12]),SUMIF(Game_534[ATHLETE 3],Analysis_1636[[#This Row],[Atheletes ]],Game_534[PM 34]),SUMIF(Game_534[ATHLETE 4],Analysis_1636[[#This Row],[Atheletes ]],Game_534[PM 34]))</f>
        <v>60</v>
      </c>
      <c r="G24" s="14" t="s">
        <v>28</v>
      </c>
      <c r="H24" s="56">
        <f>Analysis_1636[[#This Row],[WIN]]*1000000+Analysis_1636[[#This Row],[Saldo]]*1000+Analysis_1636[[#This Row],[PM]]</f>
        <v>1992060</v>
      </c>
      <c r="I24" s="59">
        <f>H24</f>
        <v>1992060</v>
      </c>
      <c r="J24" s="60" t="str">
        <f>B24</f>
        <v>Teixeira</v>
      </c>
      <c r="K24" s="56" t="s">
        <v>37</v>
      </c>
      <c r="L24" s="548" t="s">
        <v>199</v>
      </c>
      <c r="M24" s="549"/>
      <c r="N24" s="549"/>
      <c r="O24" s="549"/>
      <c r="P24" s="549"/>
      <c r="Q24" s="549"/>
      <c r="T24" s="90" t="str" cm="1">
        <f t="array" ref="T24">IF(N16="","",IF(N16="lose",CHOOSE({1,2},L17,M17),CHOOSE({1,2},P17,Q17)))</f>
        <v/>
      </c>
    </row>
    <row r="25" spans="1:27">
      <c r="A25" s="430" t="s">
        <v>212</v>
      </c>
      <c r="B25" s="29" t="s">
        <v>122</v>
      </c>
      <c r="C25" s="14">
        <f>SUM(COUNTIFS(Game_534[ATHLETE 1],Analysis_1636[[#This Row],[Atheletes ]],Game_534[RESULT 12],"win"),COUNTIFS(Game_534[ATHLETE 2],Analysis_1636[[#This Row],[Atheletes ]],Game_534[RESULT 12],"win"),COUNTIFS(Game_534[ATHLETE 3],Analysis_1636[[#This Row],[Atheletes ]],Game_534[RESULT 34],"win"),COUNTIFS(Game_534[ATHLETE 4],Analysis_1636[[#This Row],[Atheletes ]],Game_534[RESULT 34],"win"))</f>
        <v>3</v>
      </c>
      <c r="D25" s="14">
        <f>SUM(COUNTIFS(Game_534[ATHLETE 1],Analysis_1636[[#This Row],[Atheletes ]],Game_534[RESULT 12],"lose"),COUNTIFS(Game_534[ATHLETE 2],Analysis_1636[[#This Row],[Atheletes ]],Game_534[RESULT 12],"lose"),COUNTIFS(Game_534[ATHLETE 3],Analysis_1636[[#This Row],[Atheletes ]],Game_534[RESULT 34],"lose"),COUNTIFS(Game_534[ATHLETE 4],Analysis_1636[[#This Row],[Atheletes ]],Game_534[RESULT 34],"lose"))</f>
        <v>1</v>
      </c>
      <c r="E25" s="19">
        <f>SUM(SUMIF(Game_534[ATHLETE 1],Analysis_1636[[#This Row],[Atheletes ]],Game_534[SALDO 12]),SUMIF(Game_534[ATHLETE 2],Analysis_1636[[#This Row],[Atheletes ]],Game_534[SALDO 12]),SUMIF(Game_534[ATHLETE 3],Analysis_1636[[#This Row],[Atheletes ]],Game_534[SALDO 34]),SUMIF(Game_534[ATHLETE 4],Analysis_1636[[#This Row],[Atheletes ]],Game_534[SALDO 34]))</f>
        <v>15</v>
      </c>
      <c r="F25" s="19">
        <f>SUM(SUMIF(Game_534[ATHLETE 1],Analysis_1636[[#This Row],[Atheletes ]],Game_534[PM 12]),SUMIF(Game_534[ATHLETE 2],Analysis_1636[[#This Row],[Atheletes ]],Game_534[PM 12]),SUMIF(Game_534[ATHLETE 3],Analysis_1636[[#This Row],[Atheletes ]],Game_534[PM 34]),SUMIF(Game_534[ATHLETE 4],Analysis_1636[[#This Row],[Atheletes ]],Game_534[PM 34]))</f>
        <v>69</v>
      </c>
      <c r="G25" s="14" t="str">
        <f>IF(COUNTBLANK(Game_534[[SCORE 1]:[SCORE 2]])=0,IF(RANK(H25,$H$22:$H$26)=1,RANK(H25,$H$22:$H$26)&amp;"st",IF(RANK(H25,$H$22:$H$26)=2,RANK(H25,$H$22:$H$26)&amp;"nd",IF(RANK(H25,$H$22:$H$26)=3,RANK(H25,$H$22:$H$26)&amp;"rd",RANK(H25,$H$22:$H$26)&amp;"th"))),"")</f>
        <v>1st</v>
      </c>
      <c r="H25" s="56">
        <f>Analysis_1636[[#This Row],[WIN]]*1000000+Analysis_1636[[#This Row],[Saldo]]*1000+Analysis_1636[[#This Row],[PM]]</f>
        <v>3015069</v>
      </c>
      <c r="I25" s="59">
        <f>H25</f>
        <v>3015069</v>
      </c>
      <c r="J25" s="60" t="str">
        <f>B25</f>
        <v>David</v>
      </c>
      <c r="K25" s="56" t="str">
        <f>IF(RANK(I25,$I$15:$I$26)=1,RANK(I25,$I$15:$I$26)&amp;"st",IF(RANK(I25,$I$15:$I$26)=2,RANK(I25,$I$15:$I$26)&amp;"nd",IF(RANK(I25,$I$15:$I$26)=3,RANK(I25,$I$15:$I$26)&amp;"rd",RANK(I25,$I$15:$I$26)&amp;"th")))</f>
        <v>2nd</v>
      </c>
      <c r="L25" s="418" t="s">
        <v>193</v>
      </c>
      <c r="M25" s="418" t="s">
        <v>194</v>
      </c>
      <c r="N25" s="542" t="s">
        <v>195</v>
      </c>
      <c r="O25" s="543"/>
      <c r="P25" s="418" t="s">
        <v>196</v>
      </c>
      <c r="Q25" s="418" t="s">
        <v>197</v>
      </c>
      <c r="T25" s="90" cm="1">
        <f t="array" ref="T25:AA25">CHOOSE({1,2,3,4,5,6,7,8}, L17, M17, P17, Q17, L22, M22, P22, Q22)</f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1" t="s">
        <v>231</v>
      </c>
      <c r="B26" s="29" t="s">
        <v>124</v>
      </c>
      <c r="C26" s="14">
        <f>SUM(COUNTIFS(Game_534[ATHLETE 1],Analysis_1636[[#This Row],[Atheletes ]],Game_534[RESULT 12],"win"),COUNTIFS(Game_534[ATHLETE 2],Analysis_1636[[#This Row],[Atheletes ]],Game_534[RESULT 12],"win"),COUNTIFS(Game_534[ATHLETE 3],Analysis_1636[[#This Row],[Atheletes ]],Game_534[RESULT 34],"win"),COUNTIFS(Game_534[ATHLETE 4],Analysis_1636[[#This Row],[Atheletes ]],Game_534[RESULT 34],"win"))</f>
        <v>0</v>
      </c>
      <c r="D26" s="14">
        <f>SUM(COUNTIFS(Game_534[ATHLETE 1],Analysis_1636[[#This Row],[Atheletes ]],Game_534[RESULT 12],"lose"),COUNTIFS(Game_534[ATHLETE 2],Analysis_1636[[#This Row],[Atheletes ]],Game_534[RESULT 12],"lose"),COUNTIFS(Game_534[ATHLETE 3],Analysis_1636[[#This Row],[Atheletes ]],Game_534[RESULT 34],"lose"),COUNTIFS(Game_534[ATHLETE 4],Analysis_1636[[#This Row],[Atheletes ]],Game_534[RESULT 34],"lose"))</f>
        <v>4</v>
      </c>
      <c r="E26" s="19">
        <f>SUM(SUMIF(Game_534[ATHLETE 1],Analysis_1636[[#This Row],[Atheletes ]],Game_534[SALDO 12]),SUMIF(Game_534[ATHLETE 2],Analysis_1636[[#This Row],[Atheletes ]],Game_534[SALDO 12]),SUMIF(Game_534[ATHLETE 3],Analysis_1636[[#This Row],[Atheletes ]],Game_534[SALDO 34]),SUMIF(Game_534[ATHLETE 4],Analysis_1636[[#This Row],[Atheletes ]],Game_534[SALDO 34]))</f>
        <v>-14</v>
      </c>
      <c r="F26" s="19">
        <f>SUM(SUMIF(Game_534[ATHLETE 1],Analysis_1636[[#This Row],[Atheletes ]],Game_534[PM 12]),SUMIF(Game_534[ATHLETE 2],Analysis_1636[[#This Row],[Atheletes ]],Game_534[PM 12]),SUMIF(Game_534[ATHLETE 3],Analysis_1636[[#This Row],[Atheletes ]],Game_534[PM 34]),SUMIF(Game_534[ATHLETE 4],Analysis_1636[[#This Row],[Atheletes ]],Game_534[PM 34]))</f>
        <v>61</v>
      </c>
      <c r="G26" s="14" t="str">
        <f>IF(COUNTBLANK(Game_534[[SCORE 1]:[SCORE 2]])=0,IF(RANK(H26,$H$22:$H$26)=1,RANK(H26,$H$22:$H$26)&amp;"st",IF(RANK(H26,$H$22:$H$26)=2,RANK(H26,$H$22:$H$26)&amp;"nd",IF(RANK(H26,$H$22:$H$26)=3,RANK(H26,$H$22:$H$26)&amp;"rd",RANK(H26,$H$22:$H$26)&amp;"th"))),"")</f>
        <v>5th</v>
      </c>
      <c r="H26" s="56">
        <f>Analysis_1636[[#This Row],[WIN]]*1000000+Analysis_1636[[#This Row],[Saldo]]*1000+Analysis_1636[[#This Row],[PM]]</f>
        <v>-13939</v>
      </c>
      <c r="I26" s="59">
        <f>H26</f>
        <v>-13939</v>
      </c>
      <c r="J26" s="60" t="str">
        <f>B26</f>
        <v>Pablo</v>
      </c>
      <c r="K26" s="56" t="str">
        <f>IF(RANK(I26,$I$15:$I$26)=1,RANK(I26,$I$15:$I$26)&amp;"st",IF(RANK(I26,$I$15:$I$26)=2,RANK(I26,$I$15:$I$26)&amp;"nd",IF(RANK(I26,$I$15:$I$26)=3,RANK(I26,$I$15:$I$26)&amp;"rd",RANK(I26,$I$15:$I$26)&amp;"th")))</f>
        <v>10th</v>
      </c>
      <c r="L26" s="8" t="str">
        <f>IFERROR(_xlfn.XLOOKUP("1st",Analysis_1535[Rank],Analysis_1535[[Atheletes ]]),"")</f>
        <v>Raileno</v>
      </c>
      <c r="M26" s="8" t="str">
        <f>M15</f>
        <v>Piu</v>
      </c>
      <c r="N26" s="55">
        <v>18</v>
      </c>
      <c r="O26" s="87">
        <v>14</v>
      </c>
      <c r="P26" s="8" t="str">
        <f>P20</f>
        <v>Bo Nielsen</v>
      </c>
      <c r="Q26" s="8" t="str">
        <f>Q20</f>
        <v>Shahar</v>
      </c>
      <c r="T26" s="90" cm="1">
        <f t="array" ref="T26:U26">(IF(N17="lose",CHOOSE({1,2},L17,M17),CHOOSE({1,2},P17,Q17)))</f>
        <v>0</v>
      </c>
      <c r="U26">
        <v>0</v>
      </c>
    </row>
    <row r="27" spans="1:27" ht="30.95" customHeight="1" thickBot="1">
      <c r="L27" s="62" t="str">
        <f>IF(OR($N$27="WIN",$N$26="",$O$26=""),"",IF(L28&gt;M28,$T$5,$T$6))</f>
        <v/>
      </c>
      <c r="M27" s="62" t="str">
        <f>IF(OR($N$26="",$O$26="",$N$27="WIN"),"",IF(L28&lt;M28,$T$5,$T$6))</f>
        <v/>
      </c>
      <c r="N27" s="433" t="str">
        <f>IF(OR($N$26="",$O$26=""),"",IF(($N$26&gt;$O$26),"WIN","LOSE"))</f>
        <v>WIN</v>
      </c>
      <c r="O27" s="433" t="str">
        <f>IF(OR($N$26="",$O$26=""),"",IF(($N$26&lt;$O$26),"WIN","LOSE"))</f>
        <v>LOSE</v>
      </c>
      <c r="P27" s="62" t="str">
        <f>IF(OR($O$27="WIN",$N$26="",$O$26=""),"",IF(P28&gt;Q28,$T$5,$T$6))</f>
        <v>3rd</v>
      </c>
      <c r="Q27" s="62" t="str">
        <f>IF(OR($N$26="",$O$26="",$O$27="WIN"),"",IF(P28&lt;Q28,$T$5,$T$6))</f>
        <v>4th</v>
      </c>
      <c r="T27" s="90" t="str" cm="1">
        <f t="array" ref="T27">IF(N16="","",IF(N16="lose",CHOOSE({1,2},L15,M15),CHOOSE({1,2},P15,Q15)))</f>
        <v/>
      </c>
    </row>
    <row r="28" spans="1:27" ht="15.95" thickBot="1">
      <c r="A28" s="124">
        <v>45757</v>
      </c>
      <c r="B28" s="44" t="s">
        <v>256</v>
      </c>
      <c r="L28" s="61">
        <f>_xlfn.XLOOKUP(L26,$J$15:$J$26,$I$15:$I$26)</f>
        <v>3022066</v>
      </c>
      <c r="M28" s="61">
        <f>_xlfn.XLOOKUP(M26,$J$15:$J$26,$I$15:$I$26)</f>
        <v>2010064</v>
      </c>
      <c r="N28" s="61"/>
      <c r="O28" s="61"/>
      <c r="P28" s="61">
        <f>_xlfn.XLOOKUP(P26,$J$15:$J$26,$I$15:$I$26)</f>
        <v>3015068</v>
      </c>
      <c r="Q28" s="61">
        <f>_xlfn.XLOOKUP(Q26,$J$15:$J$26,$I$15:$I$26)</f>
        <v>1992060</v>
      </c>
    </row>
    <row r="31" spans="1:27" ht="30">
      <c r="L31" s="421" t="s">
        <v>200</v>
      </c>
      <c r="M31" s="422"/>
      <c r="N31" s="422"/>
      <c r="O31" s="422"/>
      <c r="P31" s="422"/>
      <c r="Q31" s="422"/>
    </row>
    <row r="32" spans="1:27">
      <c r="L32" s="418" t="s">
        <v>193</v>
      </c>
      <c r="M32" s="418" t="s">
        <v>194</v>
      </c>
      <c r="N32" s="417" t="s">
        <v>195</v>
      </c>
      <c r="O32" s="418"/>
      <c r="P32" s="418" t="s">
        <v>196</v>
      </c>
      <c r="Q32" s="418" t="s">
        <v>197</v>
      </c>
    </row>
    <row r="33" spans="12:17">
      <c r="L33" s="432" t="str">
        <f>IF(OR($N$26="",$O$26=""),"",IF($N$27="WIN",$L$26,$P$26))</f>
        <v>Raileno</v>
      </c>
      <c r="M33" s="30" t="str">
        <f>B17</f>
        <v>Andrew</v>
      </c>
      <c r="N33" s="55">
        <v>20</v>
      </c>
      <c r="O33" s="86">
        <v>18</v>
      </c>
      <c r="P33" s="432" t="str">
        <f>IF(OR($N$26="",$O$26=""),"",IF($N$27="WIN",$M$26,$Q$26))</f>
        <v>Piu</v>
      </c>
      <c r="Q33" s="30" t="str">
        <f>B23</f>
        <v>Shahar</v>
      </c>
    </row>
  </sheetData>
  <sheetProtection algorithmName="SHA-512" hashValue="kg9uy8J7idffAMBEopdQu52xf+mhklL6TfaUL6HhfZ/s3xKx8CZIFB1svJhYWbww02U3n7IbNaE0jypqCakaXQ==" saltValue="943dch5pSt32kDVygq40Xw==" spinCount="100000" sheet="1" objects="1" scenarios="1"/>
  <mergeCells count="8">
    <mergeCell ref="S1:T1"/>
    <mergeCell ref="A13:G13"/>
    <mergeCell ref="L24:Q24"/>
    <mergeCell ref="N25:O25"/>
    <mergeCell ref="L13:Q13"/>
    <mergeCell ref="N14:O14"/>
    <mergeCell ref="N19:O19"/>
    <mergeCell ref="A1:A11"/>
  </mergeCells>
  <pageMargins left="0.7" right="0.7" top="0.75" bottom="0.75" header="0.3" footer="0.3"/>
  <pageSetup orientation="portrait" r:id="rId1"/>
  <legacyDrawing r:id="rId2"/>
  <tableParts count="4">
    <tablePart r:id="rId3"/>
    <tablePart r:id="rId4"/>
    <tablePart r:id="rId5"/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0A85-AD35-1348-BBCC-F0ABF476C4A9}">
  <sheetPr codeName="Sheet11"/>
  <dimension ref="A1:U33"/>
  <sheetViews>
    <sheetView workbookViewId="0">
      <selection sqref="A1:I1"/>
    </sheetView>
    <sheetView workbookViewId="1">
      <selection sqref="A1:A10"/>
    </sheetView>
  </sheetViews>
  <sheetFormatPr defaultColWidth="8.85546875" defaultRowHeight="15"/>
  <cols>
    <col min="1" max="1" width="9.7109375" customWidth="1"/>
    <col min="2" max="2" width="12.28515625" bestFit="1" customWidth="1"/>
    <col min="3" max="4" width="20" customWidth="1"/>
    <col min="5" max="6" width="9.7109375" customWidth="1"/>
    <col min="7" max="7" width="20" customWidth="1"/>
    <col min="8" max="8" width="11.28515625" hidden="1" customWidth="1"/>
    <col min="9" max="9" width="12" hidden="1" customWidth="1"/>
    <col min="10" max="10" width="10.7109375" hidden="1" customWidth="1"/>
    <col min="11" max="11" width="8" hidden="1" customWidth="1"/>
    <col min="12" max="12" width="20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2.140625" bestFit="1" customWidth="1"/>
    <col min="21" max="22" width="9.7109375" bestFit="1" customWidth="1"/>
  </cols>
  <sheetData>
    <row r="1" spans="1:21" ht="15" customHeight="1">
      <c r="A1" s="551" t="s">
        <v>264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265</v>
      </c>
      <c r="U1" s="545"/>
    </row>
    <row r="2" spans="1:21" ht="15" customHeight="1">
      <c r="A2" s="551"/>
      <c r="B2" s="13" t="s">
        <v>178</v>
      </c>
      <c r="C2" s="1" t="str">
        <f>B14</f>
        <v>Igor</v>
      </c>
      <c r="D2" s="32" t="str">
        <f>B15</f>
        <v>Alex</v>
      </c>
      <c r="E2" s="116">
        <v>8</v>
      </c>
      <c r="F2" s="116">
        <v>18</v>
      </c>
      <c r="G2" s="31" t="str">
        <f>B16</f>
        <v>Piu</v>
      </c>
      <c r="H2" s="63"/>
      <c r="I2" s="63"/>
      <c r="J2" s="63"/>
      <c r="K2" s="63"/>
      <c r="L2" s="16" t="str">
        <f>B17</f>
        <v>Raileno</v>
      </c>
      <c r="M2" s="13">
        <f>IF(OR(Table4101317251247545298684168[[#This Row],[SCORE 1]]="",Table4101317251247545298684168[[#This Row],[SCORE 2]]=""),"",Table4101317251247545298684168[[#This Row],[SCORE 1]]-Table4101317251247545298684168[[#This Row],[SCORE 2]])</f>
        <v>-10</v>
      </c>
      <c r="N2" s="13">
        <f>IF(OR(Table4101317251247545298684168[[#This Row],[SCORE 1]]="",Table4101317251247545298684168[[#This Row],[SCORE 2]]=""),"",Table4101317251247545298684168[[#This Row],[SCORE 2]]-Table4101317251247545298684168[[#This Row],[SCORE 1]])</f>
        <v>10</v>
      </c>
      <c r="O2" s="13">
        <f>IF(Table4101317251247545298684168[[#This Row],[SCORE 1]]="","",Table4101317251247545298684168[[#This Row],[SCORE 1]])</f>
        <v>8</v>
      </c>
      <c r="P2" s="13">
        <f>IF(Table4101317251247545298684168[[#This Row],[SCORE 2]]="","",Table4101317251247545298684168[[#This Row],[SCORE 2]])</f>
        <v>18</v>
      </c>
      <c r="Q2" s="13" t="str">
        <f>IF(OR(Table4101317251247545298684168[[#This Row],[SCORE 1]]="",Table4101317251247545298684168[[#This Row],[SCORE 2]]=""),"",IF(Table4101317251247545298684168[[#This Row],[SALDO 12]]&gt;0, "WIN","LOSE"))</f>
        <v>LOSE</v>
      </c>
      <c r="R2" s="13" t="str">
        <f>IF(OR(Table4101317251247545298684168[[#This Row],[SCORE 1]]="",Table4101317251247545298684168[[#This Row],[SCORE 2]]=""),"",IF(Table4101317251247545298684168[[#This Row],[SALDO 34]]&gt;0, "WIN","LOSE"))</f>
        <v>WIN</v>
      </c>
      <c r="T2" s="35" t="s">
        <v>179</v>
      </c>
      <c r="U2" s="35" t="s">
        <v>8</v>
      </c>
    </row>
    <row r="3" spans="1:21">
      <c r="A3" s="551"/>
      <c r="B3" s="13" t="s">
        <v>180</v>
      </c>
      <c r="C3" s="1" t="str">
        <f>B20</f>
        <v>Gabriel</v>
      </c>
      <c r="D3" s="32" t="str">
        <f>B21</f>
        <v>Carlitos</v>
      </c>
      <c r="E3" s="116">
        <v>8</v>
      </c>
      <c r="F3" s="116">
        <v>18</v>
      </c>
      <c r="G3" s="31" t="str">
        <f>B22</f>
        <v>Pablo</v>
      </c>
      <c r="H3" s="63"/>
      <c r="I3" s="63"/>
      <c r="J3" s="63"/>
      <c r="K3" s="63"/>
      <c r="L3" s="16" t="str">
        <f>B23</f>
        <v>Andrew</v>
      </c>
      <c r="M3" s="13">
        <f>IF(OR(Table4101317251247545298684168[[#This Row],[SCORE 1]]="",Table4101317251247545298684168[[#This Row],[SCORE 2]]=""),"",Table4101317251247545298684168[[#This Row],[SCORE 1]]-Table4101317251247545298684168[[#This Row],[SCORE 2]])</f>
        <v>-10</v>
      </c>
      <c r="N3" s="13">
        <f>IF(OR(Table4101317251247545298684168[[#This Row],[SCORE 1]]="",Table4101317251247545298684168[[#This Row],[SCORE 2]]=""),"",Table4101317251247545298684168[[#This Row],[SCORE 2]]-Table4101317251247545298684168[[#This Row],[SCORE 1]])</f>
        <v>10</v>
      </c>
      <c r="O3" s="13">
        <f>IF(Table4101317251247545298684168[[#This Row],[SCORE 1]]="","",Table4101317251247545298684168[[#This Row],[SCORE 1]])</f>
        <v>8</v>
      </c>
      <c r="P3" s="13">
        <f>IF(Table4101317251247545298684168[[#This Row],[SCORE 2]]="","",Table4101317251247545298684168[[#This Row],[SCORE 2]])</f>
        <v>18</v>
      </c>
      <c r="Q3" s="13" t="str">
        <f>IF(OR(Table4101317251247545298684168[[#This Row],[SCORE 1]]="",Table4101317251247545298684168[[#This Row],[SCORE 2]]=""),"",IF(Table4101317251247545298684168[[#This Row],[SALDO 12]]&gt;0, "WIN","LOSE"))</f>
        <v>LOSE</v>
      </c>
      <c r="R3" s="13" t="str">
        <f>IF(OR(Table4101317251247545298684168[[#This Row],[SCORE 1]]="",Table4101317251247545298684168[[#This Row],[SCORE 2]]=""),"",IF(Table4101317251247545298684168[[#This Row],[SALDO 34]]&gt;0, "WIN","LOSE"))</f>
        <v>WIN</v>
      </c>
      <c r="T3" s="70" t="str">
        <f>IFERROR(_xlfn.XLOOKUP(Table15202832506072101714571[[#This Row],[Rank]],$M$33:$R$33,$M$32:$R$32),"")</f>
        <v>Andrew</v>
      </c>
      <c r="U3" s="67" t="s">
        <v>19</v>
      </c>
    </row>
    <row r="4" spans="1:21">
      <c r="A4" s="551"/>
      <c r="B4" s="13" t="s">
        <v>181</v>
      </c>
      <c r="C4" s="1" t="str">
        <f>B26</f>
        <v>Pedro</v>
      </c>
      <c r="D4" s="32" t="str">
        <f>B27</f>
        <v>Joackim</v>
      </c>
      <c r="E4" s="116">
        <v>5</v>
      </c>
      <c r="F4" s="116">
        <v>18</v>
      </c>
      <c r="G4" s="31" t="str">
        <f>B28</f>
        <v>Marco</v>
      </c>
      <c r="H4" s="63"/>
      <c r="I4" s="63"/>
      <c r="J4" s="63"/>
      <c r="K4" s="63"/>
      <c r="L4" s="16" t="str">
        <f>B29</f>
        <v>Shahar</v>
      </c>
      <c r="M4" s="13">
        <f>IF(OR(Table4101317251247545298684168[[#This Row],[SCORE 1]]="",Table4101317251247545298684168[[#This Row],[SCORE 2]]=""),"",Table4101317251247545298684168[[#This Row],[SCORE 1]]-Table4101317251247545298684168[[#This Row],[SCORE 2]])</f>
        <v>-13</v>
      </c>
      <c r="N4" s="13">
        <f>IF(OR(Table4101317251247545298684168[[#This Row],[SCORE 1]]="",Table4101317251247545298684168[[#This Row],[SCORE 2]]=""),"",Table4101317251247545298684168[[#This Row],[SCORE 2]]-Table4101317251247545298684168[[#This Row],[SCORE 1]])</f>
        <v>13</v>
      </c>
      <c r="O4" s="13">
        <f>IF(Table4101317251247545298684168[[#This Row],[SCORE 1]]="","",Table4101317251247545298684168[[#This Row],[SCORE 1]])</f>
        <v>5</v>
      </c>
      <c r="P4" s="13">
        <f>IF(Table4101317251247545298684168[[#This Row],[SCORE 2]]="","",Table4101317251247545298684168[[#This Row],[SCORE 2]])</f>
        <v>18</v>
      </c>
      <c r="Q4" s="13" t="str">
        <f>IF(OR(Table4101317251247545298684168[[#This Row],[SCORE 1]]="",Table4101317251247545298684168[[#This Row],[SCORE 2]]=""),"",IF(Table4101317251247545298684168[[#This Row],[SALDO 12]]&gt;0, "WIN","LOSE"))</f>
        <v>LOSE</v>
      </c>
      <c r="R4" s="13" t="str">
        <f>IF(OR(Table4101317251247545298684168[[#This Row],[SCORE 1]]="",Table4101317251247545298684168[[#This Row],[SCORE 2]]=""),"",IF(Table4101317251247545298684168[[#This Row],[SALDO 34]]&gt;0, "WIN","LOSE"))</f>
        <v>WIN</v>
      </c>
      <c r="T4" s="70" t="str">
        <f>IFERROR(_xlfn.XLOOKUP(Table15202832506072101714571[[#This Row],[Rank]],$M$33:$R$33,$M$32:$R$32),"")</f>
        <v>Alex</v>
      </c>
      <c r="U4" s="67" t="s">
        <v>22</v>
      </c>
    </row>
    <row r="5" spans="1:21">
      <c r="A5" s="551"/>
      <c r="B5" s="13" t="s">
        <v>178</v>
      </c>
      <c r="C5" s="1" t="str">
        <f>B14</f>
        <v>Igor</v>
      </c>
      <c r="D5" s="32" t="str">
        <f>B17</f>
        <v>Raileno</v>
      </c>
      <c r="E5" s="116">
        <v>9</v>
      </c>
      <c r="F5" s="116">
        <v>18</v>
      </c>
      <c r="G5" s="31" t="str">
        <f>B15</f>
        <v>Alex</v>
      </c>
      <c r="H5" s="63"/>
      <c r="I5" s="63"/>
      <c r="J5" s="63"/>
      <c r="K5" s="63"/>
      <c r="L5" s="16" t="str">
        <f>B16</f>
        <v>Piu</v>
      </c>
      <c r="M5" s="13">
        <f>IF(OR(Table4101317251247545298684168[[#This Row],[SCORE 1]]="",Table4101317251247545298684168[[#This Row],[SCORE 2]]=""),"",Table4101317251247545298684168[[#This Row],[SCORE 1]]-Table4101317251247545298684168[[#This Row],[SCORE 2]])</f>
        <v>-9</v>
      </c>
      <c r="N5" s="13">
        <f>IF(OR(Table4101317251247545298684168[[#This Row],[SCORE 1]]="",Table4101317251247545298684168[[#This Row],[SCORE 2]]=""),"",Table4101317251247545298684168[[#This Row],[SCORE 2]]-Table4101317251247545298684168[[#This Row],[SCORE 1]])</f>
        <v>9</v>
      </c>
      <c r="O5" s="13">
        <f>IF(Table4101317251247545298684168[[#This Row],[SCORE 1]]="","",Table4101317251247545298684168[[#This Row],[SCORE 1]])</f>
        <v>9</v>
      </c>
      <c r="P5" s="13">
        <f>IF(Table4101317251247545298684168[[#This Row],[SCORE 2]]="","",Table4101317251247545298684168[[#This Row],[SCORE 2]])</f>
        <v>18</v>
      </c>
      <c r="Q5" s="13" t="str">
        <f>IF(OR(Table4101317251247545298684168[[#This Row],[SCORE 1]]="",Table4101317251247545298684168[[#This Row],[SCORE 2]]=""),"",IF(Table4101317251247545298684168[[#This Row],[SALDO 12]]&gt;0, "WIN","LOSE"))</f>
        <v>LOSE</v>
      </c>
      <c r="R5" s="13" t="str">
        <f>IF(OR(Table4101317251247545298684168[[#This Row],[SCORE 1]]="",Table4101317251247545298684168[[#This Row],[SCORE 2]]=""),"",IF(Table4101317251247545298684168[[#This Row],[SALDO 34]]&gt;0, "WIN","LOSE"))</f>
        <v>WIN</v>
      </c>
      <c r="T5" s="70" t="str">
        <f>IFERROR(_xlfn.XLOOKUP(Table15202832506072101714571[[#This Row],[Rank]],$M$26:$R$26,$M$25:$R$25),"")</f>
        <v>Marco</v>
      </c>
      <c r="U5" s="67" t="s">
        <v>25</v>
      </c>
    </row>
    <row r="6" spans="1:21">
      <c r="A6" s="551"/>
      <c r="B6" s="13" t="s">
        <v>180</v>
      </c>
      <c r="C6" s="1" t="str">
        <f>B20</f>
        <v>Gabriel</v>
      </c>
      <c r="D6" s="32" t="str">
        <f>B23</f>
        <v>Andrew</v>
      </c>
      <c r="E6" s="116">
        <v>15</v>
      </c>
      <c r="F6" s="116">
        <v>18</v>
      </c>
      <c r="G6" s="31" t="str">
        <f>B21</f>
        <v>Carlitos</v>
      </c>
      <c r="H6" s="63"/>
      <c r="I6" s="63"/>
      <c r="J6" s="63"/>
      <c r="K6" s="63"/>
      <c r="L6" s="16" t="str">
        <f>B22</f>
        <v>Pablo</v>
      </c>
      <c r="M6" s="13">
        <f>IF(OR(Table4101317251247545298684168[[#This Row],[SCORE 1]]="",Table4101317251247545298684168[[#This Row],[SCORE 2]]=""),"",Table4101317251247545298684168[[#This Row],[SCORE 1]]-Table4101317251247545298684168[[#This Row],[SCORE 2]])</f>
        <v>-3</v>
      </c>
      <c r="N6" s="13">
        <f>IF(OR(Table4101317251247545298684168[[#This Row],[SCORE 1]]="",Table4101317251247545298684168[[#This Row],[SCORE 2]]=""),"",Table4101317251247545298684168[[#This Row],[SCORE 2]]-Table4101317251247545298684168[[#This Row],[SCORE 1]])</f>
        <v>3</v>
      </c>
      <c r="O6" s="13">
        <f>IF(Table4101317251247545298684168[[#This Row],[SCORE 1]]="","",Table4101317251247545298684168[[#This Row],[SCORE 1]])</f>
        <v>15</v>
      </c>
      <c r="P6" s="13">
        <f>IF(Table4101317251247545298684168[[#This Row],[SCORE 2]]="","",Table4101317251247545298684168[[#This Row],[SCORE 2]])</f>
        <v>18</v>
      </c>
      <c r="Q6" s="13" t="str">
        <f>IF(OR(Table4101317251247545298684168[[#This Row],[SCORE 1]]="",Table4101317251247545298684168[[#This Row],[SCORE 2]]=""),"",IF(Table4101317251247545298684168[[#This Row],[SALDO 12]]&gt;0, "WIN","LOSE"))</f>
        <v>LOSE</v>
      </c>
      <c r="R6" s="13" t="str">
        <f>IF(OR(Table4101317251247545298684168[[#This Row],[SCORE 1]]="",Table4101317251247545298684168[[#This Row],[SCORE 2]]=""),"",IF(Table4101317251247545298684168[[#This Row],[SALDO 34]]&gt;0, "WIN","LOSE"))</f>
        <v>WIN</v>
      </c>
      <c r="T6" s="70" t="str">
        <f>IFERROR(_xlfn.XLOOKUP(Table15202832506072101714571[[#This Row],[Rank]],$M$26:$R$26,$M$25:$R$25),"")</f>
        <v>Gabriel</v>
      </c>
      <c r="U6" s="67" t="s">
        <v>28</v>
      </c>
    </row>
    <row r="7" spans="1:21">
      <c r="A7" s="551"/>
      <c r="B7" s="13" t="s">
        <v>181</v>
      </c>
      <c r="C7" s="1" t="str">
        <f>B26</f>
        <v>Pedro</v>
      </c>
      <c r="D7" s="32" t="str">
        <f>B29</f>
        <v>Shahar</v>
      </c>
      <c r="E7" s="116">
        <v>18</v>
      </c>
      <c r="F7" s="116">
        <v>16</v>
      </c>
      <c r="G7" s="31" t="str">
        <f>B27</f>
        <v>Joackim</v>
      </c>
      <c r="H7" s="63"/>
      <c r="I7" s="63"/>
      <c r="J7" s="63"/>
      <c r="K7" s="63"/>
      <c r="L7" s="16" t="str">
        <f>B28</f>
        <v>Marco</v>
      </c>
      <c r="M7" s="13">
        <f>IF(OR(Table4101317251247545298684168[[#This Row],[SCORE 1]]="",Table4101317251247545298684168[[#This Row],[SCORE 2]]=""),"",Table4101317251247545298684168[[#This Row],[SCORE 1]]-Table4101317251247545298684168[[#This Row],[SCORE 2]])</f>
        <v>2</v>
      </c>
      <c r="N7" s="13">
        <f>IF(OR(Table4101317251247545298684168[[#This Row],[SCORE 1]]="",Table4101317251247545298684168[[#This Row],[SCORE 2]]=""),"",Table4101317251247545298684168[[#This Row],[SCORE 2]]-Table4101317251247545298684168[[#This Row],[SCORE 1]])</f>
        <v>-2</v>
      </c>
      <c r="O7" s="13">
        <f>IF(Table4101317251247545298684168[[#This Row],[SCORE 1]]="","",Table4101317251247545298684168[[#This Row],[SCORE 1]])</f>
        <v>18</v>
      </c>
      <c r="P7" s="13">
        <f>IF(Table4101317251247545298684168[[#This Row],[SCORE 2]]="","",Table4101317251247545298684168[[#This Row],[SCORE 2]])</f>
        <v>16</v>
      </c>
      <c r="Q7" s="13" t="str">
        <f>IF(OR(Table4101317251247545298684168[[#This Row],[SCORE 1]]="",Table4101317251247545298684168[[#This Row],[SCORE 2]]=""),"",IF(Table4101317251247545298684168[[#This Row],[SALDO 12]]&gt;0, "WIN","LOSE"))</f>
        <v>WIN</v>
      </c>
      <c r="R7" s="13" t="str">
        <f>IF(OR(Table4101317251247545298684168[[#This Row],[SCORE 1]]="",Table4101317251247545298684168[[#This Row],[SCORE 2]]=""),"",IF(Table4101317251247545298684168[[#This Row],[SALDO 34]]&gt;0, "WIN","LOSE"))</f>
        <v>LOSE</v>
      </c>
      <c r="T7" s="70" t="str">
        <f>IF($O$15="lose",$M$14,_xlfn.XLOOKUP(Table15202832506072101714571[[#This Row],[Rank]],$M$20:$R$20,$M$19:$R$19,""))</f>
        <v>Shahar</v>
      </c>
      <c r="U7" s="67" t="s">
        <v>31</v>
      </c>
    </row>
    <row r="8" spans="1:21">
      <c r="A8" s="551"/>
      <c r="B8" s="13" t="s">
        <v>178</v>
      </c>
      <c r="C8" s="1" t="str">
        <f>B14</f>
        <v>Igor</v>
      </c>
      <c r="D8" s="32" t="str">
        <f>B16</f>
        <v>Piu</v>
      </c>
      <c r="E8" s="116">
        <v>14</v>
      </c>
      <c r="F8" s="116">
        <v>18</v>
      </c>
      <c r="G8" s="31" t="str">
        <f>B17</f>
        <v>Raileno</v>
      </c>
      <c r="H8" s="63"/>
      <c r="I8" s="63"/>
      <c r="J8" s="63"/>
      <c r="K8" s="63"/>
      <c r="L8" s="16" t="str">
        <f>B15</f>
        <v>Alex</v>
      </c>
      <c r="M8" s="13">
        <f>IF(OR(Table4101317251247545298684168[[#This Row],[SCORE 1]]="",Table4101317251247545298684168[[#This Row],[SCORE 2]]=""),"",Table4101317251247545298684168[[#This Row],[SCORE 1]]-Table4101317251247545298684168[[#This Row],[SCORE 2]])</f>
        <v>-4</v>
      </c>
      <c r="N8" s="13">
        <f>IF(OR(Table4101317251247545298684168[[#This Row],[SCORE 1]]="",Table4101317251247545298684168[[#This Row],[SCORE 2]]=""),"",Table4101317251247545298684168[[#This Row],[SCORE 2]]-Table4101317251247545298684168[[#This Row],[SCORE 1]])</f>
        <v>4</v>
      </c>
      <c r="O8" s="13">
        <f>IF(Table4101317251247545298684168[[#This Row],[SCORE 1]]="","",Table4101317251247545298684168[[#This Row],[SCORE 1]])</f>
        <v>14</v>
      </c>
      <c r="P8" s="13">
        <f>IF(Table4101317251247545298684168[[#This Row],[SCORE 2]]="","",Table4101317251247545298684168[[#This Row],[SCORE 2]])</f>
        <v>18</v>
      </c>
      <c r="Q8" s="13" t="str">
        <f>IF(OR(Table4101317251247545298684168[[#This Row],[SCORE 1]]="",Table4101317251247545298684168[[#This Row],[SCORE 2]]=""),"",IF(Table4101317251247545298684168[[#This Row],[SALDO 12]]&gt;0, "WIN","LOSE"))</f>
        <v>LOSE</v>
      </c>
      <c r="R8" s="13" t="str">
        <f>IF(OR(Table4101317251247545298684168[[#This Row],[SCORE 1]]="",Table4101317251247545298684168[[#This Row],[SCORE 2]]=""),"",IF(Table4101317251247545298684168[[#This Row],[SALDO 34]]&gt;0, "WIN","LOSE"))</f>
        <v>WIN</v>
      </c>
      <c r="T8" s="70" t="str">
        <f>IF($O$15="lose",$N$14,_xlfn.XLOOKUP(Table15202832506072101714571[[#This Row],[Rank]],$M$20:$R$20,$M$19:$R$19,""))</f>
        <v>Pablo</v>
      </c>
      <c r="U8" s="67" t="s">
        <v>34</v>
      </c>
    </row>
    <row r="9" spans="1:21">
      <c r="A9" s="551"/>
      <c r="B9" s="13" t="s">
        <v>180</v>
      </c>
      <c r="C9" s="1" t="str">
        <f>B20</f>
        <v>Gabriel</v>
      </c>
      <c r="D9" s="32" t="str">
        <f>B22</f>
        <v>Pablo</v>
      </c>
      <c r="E9" s="116">
        <v>18</v>
      </c>
      <c r="F9" s="116">
        <v>16</v>
      </c>
      <c r="G9" s="31" t="str">
        <f>B23</f>
        <v>Andrew</v>
      </c>
      <c r="H9" s="63"/>
      <c r="I9" s="63"/>
      <c r="J9" s="63"/>
      <c r="K9" s="63"/>
      <c r="L9" s="16" t="str">
        <f>B21</f>
        <v>Carlitos</v>
      </c>
      <c r="M9" s="13">
        <f>IF(OR(Table4101317251247545298684168[[#This Row],[SCORE 1]]="",Table4101317251247545298684168[[#This Row],[SCORE 2]]=""),"",Table4101317251247545298684168[[#This Row],[SCORE 1]]-Table4101317251247545298684168[[#This Row],[SCORE 2]])</f>
        <v>2</v>
      </c>
      <c r="N9" s="13">
        <f>IF(OR(Table4101317251247545298684168[[#This Row],[SCORE 1]]="",Table4101317251247545298684168[[#This Row],[SCORE 2]]=""),"",Table4101317251247545298684168[[#This Row],[SCORE 2]]-Table4101317251247545298684168[[#This Row],[SCORE 1]])</f>
        <v>-2</v>
      </c>
      <c r="O9" s="13">
        <f>IF(Table4101317251247545298684168[[#This Row],[SCORE 1]]="","",Table4101317251247545298684168[[#This Row],[SCORE 1]])</f>
        <v>18</v>
      </c>
      <c r="P9" s="13">
        <f>IF(Table4101317251247545298684168[[#This Row],[SCORE 2]]="","",Table4101317251247545298684168[[#This Row],[SCORE 2]])</f>
        <v>16</v>
      </c>
      <c r="Q9" s="13" t="str">
        <f>IF(OR(Table4101317251247545298684168[[#This Row],[SCORE 1]]="",Table4101317251247545298684168[[#This Row],[SCORE 2]]=""),"",IF(Table4101317251247545298684168[[#This Row],[SALDO 12]]&gt;0, "WIN","LOSE"))</f>
        <v>WIN</v>
      </c>
      <c r="R9" s="13" t="str">
        <f>IF(OR(Table4101317251247545298684168[[#This Row],[SCORE 1]]="",Table4101317251247545298684168[[#This Row],[SCORE 2]]=""),"",IF(Table4101317251247545298684168[[#This Row],[SALDO 34]]&gt;0, "WIN","LOSE"))</f>
        <v>LOSE</v>
      </c>
      <c r="T9" s="70" t="str">
        <f>IF($P$15="lose",$Q$14,_xlfn.XLOOKUP(Table15202832506072101714571[[#This Row],[Rank]],$M$20:$R$20,$M$19:$R$19,""))</f>
        <v>Piu</v>
      </c>
      <c r="U9" s="67" t="s">
        <v>37</v>
      </c>
    </row>
    <row r="10" spans="1:21">
      <c r="A10" s="551"/>
      <c r="B10" s="13" t="s">
        <v>181</v>
      </c>
      <c r="C10" s="1" t="str">
        <f>B26</f>
        <v>Pedro</v>
      </c>
      <c r="D10" s="32" t="str">
        <f>B28</f>
        <v>Marco</v>
      </c>
      <c r="E10" s="116">
        <v>9</v>
      </c>
      <c r="F10" s="116">
        <v>18</v>
      </c>
      <c r="G10" s="31" t="str">
        <f>B29</f>
        <v>Shahar</v>
      </c>
      <c r="H10" s="63"/>
      <c r="I10" s="63"/>
      <c r="J10" s="63"/>
      <c r="K10" s="63"/>
      <c r="L10" s="16" t="str">
        <f>B27</f>
        <v>Joackim</v>
      </c>
      <c r="M10" s="13">
        <f>IF(OR(Table4101317251247545298684168[[#This Row],[SCORE 1]]="",Table4101317251247545298684168[[#This Row],[SCORE 2]]=""),"",Table4101317251247545298684168[[#This Row],[SCORE 1]]-Table4101317251247545298684168[[#This Row],[SCORE 2]])</f>
        <v>-9</v>
      </c>
      <c r="N10" s="13">
        <f>IF(OR(Table4101317251247545298684168[[#This Row],[SCORE 1]]="",Table4101317251247545298684168[[#This Row],[SCORE 2]]=""),"",Table4101317251247545298684168[[#This Row],[SCORE 2]]-Table4101317251247545298684168[[#This Row],[SCORE 1]])</f>
        <v>9</v>
      </c>
      <c r="O10" s="13">
        <f>IF(Table4101317251247545298684168[[#This Row],[SCORE 1]]="","",Table4101317251247545298684168[[#This Row],[SCORE 1]])</f>
        <v>9</v>
      </c>
      <c r="P10" s="13">
        <f>IF(Table4101317251247545298684168[[#This Row],[SCORE 2]]="","",Table4101317251247545298684168[[#This Row],[SCORE 2]])</f>
        <v>18</v>
      </c>
      <c r="Q10" s="13" t="str">
        <f>IF(OR(Table4101317251247545298684168[[#This Row],[SCORE 1]]="",Table4101317251247545298684168[[#This Row],[SCORE 2]]=""),"",IF(Table4101317251247545298684168[[#This Row],[SALDO 12]]&gt;0, "WIN","LOSE"))</f>
        <v>LOSE</v>
      </c>
      <c r="R10" s="13" t="str">
        <f>IF(OR(Table4101317251247545298684168[[#This Row],[SCORE 1]]="",Table4101317251247545298684168[[#This Row],[SCORE 2]]=""),"",IF(Table4101317251247545298684168[[#This Row],[SALDO 34]]&gt;0, "WIN","LOSE"))</f>
        <v>WIN</v>
      </c>
      <c r="T10" s="70" t="str">
        <f>IF($P$15="lose",$R$14,_xlfn.XLOOKUP(Table15202832506072101714571[[#This Row],[Rank]],$M$20:$R$20,$M$19:$R$19,""))</f>
        <v>Raileno</v>
      </c>
      <c r="U10" s="67" t="s">
        <v>41</v>
      </c>
    </row>
    <row r="11" spans="1:21" ht="30" customHeight="1">
      <c r="T11" s="66" t="str" cm="1">
        <f t="array" ref="T11">IF(COUNTBLANK(Games_45056[[SCORE 1]:[SCORE 2]])=0,_xlfn.TEXTJOIN(", ", TRUE, _xlfn._xlws.FILTER($K$14:$K$25, $J$14:$J$25=U11, "")),"")</f>
        <v>Carlitos</v>
      </c>
      <c r="U11" s="67" t="s">
        <v>44</v>
      </c>
    </row>
    <row r="12" spans="1:21" ht="30" customHeight="1">
      <c r="A12" s="546" t="s">
        <v>182</v>
      </c>
      <c r="B12" s="547"/>
      <c r="C12" s="547"/>
      <c r="D12" s="547"/>
      <c r="E12" s="547"/>
      <c r="F12" s="547"/>
      <c r="G12" s="547"/>
      <c r="H12" s="420"/>
      <c r="I12" s="420"/>
      <c r="J12" s="420"/>
      <c r="K12" s="420"/>
      <c r="M12" s="548" t="s">
        <v>183</v>
      </c>
      <c r="N12" s="549"/>
      <c r="O12" s="549"/>
      <c r="P12" s="549"/>
      <c r="Q12" s="549"/>
      <c r="R12" s="549"/>
      <c r="T12" s="66" t="str" cm="1">
        <f t="array" ref="T12">IF(COUNTBLANK(Games_45056[[SCORE 1]:[SCORE 2]])=0,_xlfn.TEXTJOIN(", ", TRUE, _xlfn._xlws.FILTER($K$14:$K$25, $J$14:$J$25=U12, "")),"")</f>
        <v>Gabriel</v>
      </c>
      <c r="U12" s="67" t="s">
        <v>39</v>
      </c>
    </row>
    <row r="13" spans="1:21" ht="15.95">
      <c r="A13" s="6" t="s">
        <v>184</v>
      </c>
      <c r="B13" s="7" t="s">
        <v>203</v>
      </c>
      <c r="C13" s="7" t="s">
        <v>186</v>
      </c>
      <c r="D13" s="7" t="s">
        <v>187</v>
      </c>
      <c r="E13" s="7" t="s">
        <v>188</v>
      </c>
      <c r="F13" s="7" t="s">
        <v>189</v>
      </c>
      <c r="G13" s="7" t="s">
        <v>8</v>
      </c>
      <c r="H13" s="80" t="s">
        <v>204</v>
      </c>
      <c r="I13" s="20" t="s">
        <v>191</v>
      </c>
      <c r="J13" s="20" t="s">
        <v>192</v>
      </c>
      <c r="K13" s="20" t="s">
        <v>1</v>
      </c>
      <c r="L13" s="20" t="s">
        <v>192</v>
      </c>
      <c r="M13" s="418" t="s">
        <v>193</v>
      </c>
      <c r="N13" s="418" t="s">
        <v>194</v>
      </c>
      <c r="O13" s="542" t="s">
        <v>195</v>
      </c>
      <c r="P13" s="543"/>
      <c r="Q13" s="418" t="s">
        <v>196</v>
      </c>
      <c r="R13" s="418" t="s">
        <v>197</v>
      </c>
      <c r="T13" s="66" t="str" cm="1">
        <f t="array" ref="T13">IF(COUNTBLANK(Games_45056[[SCORE 1]:[SCORE 2]])=0,_xlfn.TEXTJOIN(", ", TRUE, _xlfn._xlws.FILTER($K$14:$K$25, $J$14:$J$25=U13, "")),"")</f>
        <v>Pedro</v>
      </c>
      <c r="U13" s="67" t="s">
        <v>49</v>
      </c>
    </row>
    <row r="14" spans="1:21">
      <c r="A14" s="4" t="s">
        <v>205</v>
      </c>
      <c r="B14" s="118" t="s">
        <v>133</v>
      </c>
      <c r="C14" s="14">
        <f>SUM(COUNTIFS(Table4101317251247545298684168[ATHLETE 1],Table36111418263048555399694369[[#This Row],[Athletes]],Table4101317251247545298684168[RESULT 12],Table36111418263048555399694369[[#Headers],[WIN]]),COUNTIFS(Table4101317251247545298684168[ATHLETE 2],Table36111418263048555399694369[[#This Row],[Athletes]],Table4101317251247545298684168[RESULT 12],Table36111418263048555399694369[[#Headers],[WIN]]),COUNTIFS(Table4101317251247545298684168[ATHLETE 3],Table36111418263048555399694369[[#This Row],[Athletes]],Table4101317251247545298684168[RESULT 34],Table36111418263048555399694369[[#Headers],[WIN]]),COUNTIFS(Table4101317251247545298684168[ATHLETE 4],Table36111418263048555399694369[[#This Row],[Athletes]],Table4101317251247545298684168[RESULT 34],Table36111418263048555399694369[[#Headers],[WIN]]))</f>
        <v>0</v>
      </c>
      <c r="D14" s="14">
        <f>SUM(COUNTIFS(Table4101317251247545298684168[ATHLETE 1],Table36111418263048555399694369[[#This Row],[Athletes]],Table4101317251247545298684168[RESULT 12],Table36111418263048555399694369[[#Headers],[LOSE]]),COUNTIFS(Table4101317251247545298684168[ATHLETE 2],Table36111418263048555399694369[[#This Row],[Athletes]],Table4101317251247545298684168[RESULT 12],Table36111418263048555399694369[[#Headers],[LOSE]]),COUNTIFS(Table4101317251247545298684168[ATHLETE 3],Table36111418263048555399694369[[#This Row],[Athletes]],Table4101317251247545298684168[RESULT 34],Table36111418263048555399694369[[#Headers],[LOSE]]),COUNTIFS(Table4101317251247545298684168[ATHLETE 4],Table36111418263048555399694369[[#This Row],[Athletes]],Table4101317251247545298684168[RESULT 34],Table36111418263048555399694369[[#Headers],[LOSE]]))</f>
        <v>3</v>
      </c>
      <c r="E14" s="19">
        <f>SUM(SUMIF(Table4101317251247545298684168[ATHLETE 1],Table36111418263048555399694369[[#This Row],[Athletes]],Table4101317251247545298684168[SALDO 12]),SUMIF(Table4101317251247545298684168[ATHLETE 2],Table36111418263048555399694369[[#This Row],[Athletes]],Table4101317251247545298684168[SALDO 12]),SUMIF(Table4101317251247545298684168[ATHLETE 3],Table36111418263048555399694369[[#This Row],[Athletes]],Table4101317251247545298684168[SALDO 34]),SUMIF(Table4101317251247545298684168[ATHLETE 4],Table36111418263048555399694369[[#This Row],[Athletes]],Table4101317251247545298684168[SALDO 34]))</f>
        <v>-23</v>
      </c>
      <c r="F14" s="19">
        <f>SUM(SUMIF(Table4101317251247545298684168[ATHLETE 1],Table36111418263048555399694369[[#This Row],[Athletes]],Table4101317251247545298684168[PM 12]),SUMIF(Table4101317251247545298684168[ATHLETE 2],Table36111418263048555399694369[[#This Row],[Athletes]],Table4101317251247545298684168[PM 12]),SUMIF(Table4101317251247545298684168[ATHLETE 3],Table36111418263048555399694369[[#This Row],[Athletes]],Table4101317251247545298684168[PM 34]),SUMIF(Table4101317251247545298684168[ATHLETE 4],Table36111418263048555399694369[[#This Row],[Athletes]],Table4101317251247545298684168[PM 34]))</f>
        <v>31</v>
      </c>
      <c r="G14" s="14" t="str">
        <f>IF(COUNTBLANK(Table4101317251247545298684168[[SCORE 1]:[SCORE 2]])=0,IF(RANK(H14,$H$14:$H$17)=1,RANK(H14,$H$14:$H$17)&amp;"st",IF(RANK(H14,$H$14:$H$17)=2,RANK(H14,$H$14:$H$17)&amp;"nd",RANK(H14,$H$14:$H$17)&amp;"th")),"")</f>
        <v>4th</v>
      </c>
      <c r="H14" s="51">
        <f>Table36111418263048555399694369[[#This Row],[WIN]]*1000000+Table36111418263048555399694369[[#This Row],[Saldo]]*1000+Table36111418263048555399694369[[#This Row],[PM]]</f>
        <v>-22969</v>
      </c>
      <c r="I14" s="2">
        <f>H14</f>
        <v>-22969</v>
      </c>
      <c r="J14" s="2" t="str">
        <f>IF(COUNTBLANK(Table4101317251247545298684168[[SCORE 1]:[SCORE 2]])=0,IF(RANK(I14,$I$14:$I$25)=1,RANK(I14,$I$14:$I$25)&amp;"st",IF(RANK(I14,$I$14:$I$25)=2,RANK(I14,$I$14:$I$25)&amp;"nd",IF(RANK(I14,$I$14:$I$25)=3,RANK(I14,$I$14:$I$25)&amp;"rd",RANK(I14,$I$14:$I$25)&amp;"th"))),"")</f>
        <v>12th</v>
      </c>
      <c r="K14" s="38" t="str">
        <f>Table36111418263048555399694369[[#This Row],[Athletes]]</f>
        <v>Igor</v>
      </c>
      <c r="L14" s="2" t="str">
        <f>J14</f>
        <v>12th</v>
      </c>
      <c r="M14" s="428" t="str" cm="1">
        <f t="array" ref="M14">_xlfn.TEXTJOIN(", ", TRUE, _xlfn._xlws.FILTER($K$14:$K$25, $J$14:$J$25=$U$3, ""))</f>
        <v>Shahar</v>
      </c>
      <c r="N14" s="428" t="str" cm="1">
        <f t="array" ref="N14">_xlfn.TEXTJOIN(", ", TRUE, _xlfn._xlws.FILTER($K$14:$K$25, $J$14:$J$25=$U$4, ""))</f>
        <v>Pablo</v>
      </c>
      <c r="O14" s="119">
        <v>12</v>
      </c>
      <c r="P14" s="120">
        <v>18</v>
      </c>
      <c r="Q14" s="428" t="str" cm="1">
        <f t="array" ref="Q14">_xlfn.TEXTJOIN(", ", TRUE, _xlfn._xlws.FILTER($K$14:$K$25, $J$14:$J$25=$U$9, ""))</f>
        <v>Marco</v>
      </c>
      <c r="R14" s="162" t="str">
        <f>B20</f>
        <v>Gabriel</v>
      </c>
      <c r="S14" s="68"/>
      <c r="T14" s="66" t="str" cm="1">
        <f t="array" ref="T14">IF(COUNTBLANK(Games_45056[[SCORE 1]:[SCORE 2]])=0,_xlfn.TEXTJOIN(", ", TRUE, _xlfn._xlws.FILTER($K$14:$K$25, $J$14:$J$25=U14, "")),"")</f>
        <v>Igor</v>
      </c>
      <c r="U14" s="67" t="s">
        <v>51</v>
      </c>
    </row>
    <row r="15" spans="1:21">
      <c r="A15" s="3" t="s">
        <v>206</v>
      </c>
      <c r="B15" s="118" t="s">
        <v>125</v>
      </c>
      <c r="C15" s="14">
        <f>SUM(COUNTIFS(Table4101317251247545298684168[ATHLETE 1],Table36111418263048555399694369[[#This Row],[Athletes]],Table4101317251247545298684168[RESULT 12],Table36111418263048555399694369[[#Headers],[WIN]]),COUNTIFS(Table4101317251247545298684168[ATHLETE 2],Table36111418263048555399694369[[#This Row],[Athletes]],Table4101317251247545298684168[RESULT 12],Table36111418263048555399694369[[#Headers],[WIN]]),COUNTIFS(Table4101317251247545298684168[ATHLETE 3],Table36111418263048555399694369[[#This Row],[Athletes]],Table4101317251247545298684168[RESULT 34],Table36111418263048555399694369[[#Headers],[WIN]]),COUNTIFS(Table4101317251247545298684168[ATHLETE 4],Table36111418263048555399694369[[#This Row],[Athletes]],Table4101317251247545298684168[RESULT 34],Table36111418263048555399694369[[#Headers],[WIN]]))</f>
        <v>2</v>
      </c>
      <c r="D15" s="14">
        <f>SUM(COUNTIFS(Table4101317251247545298684168[ATHLETE 1],Table36111418263048555399694369[[#This Row],[Athletes]],Table4101317251247545298684168[RESULT 12],Table36111418263048555399694369[[#Headers],[LOSE]]),COUNTIFS(Table4101317251247545298684168[ATHLETE 2],Table36111418263048555399694369[[#This Row],[Athletes]],Table4101317251247545298684168[RESULT 12],Table36111418263048555399694369[[#Headers],[LOSE]]),COUNTIFS(Table4101317251247545298684168[ATHLETE 3],Table36111418263048555399694369[[#This Row],[Athletes]],Table4101317251247545298684168[RESULT 34],Table36111418263048555399694369[[#Headers],[LOSE]]),COUNTIFS(Table4101317251247545298684168[ATHLETE 4],Table36111418263048555399694369[[#This Row],[Athletes]],Table4101317251247545298684168[RESULT 34],Table36111418263048555399694369[[#Headers],[LOSE]]))</f>
        <v>1</v>
      </c>
      <c r="E15" s="19">
        <f>SUM(SUMIF(Table4101317251247545298684168[ATHLETE 1],Table36111418263048555399694369[[#This Row],[Athletes]],Table4101317251247545298684168[SALDO 12]),SUMIF(Table4101317251247545298684168[ATHLETE 2],Table36111418263048555399694369[[#This Row],[Athletes]],Table4101317251247545298684168[SALDO 12]),SUMIF(Table4101317251247545298684168[ATHLETE 3],Table36111418263048555399694369[[#This Row],[Athletes]],Table4101317251247545298684168[SALDO 34]),SUMIF(Table4101317251247545298684168[ATHLETE 4],Table36111418263048555399694369[[#This Row],[Athletes]],Table4101317251247545298684168[SALDO 34]))</f>
        <v>3</v>
      </c>
      <c r="F15" s="19">
        <f>SUM(SUMIF(Table4101317251247545298684168[ATHLETE 1],Table36111418263048555399694369[[#This Row],[Athletes]],Table4101317251247545298684168[PM 12]),SUMIF(Table4101317251247545298684168[ATHLETE 2],Table36111418263048555399694369[[#This Row],[Athletes]],Table4101317251247545298684168[PM 12]),SUMIF(Table4101317251247545298684168[ATHLETE 3],Table36111418263048555399694369[[#This Row],[Athletes]],Table4101317251247545298684168[PM 34]),SUMIF(Table4101317251247545298684168[ATHLETE 4],Table36111418263048555399694369[[#This Row],[Athletes]],Table4101317251247545298684168[PM 34]))</f>
        <v>44</v>
      </c>
      <c r="G15" s="14" t="str">
        <f>IF(COUNTBLANK(Table4101317251247545298684168[[SCORE 1]:[SCORE 2]])=0,IF(RANK(H15,$H$14:$H$17)=1,RANK(H15,$H$14:$H$17)&amp;"st",IF(RANK(H15,$H$14:$H$17)=2,RANK(H15,$H$14:$H$17)&amp;"nd",RANK(H15,$H$14:$H$17)&amp;"th")),"")</f>
        <v>3th</v>
      </c>
      <c r="H15" s="51">
        <f>Table36111418263048555399694369[[#This Row],[WIN]]*1000000+Table36111418263048555399694369[[#This Row],[Saldo]]*1000+Table36111418263048555399694369[[#This Row],[PM]]</f>
        <v>2003044</v>
      </c>
      <c r="I15" s="2">
        <f t="shared" ref="I15:I17" si="0">H15</f>
        <v>2003044</v>
      </c>
      <c r="J15" s="2" t="str">
        <f>IF(COUNTBLANK(Table4101317251247545298684168[[SCORE 1]:[SCORE 2]])=0,IF(RANK(I15,$I$14:$I$25)=1,RANK(I15,$I$14:$I$25)&amp;"st",IF(RANK(I15,$I$14:$I$25)=2,RANK(I15,$I$14:$I$25)&amp;"nd",IF(RANK(I15,$I$14:$I$25)=3,RANK(I15,$I$14:$I$25)&amp;"rd",RANK(I15,$I$14:$I$25)&amp;"th"))),"")</f>
        <v>5th</v>
      </c>
      <c r="K15" s="38" t="str">
        <f>Table36111418263048555399694369[[#This Row],[Athletes]]</f>
        <v>Alex</v>
      </c>
      <c r="L15" s="2" t="str">
        <f t="shared" ref="L15:L17" si="1">J15</f>
        <v>5th</v>
      </c>
      <c r="M15" s="127" t="str">
        <f>IF($O$15="lose",$U$7,"")</f>
        <v>5th</v>
      </c>
      <c r="N15" s="127" t="str">
        <f>IF($O$15="lose",$U$8,"")</f>
        <v>6th</v>
      </c>
      <c r="O15" s="2" t="str">
        <f>IF(OR(O14="",P14=""),"",IF((O14&gt;P14),"WIN","LOSE"))</f>
        <v>LOSE</v>
      </c>
      <c r="P15" s="2" t="str">
        <f>IF(OR(O14="",P14=""),"",IF((O14&lt;P14),"WIN","LOSE"))</f>
        <v>WIN</v>
      </c>
      <c r="Q15" s="127" t="str">
        <f>IF($P$15="lose",$U$9,"")</f>
        <v/>
      </c>
      <c r="R15" s="127" t="str">
        <f>IF($P$15="lose",$U$10,"")</f>
        <v/>
      </c>
      <c r="S15" s="17"/>
    </row>
    <row r="16" spans="1:21">
      <c r="A16" s="3" t="s">
        <v>207</v>
      </c>
      <c r="B16" s="118" t="s">
        <v>119</v>
      </c>
      <c r="C16" s="14">
        <f>SUM(COUNTIFS(Table4101317251247545298684168[ATHLETE 1],Table36111418263048555399694369[[#This Row],[Athletes]],Table4101317251247545298684168[RESULT 12],Table36111418263048555399694369[[#Headers],[WIN]]),COUNTIFS(Table4101317251247545298684168[ATHLETE 2],Table36111418263048555399694369[[#This Row],[Athletes]],Table4101317251247545298684168[RESULT 12],Table36111418263048555399694369[[#Headers],[WIN]]),COUNTIFS(Table4101317251247545298684168[ATHLETE 3],Table36111418263048555399694369[[#This Row],[Athletes]],Table4101317251247545298684168[RESULT 34],Table36111418263048555399694369[[#Headers],[WIN]]),COUNTIFS(Table4101317251247545298684168[ATHLETE 4],Table36111418263048555399694369[[#This Row],[Athletes]],Table4101317251247545298684168[RESULT 34],Table36111418263048555399694369[[#Headers],[WIN]]))</f>
        <v>2</v>
      </c>
      <c r="D16" s="14">
        <f>SUM(COUNTIFS(Table4101317251247545298684168[ATHLETE 1],Table36111418263048555399694369[[#This Row],[Athletes]],Table4101317251247545298684168[RESULT 12],Table36111418263048555399694369[[#Headers],[LOSE]]),COUNTIFS(Table4101317251247545298684168[ATHLETE 2],Table36111418263048555399694369[[#This Row],[Athletes]],Table4101317251247545298684168[RESULT 12],Table36111418263048555399694369[[#Headers],[LOSE]]),COUNTIFS(Table4101317251247545298684168[ATHLETE 3],Table36111418263048555399694369[[#This Row],[Athletes]],Table4101317251247545298684168[RESULT 34],Table36111418263048555399694369[[#Headers],[LOSE]]),COUNTIFS(Table4101317251247545298684168[ATHLETE 4],Table36111418263048555399694369[[#This Row],[Athletes]],Table4101317251247545298684168[RESULT 34],Table36111418263048555399694369[[#Headers],[LOSE]]))</f>
        <v>1</v>
      </c>
      <c r="E16" s="19">
        <f>SUM(SUMIF(Table4101317251247545298684168[ATHLETE 1],Table36111418263048555399694369[[#This Row],[Athletes]],Table4101317251247545298684168[SALDO 12]),SUMIF(Table4101317251247545298684168[ATHLETE 2],Table36111418263048555399694369[[#This Row],[Athletes]],Table4101317251247545298684168[SALDO 12]),SUMIF(Table4101317251247545298684168[ATHLETE 3],Table36111418263048555399694369[[#This Row],[Athletes]],Table4101317251247545298684168[SALDO 34]),SUMIF(Table4101317251247545298684168[ATHLETE 4],Table36111418263048555399694369[[#This Row],[Athletes]],Table4101317251247545298684168[SALDO 34]))</f>
        <v>15</v>
      </c>
      <c r="F16" s="19">
        <f>SUM(SUMIF(Table4101317251247545298684168[ATHLETE 1],Table36111418263048555399694369[[#This Row],[Athletes]],Table4101317251247545298684168[PM 12]),SUMIF(Table4101317251247545298684168[ATHLETE 2],Table36111418263048555399694369[[#This Row],[Athletes]],Table4101317251247545298684168[PM 12]),SUMIF(Table4101317251247545298684168[ATHLETE 3],Table36111418263048555399694369[[#This Row],[Athletes]],Table4101317251247545298684168[PM 34]),SUMIF(Table4101317251247545298684168[ATHLETE 4],Table36111418263048555399694369[[#This Row],[Athletes]],Table4101317251247545298684168[PM 34]))</f>
        <v>50</v>
      </c>
      <c r="G16" s="14" t="str">
        <f>IF(COUNTBLANK(Table4101317251247545298684168[[SCORE 1]:[SCORE 2]])=0,IF(RANK(H16,$H$14:$H$17)=1,RANK(H16,$H$14:$H$17)&amp;"st",IF(RANK(H16,$H$14:$H$17)=2,RANK(H16,$H$14:$H$17)&amp;"nd",RANK(H16,$H$14:$H$17)&amp;"th")),"")</f>
        <v>1st</v>
      </c>
      <c r="H16" s="51">
        <f>Table36111418263048555399694369[[#This Row],[WIN]]*1000000+Table36111418263048555399694369[[#This Row],[Saldo]]*1000+Table36111418263048555399694369[[#This Row],[PM]]</f>
        <v>2015050</v>
      </c>
      <c r="I16" s="2">
        <f t="shared" si="0"/>
        <v>2015050</v>
      </c>
      <c r="J16" s="2" t="str">
        <f>IF(COUNTBLANK(Table4101317251247545298684168[[SCORE 1]:[SCORE 2]])=0,IF(RANK(I16,$I$14:$I$25)=1,RANK(I16,$I$14:$I$25)&amp;"st",IF(RANK(I16,$I$14:$I$25)=2,RANK(I16,$I$14:$I$25)&amp;"nd",IF(RANK(I16,$I$14:$I$25)=3,RANK(I16,$I$14:$I$25)&amp;"rd",RANK(I16,$I$14:$I$25)&amp;"th"))),"")</f>
        <v>3rd</v>
      </c>
      <c r="K16" s="38" t="str">
        <f>Table36111418263048555399694369[[#This Row],[Athletes]]</f>
        <v>Piu</v>
      </c>
      <c r="L16" s="2" t="str">
        <f t="shared" si="1"/>
        <v>3rd</v>
      </c>
      <c r="M16" s="90">
        <v>1</v>
      </c>
      <c r="N16" s="90">
        <v>2</v>
      </c>
      <c r="O16" s="90"/>
      <c r="P16" s="90"/>
      <c r="Q16" s="90">
        <v>7</v>
      </c>
      <c r="R16" s="90">
        <v>8</v>
      </c>
    </row>
    <row r="17" spans="1:21" ht="15.95">
      <c r="A17" s="5" t="s">
        <v>208</v>
      </c>
      <c r="B17" s="118" t="s">
        <v>118</v>
      </c>
      <c r="C17" s="14">
        <f>SUM(COUNTIFS(Table4101317251247545298684168[ATHLETE 1],Table36111418263048555399694369[[#This Row],[Athletes]],Table4101317251247545298684168[RESULT 12],Table36111418263048555399694369[[#Headers],[WIN]]),COUNTIFS(Table4101317251247545298684168[ATHLETE 2],Table36111418263048555399694369[[#This Row],[Athletes]],Table4101317251247545298684168[RESULT 12],Table36111418263048555399694369[[#Headers],[WIN]]),COUNTIFS(Table4101317251247545298684168[ATHLETE 3],Table36111418263048555399694369[[#This Row],[Athletes]],Table4101317251247545298684168[RESULT 34],Table36111418263048555399694369[[#Headers],[WIN]]),COUNTIFS(Table4101317251247545298684168[ATHLETE 4],Table36111418263048555399694369[[#This Row],[Athletes]],Table4101317251247545298684168[RESULT 34],Table36111418263048555399694369[[#Headers],[WIN]]))</f>
        <v>2</v>
      </c>
      <c r="D17" s="14">
        <f>SUM(COUNTIFS(Table4101317251247545298684168[ATHLETE 1],Table36111418263048555399694369[[#This Row],[Athletes]],Table4101317251247545298684168[RESULT 12],Table36111418263048555399694369[[#Headers],[LOSE]]),COUNTIFS(Table4101317251247545298684168[ATHLETE 2],Table36111418263048555399694369[[#This Row],[Athletes]],Table4101317251247545298684168[RESULT 12],Table36111418263048555399694369[[#Headers],[LOSE]]),COUNTIFS(Table4101317251247545298684168[ATHLETE 3],Table36111418263048555399694369[[#This Row],[Athletes]],Table4101317251247545298684168[RESULT 34],Table36111418263048555399694369[[#Headers],[LOSE]]),COUNTIFS(Table4101317251247545298684168[ATHLETE 4],Table36111418263048555399694369[[#This Row],[Athletes]],Table4101317251247545298684168[RESULT 34],Table36111418263048555399694369[[#Headers],[LOSE]]))</f>
        <v>1</v>
      </c>
      <c r="E17" s="19">
        <f>SUM(SUMIF(Table4101317251247545298684168[ATHLETE 1],Table36111418263048555399694369[[#This Row],[Athletes]],Table4101317251247545298684168[SALDO 12]),SUMIF(Table4101317251247545298684168[ATHLETE 2],Table36111418263048555399694369[[#This Row],[Athletes]],Table4101317251247545298684168[SALDO 12]),SUMIF(Table4101317251247545298684168[ATHLETE 3],Table36111418263048555399694369[[#This Row],[Athletes]],Table4101317251247545298684168[SALDO 34]),SUMIF(Table4101317251247545298684168[ATHLETE 4],Table36111418263048555399694369[[#This Row],[Athletes]],Table4101317251247545298684168[SALDO 34]))</f>
        <v>5</v>
      </c>
      <c r="F17" s="19">
        <f>SUM(SUMIF(Table4101317251247545298684168[ATHLETE 1],Table36111418263048555399694369[[#This Row],[Athletes]],Table4101317251247545298684168[PM 12]),SUMIF(Table4101317251247545298684168[ATHLETE 2],Table36111418263048555399694369[[#This Row],[Athletes]],Table4101317251247545298684168[PM 12]),SUMIF(Table4101317251247545298684168[ATHLETE 3],Table36111418263048555399694369[[#This Row],[Athletes]],Table4101317251247545298684168[PM 34]),SUMIF(Table4101317251247545298684168[ATHLETE 4],Table36111418263048555399694369[[#This Row],[Athletes]],Table4101317251247545298684168[PM 34]))</f>
        <v>45</v>
      </c>
      <c r="G17" s="14" t="str">
        <f>IF(COUNTBLANK(Table4101317251247545298684168[[SCORE 1]:[SCORE 2]])=0,IF(RANK(H17,$H$14:$H$17)=1,RANK(H17,$H$14:$H$17)&amp;"st",IF(RANK(H17,$H$14:$H$17)=2,RANK(H17,$H$14:$H$17)&amp;"nd",RANK(H17,$H$14:$H$17)&amp;"th")),"")</f>
        <v>2nd</v>
      </c>
      <c r="H17" s="51">
        <f>Table36111418263048555399694369[[#This Row],[WIN]]*1000000+Table36111418263048555399694369[[#This Row],[Saldo]]*1000+Table36111418263048555399694369[[#This Row],[PM]]</f>
        <v>2005045</v>
      </c>
      <c r="I17" s="2">
        <f t="shared" si="0"/>
        <v>2005045</v>
      </c>
      <c r="J17" s="2" t="str">
        <f>IF(COUNTBLANK(Table4101317251247545298684168[[SCORE 1]:[SCORE 2]])=0,IF(RANK(I17,$I$14:$I$25)=1,RANK(I17,$I$14:$I$25)&amp;"st",IF(RANK(I17,$I$14:$I$25)=2,RANK(I17,$I$14:$I$25)&amp;"nd",IF(RANK(I17,$I$14:$I$25)=3,RANK(I17,$I$14:$I$25)&amp;"rd",RANK(I17,$I$14:$I$25)&amp;"th"))),"")</f>
        <v>4th</v>
      </c>
      <c r="K17" s="38" t="str">
        <f>Table36111418263048555399694369[[#This Row],[Athletes]]</f>
        <v>Raileno</v>
      </c>
      <c r="L17" s="2" t="str">
        <f t="shared" si="1"/>
        <v>4th</v>
      </c>
      <c r="M17" s="90"/>
      <c r="N17" s="90"/>
      <c r="O17" s="90"/>
      <c r="P17" s="90"/>
      <c r="Q17" s="90"/>
      <c r="R17" s="90"/>
      <c r="T17" s="44"/>
      <c r="U17" s="44"/>
    </row>
    <row r="18" spans="1:21">
      <c r="I18" s="2">
        <f>H20</f>
        <v>989041</v>
      </c>
      <c r="J18" s="2" t="str">
        <f>IF(COUNTBLANK(Table4101317251247545298684168[[SCORE 1]:[SCORE 2]])=0,IF(RANK(I18,$I$14:$I$25)=1,RANK(I18,$I$14:$I$25)&amp;"st",IF(RANK(I18,$I$14:$I$25)=2,RANK(I18,$I$14:$I$25)&amp;"nd",IF(RANK(I18,$I$14:$I$25)=3,RANK(I18,$I$14:$I$25)&amp;"rd",RANK(I18,$I$14:$I$25)&amp;"th"))),"")</f>
        <v>10th</v>
      </c>
      <c r="K18" s="38" t="str">
        <f>B20</f>
        <v>Gabriel</v>
      </c>
      <c r="L18" s="2"/>
      <c r="M18" s="418" t="s">
        <v>193</v>
      </c>
      <c r="N18" s="418" t="s">
        <v>194</v>
      </c>
      <c r="O18" s="542" t="s">
        <v>195</v>
      </c>
      <c r="P18" s="543"/>
      <c r="Q18" s="418" t="s">
        <v>196</v>
      </c>
      <c r="R18" s="418" t="s">
        <v>197</v>
      </c>
    </row>
    <row r="19" spans="1:21" s="44" customFormat="1" ht="28.5" customHeight="1">
      <c r="A19" s="9" t="s">
        <v>184</v>
      </c>
      <c r="B19" s="48" t="s">
        <v>203</v>
      </c>
      <c r="C19" s="48" t="s">
        <v>186</v>
      </c>
      <c r="D19" s="48" t="s">
        <v>187</v>
      </c>
      <c r="E19" s="48" t="s">
        <v>188</v>
      </c>
      <c r="F19" s="48" t="s">
        <v>189</v>
      </c>
      <c r="G19" s="43" t="s">
        <v>8</v>
      </c>
      <c r="H19" s="79" t="s">
        <v>204</v>
      </c>
      <c r="I19" s="2">
        <f>H21</f>
        <v>991042</v>
      </c>
      <c r="J19" s="2" t="str">
        <f>IF(COUNTBLANK(Table4101317251247545298684168[[SCORE 1]:[SCORE 2]])=0,IF(RANK(I19,$I$14:$I$25)=1,RANK(I19,$I$14:$I$25)&amp;"st",IF(RANK(I19,$I$14:$I$25)=2,RANK(I19,$I$14:$I$25)&amp;"nd",IF(RANK(I19,$I$14:$I$25)=3,RANK(I19,$I$14:$I$25)&amp;"rd",RANK(I19,$I$14:$I$25)&amp;"th"))),"")</f>
        <v>9th</v>
      </c>
      <c r="K19" s="38" t="str">
        <f>B21</f>
        <v>Carlitos</v>
      </c>
      <c r="L19" s="419" t="s">
        <v>192</v>
      </c>
      <c r="M19" s="147" t="str" cm="1">
        <f t="array" ref="M19">_xlfn.TEXTJOIN(", ", TRUE, _xlfn._xlws.FILTER($K$14:$K$25, $J$14:$J$25=$U$5, ""))</f>
        <v>Piu</v>
      </c>
      <c r="N19" s="147" t="str" cm="1">
        <f t="array" ref="N19">_xlfn.TEXTJOIN(", ", TRUE, _xlfn._xlws.FILTER($K$14:$K$25, $J$14:$J$25=$U$6, ""))</f>
        <v>Raileno</v>
      </c>
      <c r="O19" s="119">
        <v>14</v>
      </c>
      <c r="P19" s="119">
        <v>18</v>
      </c>
      <c r="Q19" s="147" t="str" cm="1">
        <f t="array" ref="Q19">_xlfn.TEXTJOIN(", ", TRUE, _xlfn._xlws.FILTER($K$14:$K$25, $J$14:$J$25=$U$7, ""))</f>
        <v>Alex</v>
      </c>
      <c r="R19" s="428" t="str" cm="1">
        <f t="array" ref="R19">_xlfn.TEXTJOIN(", ", TRUE, _xlfn._xlws.FILTER($K$14:$K$25, $J$14:$J$25=$U$8, ""))</f>
        <v>Andrew</v>
      </c>
      <c r="T19"/>
      <c r="U19"/>
    </row>
    <row r="20" spans="1:21">
      <c r="A20" s="430" t="s">
        <v>209</v>
      </c>
      <c r="B20" s="118" t="s">
        <v>127</v>
      </c>
      <c r="C20" s="14">
        <f>SUM(COUNTIFS(Table4101317251247545298684168[ATHLETE 1],Table61215192731495671100704470[[#This Row],[Athletes]],Table4101317251247545298684168[RESULT 12],Table36111418263048555399694369[[#Headers],[WIN]]),COUNTIFS(Table4101317251247545298684168[ATHLETE 2],Table61215192731495671100704470[[#This Row],[Athletes]],Table4101317251247545298684168[RESULT 12],Table36111418263048555399694369[[#Headers],[WIN]]),COUNTIFS(Table4101317251247545298684168[ATHLETE 3],Table61215192731495671100704470[[#This Row],[Athletes]],Table4101317251247545298684168[RESULT 34],Table36111418263048555399694369[[#Headers],[WIN]]),COUNTIFS(Table4101317251247545298684168[ATHLETE 4],Table61215192731495671100704470[[#This Row],[Athletes]],Table4101317251247545298684168[RESULT 34],Table36111418263048555399694369[[#Headers],[WIN]]))</f>
        <v>1</v>
      </c>
      <c r="D20" s="12">
        <f>SUM(COUNTIFS(Table4101317251247545298684168[ATHLETE 1],Table61215192731495671100704470[[#This Row],[Athletes]],Table4101317251247545298684168[RESULT 12],Table36111418263048555399694369[[#Headers],[LOSE]]),COUNTIFS(Table4101317251247545298684168[ATHLETE 2],Table61215192731495671100704470[[#This Row],[Athletes]],Table4101317251247545298684168[RESULT 12],Table36111418263048555399694369[[#Headers],[LOSE]]),COUNTIFS(Table4101317251247545298684168[ATHLETE 3],Table61215192731495671100704470[[#This Row],[Athletes]],Table4101317251247545298684168[RESULT 34],Table36111418263048555399694369[[#Headers],[LOSE]]),COUNTIFS(Table4101317251247545298684168[ATHLETE 4],Table61215192731495671100704470[[#This Row],[Athletes]],Table4101317251247545298684168[RESULT 34],Table36111418263048555399694369[[#Headers],[LOSE]]))</f>
        <v>2</v>
      </c>
      <c r="E20" s="19">
        <f>SUM(SUMIF(Table4101317251247545298684168[ATHLETE 1],Table61215192731495671100704470[[#This Row],[Athletes]],Table4101317251247545298684168[SALDO 12]),SUMIF(Table4101317251247545298684168[ATHLETE 2],Table61215192731495671100704470[[#This Row],[Athletes]],Table4101317251247545298684168[SALDO 12]),SUMIF(Table4101317251247545298684168[ATHLETE 3],Table61215192731495671100704470[[#This Row],[Athletes]],Table4101317251247545298684168[SALDO 34]),SUMIF(Table4101317251247545298684168[ATHLETE 4],Table61215192731495671100704470[[#This Row],[Athletes]],Table4101317251247545298684168[SALDO 34]))</f>
        <v>-11</v>
      </c>
      <c r="F20" s="19">
        <f>SUM(SUMIF(Table4101317251247545298684168[ATHLETE 1],Table61215192731495671100704470[[#This Row],[Athletes]],Table4101317251247545298684168[PM 12]),SUMIF(Table4101317251247545298684168[ATHLETE 2],Table61215192731495671100704470[[#This Row],[Athletes]],Table4101317251247545298684168[PM 12]),SUMIF(Table4101317251247545298684168[ATHLETE 3],Table61215192731495671100704470[[#This Row],[Athletes]],Table4101317251247545298684168[PM 34]),SUMIF(Table4101317251247545298684168[ATHLETE 4],Table61215192731495671100704470[[#This Row],[Athletes]],Table4101317251247545298684168[PM 34]))</f>
        <v>41</v>
      </c>
      <c r="G20" s="14" t="str">
        <f>IF(COUNTBLANK(Table4101317251247545298684168[[SCORE 1]:[SCORE 2]])=0,IF(RANK(H20,$H$20:$H$23)=1,RANK(H20,$H$20:$H$23)&amp;"st",IF(RANK(H20,$H$20:$H$23)=2,RANK(H20,$H$20:$H$23)&amp;"nd",RANK(H20,$H$20:$H$23)&amp;"th")),"")</f>
        <v>4th</v>
      </c>
      <c r="H20" s="51">
        <f>Table61215192731495671100704470[[#This Row],[WIN]]*1000000+Table61215192731495671100704470[[#This Row],[Saldo]]*1000+Table61215192731495671100704470[[#This Row],[PM]]</f>
        <v>989041</v>
      </c>
      <c r="I20" s="2">
        <f>H22</f>
        <v>3015054</v>
      </c>
      <c r="J20" s="2" t="str">
        <f>IF(COUNTBLANK(Table4101317251247545298684168[[SCORE 1]:[SCORE 2]])=0,IF(RANK(I20,$I$14:$I$25)=1,RANK(I20,$I$14:$I$25)&amp;"st",IF(RANK(I20,$I$14:$I$25)=2,RANK(I20,$I$14:$I$25)&amp;"nd",IF(RANK(I20,$I$14:$I$25)=3,RANK(I20,$I$14:$I$25)&amp;"rd",RANK(I20,$I$14:$I$25)&amp;"th"))),"")</f>
        <v>2nd</v>
      </c>
      <c r="K20" s="38" t="str">
        <f>B22</f>
        <v>Pablo</v>
      </c>
      <c r="L20" s="2" t="str">
        <f>J18</f>
        <v>10th</v>
      </c>
      <c r="M20" s="127" t="str">
        <f>IF(AND($O$20="lose",$O$15="lose"),$U$9,IF($O$20="lose",$U$7,""))</f>
        <v>7th</v>
      </c>
      <c r="N20" s="127" t="str">
        <f>IF(AND($O$20="lose",$O$15="lose"),$U$10,IF($O$20="lose",$U$8,""))</f>
        <v>8th</v>
      </c>
      <c r="O20" s="2" t="str">
        <f>IF(OR(O19="",P19=""),"",IF((O19&gt;P19),"WIN","LOSE"))</f>
        <v>LOSE</v>
      </c>
      <c r="P20" s="2" t="str">
        <f>IF(OR(O19="",P19=""),"",IF((O19&lt;P19),"WIN","LOSE"))</f>
        <v>WIN</v>
      </c>
      <c r="Q20" s="127" t="str">
        <f>IF(AND($P$20="lose",$O$15="lose"),$U$9,IF($P$20="lose",$U$7,""))</f>
        <v/>
      </c>
      <c r="R20" s="127" t="str">
        <f>IF(AND($P$20="lose",$O$15="lose"),$U$10,IF($P$20="lose",$U$8,""))</f>
        <v/>
      </c>
    </row>
    <row r="21" spans="1:21">
      <c r="A21" s="430" t="s">
        <v>210</v>
      </c>
      <c r="B21" s="118" t="s">
        <v>129</v>
      </c>
      <c r="C21" s="14">
        <f>SUM(COUNTIFS(Table4101317251247545298684168[ATHLETE 1],Table61215192731495671100704470[[#This Row],[Athletes]],Table4101317251247545298684168[RESULT 12],Table36111418263048555399694369[[#Headers],[WIN]]),COUNTIFS(Table4101317251247545298684168[ATHLETE 2],Table61215192731495671100704470[[#This Row],[Athletes]],Table4101317251247545298684168[RESULT 12],Table36111418263048555399694369[[#Headers],[WIN]]),COUNTIFS(Table4101317251247545298684168[ATHLETE 3],Table61215192731495671100704470[[#This Row],[Athletes]],Table4101317251247545298684168[RESULT 34],Table36111418263048555399694369[[#Headers],[WIN]]),COUNTIFS(Table4101317251247545298684168[ATHLETE 4],Table61215192731495671100704470[[#This Row],[Athletes]],Table4101317251247545298684168[RESULT 34],Table36111418263048555399694369[[#Headers],[WIN]]))</f>
        <v>1</v>
      </c>
      <c r="D21" s="12">
        <f>SUM(COUNTIFS(Table4101317251247545298684168[ATHLETE 1],Table61215192731495671100704470[[#This Row],[Athletes]],Table4101317251247545298684168[RESULT 12],Table36111418263048555399694369[[#Headers],[LOSE]]),COUNTIFS(Table4101317251247545298684168[ATHLETE 2],Table61215192731495671100704470[[#This Row],[Athletes]],Table4101317251247545298684168[RESULT 12],Table36111418263048555399694369[[#Headers],[LOSE]]),COUNTIFS(Table4101317251247545298684168[ATHLETE 3],Table61215192731495671100704470[[#This Row],[Athletes]],Table4101317251247545298684168[RESULT 34],Table36111418263048555399694369[[#Headers],[LOSE]]),COUNTIFS(Table4101317251247545298684168[ATHLETE 4],Table61215192731495671100704470[[#This Row],[Athletes]],Table4101317251247545298684168[RESULT 34],Table36111418263048555399694369[[#Headers],[LOSE]]))</f>
        <v>2</v>
      </c>
      <c r="E21" s="19">
        <f>SUM(SUMIF(Table4101317251247545298684168[ATHLETE 1],Table61215192731495671100704470[[#This Row],[Athletes]],Table4101317251247545298684168[SALDO 12]),SUMIF(Table4101317251247545298684168[ATHLETE 2],Table61215192731495671100704470[[#This Row],[Athletes]],Table4101317251247545298684168[SALDO 12]),SUMIF(Table4101317251247545298684168[ATHLETE 3],Table61215192731495671100704470[[#This Row],[Athletes]],Table4101317251247545298684168[SALDO 34]),SUMIF(Table4101317251247545298684168[ATHLETE 4],Table61215192731495671100704470[[#This Row],[Athletes]],Table4101317251247545298684168[SALDO 34]))</f>
        <v>-9</v>
      </c>
      <c r="F21" s="19">
        <f>SUM(SUMIF(Table4101317251247545298684168[ATHLETE 1],Table61215192731495671100704470[[#This Row],[Athletes]],Table4101317251247545298684168[PM 12]),SUMIF(Table4101317251247545298684168[ATHLETE 2],Table61215192731495671100704470[[#This Row],[Athletes]],Table4101317251247545298684168[PM 12]),SUMIF(Table4101317251247545298684168[ATHLETE 3],Table61215192731495671100704470[[#This Row],[Athletes]],Table4101317251247545298684168[PM 34]),SUMIF(Table4101317251247545298684168[ATHLETE 4],Table61215192731495671100704470[[#This Row],[Athletes]],Table4101317251247545298684168[PM 34]))</f>
        <v>42</v>
      </c>
      <c r="G21" s="14" t="str">
        <f>IF(COUNTBLANK(Table4101317251247545298684168[[SCORE 1]:[SCORE 2]])=0,IF(RANK(H21,$H$20:$H$23)=1,RANK(H21,$H$20:$H$23)&amp;"st",IF(RANK(H21,$H$20:$H$23)=2,RANK(H21,$H$20:$H$23)&amp;"nd",RANK(H21,$H$20:$H$23)&amp;"th")),"")</f>
        <v>3th</v>
      </c>
      <c r="H21" s="51">
        <f>Table61215192731495671100704470[[#This Row],[WIN]]*1000000+Table61215192731495671100704470[[#This Row],[Saldo]]*1000+Table61215192731495671100704470[[#This Row],[PM]]</f>
        <v>991042</v>
      </c>
      <c r="I21" s="2">
        <f>H23</f>
        <v>1005049</v>
      </c>
      <c r="J21" s="2" t="str">
        <f>IF(COUNTBLANK(Table4101317251247545298684168[[SCORE 1]:[SCORE 2]])=0,IF(RANK(I21,$I$14:$I$25)=1,RANK(I21,$I$14:$I$25)&amp;"st",IF(RANK(I21,$I$14:$I$25)=2,RANK(I21,$I$14:$I$25)&amp;"nd",IF(RANK(I21,$I$14:$I$25)=3,RANK(I21,$I$14:$I$25)&amp;"rd",RANK(I21,$I$14:$I$25)&amp;"th"))),"")</f>
        <v>6th</v>
      </c>
      <c r="K21" s="38" t="str">
        <f>B23</f>
        <v>Andrew</v>
      </c>
      <c r="L21" s="2" t="str">
        <f t="shared" ref="L21:L23" si="2">J19</f>
        <v>9th</v>
      </c>
      <c r="M21" s="90">
        <v>3</v>
      </c>
      <c r="N21" s="90">
        <v>4</v>
      </c>
      <c r="O21" s="90"/>
      <c r="P21" s="90"/>
      <c r="Q21" s="90">
        <v>5</v>
      </c>
      <c r="R21" s="90">
        <v>6</v>
      </c>
    </row>
    <row r="22" spans="1:21">
      <c r="A22" s="430" t="s">
        <v>211</v>
      </c>
      <c r="B22" s="118" t="s">
        <v>124</v>
      </c>
      <c r="C22" s="14">
        <f>SUM(COUNTIFS(Table4101317251247545298684168[ATHLETE 1],Table61215192731495671100704470[[#This Row],[Athletes]],Table4101317251247545298684168[RESULT 12],Table36111418263048555399694369[[#Headers],[WIN]]),COUNTIFS(Table4101317251247545298684168[ATHLETE 2],Table61215192731495671100704470[[#This Row],[Athletes]],Table4101317251247545298684168[RESULT 12],Table36111418263048555399694369[[#Headers],[WIN]]),COUNTIFS(Table4101317251247545298684168[ATHLETE 3],Table61215192731495671100704470[[#This Row],[Athletes]],Table4101317251247545298684168[RESULT 34],Table36111418263048555399694369[[#Headers],[WIN]]),COUNTIFS(Table4101317251247545298684168[ATHLETE 4],Table61215192731495671100704470[[#This Row],[Athletes]],Table4101317251247545298684168[RESULT 34],Table36111418263048555399694369[[#Headers],[WIN]]))</f>
        <v>3</v>
      </c>
      <c r="D22" s="12">
        <f>SUM(COUNTIFS(Table4101317251247545298684168[ATHLETE 1],Table61215192731495671100704470[[#This Row],[Athletes]],Table4101317251247545298684168[RESULT 12],Table36111418263048555399694369[[#Headers],[LOSE]]),COUNTIFS(Table4101317251247545298684168[ATHLETE 2],Table61215192731495671100704470[[#This Row],[Athletes]],Table4101317251247545298684168[RESULT 12],Table36111418263048555399694369[[#Headers],[LOSE]]),COUNTIFS(Table4101317251247545298684168[ATHLETE 3],Table61215192731495671100704470[[#This Row],[Athletes]],Table4101317251247545298684168[RESULT 34],Table36111418263048555399694369[[#Headers],[LOSE]]),COUNTIFS(Table4101317251247545298684168[ATHLETE 4],Table61215192731495671100704470[[#This Row],[Athletes]],Table4101317251247545298684168[RESULT 34],Table36111418263048555399694369[[#Headers],[LOSE]]))</f>
        <v>0</v>
      </c>
      <c r="E22" s="19">
        <f>SUM(SUMIF(Table4101317251247545298684168[ATHLETE 1],Table61215192731495671100704470[[#This Row],[Athletes]],Table4101317251247545298684168[SALDO 12]),SUMIF(Table4101317251247545298684168[ATHLETE 2],Table61215192731495671100704470[[#This Row],[Athletes]],Table4101317251247545298684168[SALDO 12]),SUMIF(Table4101317251247545298684168[ATHLETE 3],Table61215192731495671100704470[[#This Row],[Athletes]],Table4101317251247545298684168[SALDO 34]),SUMIF(Table4101317251247545298684168[ATHLETE 4],Table61215192731495671100704470[[#This Row],[Athletes]],Table4101317251247545298684168[SALDO 34]))</f>
        <v>15</v>
      </c>
      <c r="F22" s="19">
        <f>SUM(SUMIF(Table4101317251247545298684168[ATHLETE 1],Table61215192731495671100704470[[#This Row],[Athletes]],Table4101317251247545298684168[PM 12]),SUMIF(Table4101317251247545298684168[ATHLETE 2],Table61215192731495671100704470[[#This Row],[Athletes]],Table4101317251247545298684168[PM 12]),SUMIF(Table4101317251247545298684168[ATHLETE 3],Table61215192731495671100704470[[#This Row],[Athletes]],Table4101317251247545298684168[PM 34]),SUMIF(Table4101317251247545298684168[ATHLETE 4],Table61215192731495671100704470[[#This Row],[Athletes]],Table4101317251247545298684168[PM 34]))</f>
        <v>54</v>
      </c>
      <c r="G22" s="14" t="str">
        <f>IF(COUNTBLANK(Table4101317251247545298684168[[SCORE 1]:[SCORE 2]])=0,IF(RANK(H22,$H$20:$H$23)=1,RANK(H22,$H$20:$H$23)&amp;"st",IF(RANK(H22,$H$20:$H$23)=2,RANK(H22,$H$20:$H$23)&amp;"nd",RANK(H22,$H$20:$H$23)&amp;"th")),"")</f>
        <v>1st</v>
      </c>
      <c r="H22" s="51">
        <f>Table61215192731495671100704470[[#This Row],[WIN]]*1000000+Table61215192731495671100704470[[#This Row],[Saldo]]*1000+Table61215192731495671100704470[[#This Row],[PM]]</f>
        <v>3015054</v>
      </c>
      <c r="I22" s="2">
        <f>H26</f>
        <v>980032</v>
      </c>
      <c r="J22" s="2" t="str">
        <f>IF(COUNTBLANK(Table4101317251247545298684168[[SCORE 1]:[SCORE 2]])=0,IF(RANK(I22,$I$14:$I$25)=1,RANK(I22,$I$14:$I$25)&amp;"st",IF(RANK(I22,$I$14:$I$25)=2,RANK(I22,$I$14:$I$25)&amp;"nd",IF(RANK(I22,$I$14:$I$25)=3,RANK(I22,$I$14:$I$25)&amp;"rd",RANK(I22,$I$14:$I$25)&amp;"th"))),"")</f>
        <v>11th</v>
      </c>
      <c r="K22" s="38" t="str">
        <f>B26</f>
        <v>Pedro</v>
      </c>
      <c r="L22" s="2" t="str">
        <f t="shared" si="2"/>
        <v>2nd</v>
      </c>
      <c r="M22" s="90"/>
      <c r="N22" s="90"/>
      <c r="O22" s="90"/>
      <c r="P22" s="90"/>
      <c r="Q22" s="90"/>
      <c r="R22" s="90"/>
    </row>
    <row r="23" spans="1:21" ht="29.1">
      <c r="A23" s="430" t="s">
        <v>212</v>
      </c>
      <c r="B23" s="118" t="s">
        <v>117</v>
      </c>
      <c r="C23" s="14">
        <f>SUM(COUNTIFS(Table4101317251247545298684168[ATHLETE 1],Table61215192731495671100704470[[#This Row],[Athletes]],Table4101317251247545298684168[RESULT 12],Table36111418263048555399694369[[#Headers],[WIN]]),COUNTIFS(Table4101317251247545298684168[ATHLETE 2],Table61215192731495671100704470[[#This Row],[Athletes]],Table4101317251247545298684168[RESULT 12],Table36111418263048555399694369[[#Headers],[WIN]]),COUNTIFS(Table4101317251247545298684168[ATHLETE 3],Table61215192731495671100704470[[#This Row],[Athletes]],Table4101317251247545298684168[RESULT 34],Table36111418263048555399694369[[#Headers],[WIN]]),COUNTIFS(Table4101317251247545298684168[ATHLETE 4],Table61215192731495671100704470[[#This Row],[Athletes]],Table4101317251247545298684168[RESULT 34],Table36111418263048555399694369[[#Headers],[WIN]]))</f>
        <v>1</v>
      </c>
      <c r="D23" s="12">
        <f>SUM(COUNTIFS(Table4101317251247545298684168[ATHLETE 1],Table61215192731495671100704470[[#This Row],[Athletes]],Table4101317251247545298684168[RESULT 12],Table36111418263048555399694369[[#Headers],[LOSE]]),COUNTIFS(Table4101317251247545298684168[ATHLETE 2],Table61215192731495671100704470[[#This Row],[Athletes]],Table4101317251247545298684168[RESULT 12],Table36111418263048555399694369[[#Headers],[LOSE]]),COUNTIFS(Table4101317251247545298684168[ATHLETE 3],Table61215192731495671100704470[[#This Row],[Athletes]],Table4101317251247545298684168[RESULT 34],Table36111418263048555399694369[[#Headers],[LOSE]]),COUNTIFS(Table4101317251247545298684168[ATHLETE 4],Table61215192731495671100704470[[#This Row],[Athletes]],Table4101317251247545298684168[RESULT 34],Table36111418263048555399694369[[#Headers],[LOSE]]))</f>
        <v>2</v>
      </c>
      <c r="E23" s="19">
        <f>SUM(SUMIF(Table4101317251247545298684168[ATHLETE 1],Table61215192731495671100704470[[#This Row],[Athletes]],Table4101317251247545298684168[SALDO 12]),SUMIF(Table4101317251247545298684168[ATHLETE 2],Table61215192731495671100704470[[#This Row],[Athletes]],Table4101317251247545298684168[SALDO 12]),SUMIF(Table4101317251247545298684168[ATHLETE 3],Table61215192731495671100704470[[#This Row],[Athletes]],Table4101317251247545298684168[SALDO 34]),SUMIF(Table4101317251247545298684168[ATHLETE 4],Table61215192731495671100704470[[#This Row],[Athletes]],Table4101317251247545298684168[SALDO 34]))</f>
        <v>5</v>
      </c>
      <c r="F23" s="19">
        <f>SUM(SUMIF(Table4101317251247545298684168[ATHLETE 1],Table61215192731495671100704470[[#This Row],[Athletes]],Table4101317251247545298684168[PM 12]),SUMIF(Table4101317251247545298684168[ATHLETE 2],Table61215192731495671100704470[[#This Row],[Athletes]],Table4101317251247545298684168[PM 12]),SUMIF(Table4101317251247545298684168[ATHLETE 3],Table61215192731495671100704470[[#This Row],[Athletes]],Table4101317251247545298684168[PM 34]),SUMIF(Table4101317251247545298684168[ATHLETE 4],Table61215192731495671100704470[[#This Row],[Athletes]],Table4101317251247545298684168[PM 34]))</f>
        <v>49</v>
      </c>
      <c r="G23" s="14" t="str">
        <f>IF(COUNTBLANK(Table4101317251247545298684168[[SCORE 1]:[SCORE 2]])=0,IF(RANK(H23,$H$20:$H$23)=1,RANK(H23,$H$20:$H$23)&amp;"st",IF(RANK(H23,$H$20:$H$23)=2,RANK(H23,$H$20:$H$23)&amp;"nd",RANK(H23,$H$20:$H$23)&amp;"th")),"")</f>
        <v>2nd</v>
      </c>
      <c r="H23" s="51">
        <f>Table61215192731495671100704470[[#This Row],[WIN]]*1000000+Table61215192731495671100704470[[#This Row],[Saldo]]*1000+Table61215192731495671100704470[[#This Row],[PM]]</f>
        <v>1005049</v>
      </c>
      <c r="I23" s="2">
        <f>H27</f>
        <v>994039</v>
      </c>
      <c r="J23" s="2" t="str">
        <f>IF(COUNTBLANK(Table4101317251247545298684168[[SCORE 1]:[SCORE 2]])=0,IF(RANK(I23,$I$14:$I$25)=1,RANK(I23,$I$14:$I$25)&amp;"st",IF(RANK(I23,$I$14:$I$25)=2,RANK(I23,$I$14:$I$25)&amp;"nd",IF(RANK(I23,$I$14:$I$25)=3,RANK(I23,$I$14:$I$25)&amp;"rd",RANK(I23,$I$14:$I$25)&amp;"th"))),"")</f>
        <v>8th</v>
      </c>
      <c r="K23" s="38" t="str">
        <f>B27</f>
        <v>Joackim</v>
      </c>
      <c r="L23" s="2" t="str">
        <f t="shared" si="2"/>
        <v>6th</v>
      </c>
      <c r="M23" s="548" t="s">
        <v>199</v>
      </c>
      <c r="N23" s="549"/>
      <c r="O23" s="549"/>
      <c r="P23" s="549"/>
      <c r="Q23" s="549"/>
      <c r="R23" s="549"/>
    </row>
    <row r="24" spans="1:21">
      <c r="I24" s="2">
        <f>H28</f>
        <v>1002043</v>
      </c>
      <c r="J24" s="2" t="str">
        <f>IF(COUNTBLANK(Table4101317251247545298684168[[SCORE 1]:[SCORE 2]])=0,IF(RANK(I24,$I$14:$I$25)=1,RANK(I24,$I$14:$I$25)&amp;"st",IF(RANK(I24,$I$14:$I$25)=2,RANK(I24,$I$14:$I$25)&amp;"nd",IF(RANK(I24,$I$14:$I$25)=3,RANK(I24,$I$14:$I$25)&amp;"rd",RANK(I24,$I$14:$I$25)&amp;"th"))),"")</f>
        <v>7th</v>
      </c>
      <c r="K24" s="38" t="str">
        <f>B28</f>
        <v>Marco</v>
      </c>
      <c r="L24" s="2"/>
      <c r="M24" s="418" t="s">
        <v>193</v>
      </c>
      <c r="N24" s="418" t="s">
        <v>194</v>
      </c>
      <c r="O24" s="542" t="s">
        <v>195</v>
      </c>
      <c r="P24" s="543"/>
      <c r="Q24" s="418" t="s">
        <v>196</v>
      </c>
      <c r="R24" s="418" t="s">
        <v>197</v>
      </c>
    </row>
    <row r="25" spans="1:21" ht="15.95">
      <c r="A25" s="9" t="s">
        <v>184</v>
      </c>
      <c r="B25" s="10" t="s">
        <v>203</v>
      </c>
      <c r="C25" s="10" t="s">
        <v>186</v>
      </c>
      <c r="D25" s="10" t="s">
        <v>187</v>
      </c>
      <c r="E25" s="10" t="s">
        <v>188</v>
      </c>
      <c r="F25" s="10" t="s">
        <v>189</v>
      </c>
      <c r="G25" s="7" t="s">
        <v>8</v>
      </c>
      <c r="H25" s="78" t="s">
        <v>204</v>
      </c>
      <c r="I25" s="2">
        <f>H29</f>
        <v>3024054</v>
      </c>
      <c r="J25" s="2" t="str">
        <f>IF(COUNTBLANK(Table4101317251247545298684168[[SCORE 1]:[SCORE 2]])=0,IF(RANK(I25,$I$14:$I$25)=1,RANK(I25,$I$14:$I$25)&amp;"st",IF(RANK(I25,$I$14:$I$25)=2,RANK(I25,$I$14:$I$25)&amp;"nd",IF(RANK(I25,$I$14:$I$25)=3,RANK(I25,$I$14:$I$25)&amp;"rd",RANK(I25,$I$14:$I$25)&amp;"th"))),"")</f>
        <v>1st</v>
      </c>
      <c r="K25" s="38" t="str">
        <f>B29</f>
        <v>Shahar</v>
      </c>
      <c r="L25" s="20" t="s">
        <v>192</v>
      </c>
      <c r="M25" s="431" t="str">
        <f>IF(COUNTBLANK($O$14:$P$14),"",IF($O$15="lose",$Q$14,$M$14))</f>
        <v>Marco</v>
      </c>
      <c r="N25" s="431" t="str">
        <f>IF(COUNTBLANK($O$14:$P$14),"",IF($O$15="lose",$R$14,$N$14))</f>
        <v>Gabriel</v>
      </c>
      <c r="O25" s="119">
        <v>11</v>
      </c>
      <c r="P25" s="120">
        <v>18</v>
      </c>
      <c r="Q25" s="431" t="str">
        <f>IF(COUNTBLANK($O$19:$P$19),"",IF($O$20="lose",$Q$19,$M$19))</f>
        <v>Alex</v>
      </c>
      <c r="R25" s="431" t="str">
        <f>IF(COUNTBLANK($O$19:$P$19),"",IF($O$20="lose",$R$19,$N$19))</f>
        <v>Andrew</v>
      </c>
    </row>
    <row r="26" spans="1:21">
      <c r="A26" s="430" t="s">
        <v>213</v>
      </c>
      <c r="B26" s="118" t="s">
        <v>132</v>
      </c>
      <c r="C26" s="14">
        <f>SUM(COUNTIFS(Table4101317251247545298684168[ATHLETE 1],Table6121519272933516273102726272[[#This Row],[Athletes]],Table4101317251247545298684168[RESULT 12],Table36111418263048555399694369[[#Headers],[WIN]]),COUNTIFS(Table4101317251247545298684168[ATHLETE 2],Table6121519272933516273102726272[[#This Row],[Athletes]],Table4101317251247545298684168[RESULT 12],Table36111418263048555399694369[[#Headers],[WIN]]),COUNTIFS(Table4101317251247545298684168[ATHLETE 3],Table6121519272933516273102726272[[#This Row],[Athletes]],Table4101317251247545298684168[RESULT 34],Table36111418263048555399694369[[#Headers],[WIN]]),COUNTIFS(Table4101317251247545298684168[ATHLETE 4],Table6121519272933516273102726272[[#This Row],[Athletes]],Table4101317251247545298684168[RESULT 34],Table36111418263048555399694369[[#Headers],[WIN]]))</f>
        <v>1</v>
      </c>
      <c r="D26" s="12">
        <f>SUM(COUNTIFS(Table4101317251247545298684168[ATHLETE 1],Table6121519272933516273102726272[[#This Row],[Athletes]],Table4101317251247545298684168[RESULT 12],Table36111418263048555399694369[[#Headers],[LOSE]]),COUNTIFS(Table4101317251247545298684168[ATHLETE 2],Table6121519272933516273102726272[[#This Row],[Athletes]],Table4101317251247545298684168[RESULT 12],Table36111418263048555399694369[[#Headers],[LOSE]]),COUNTIFS(Table4101317251247545298684168[ATHLETE 3],Table6121519272933516273102726272[[#This Row],[Athletes]],Table4101317251247545298684168[RESULT 34],Table36111418263048555399694369[[#Headers],[LOSE]]),COUNTIFS(Table4101317251247545298684168[ATHLETE 4],Table6121519272933516273102726272[[#This Row],[Athletes]],Table4101317251247545298684168[RESULT 34],Table36111418263048555399694369[[#Headers],[LOSE]]))</f>
        <v>2</v>
      </c>
      <c r="E26" s="19">
        <f>SUM(SUMIF(Table4101317251247545298684168[ATHLETE 1],Table6121519272933516273102726272[[#This Row],[Athletes]],Table4101317251247545298684168[SALDO 12]),SUMIF(Table4101317251247545298684168[ATHLETE 2],Table6121519272933516273102726272[[#This Row],[Athletes]],Table4101317251247545298684168[SALDO 12]),SUMIF(Table4101317251247545298684168[ATHLETE 3],Table6121519272933516273102726272[[#This Row],[Athletes]],Table4101317251247545298684168[SALDO 34]),SUMIF(Table4101317251247545298684168[ATHLETE 4],Table6121519272933516273102726272[[#This Row],[Athletes]],Table4101317251247545298684168[SALDO 34]))</f>
        <v>-20</v>
      </c>
      <c r="F26" s="19">
        <f>SUM(SUMIF(Table4101317251247545298684168[ATHLETE 1],Table6121519272933516273102726272[[#This Row],[Athletes]],Table4101317251247545298684168[PM 12]),SUMIF(Table4101317251247545298684168[ATHLETE 2],Table6121519272933516273102726272[[#This Row],[Athletes]],Table4101317251247545298684168[PM 12]),SUMIF(Table4101317251247545298684168[ATHLETE 3],Table6121519272933516273102726272[[#This Row],[Athletes]],Table4101317251247545298684168[PM 34]),SUMIF(Table4101317251247545298684168[ATHLETE 4],Table6121519272933516273102726272[[#This Row],[Athletes]],Table4101317251247545298684168[PM 34]))</f>
        <v>32</v>
      </c>
      <c r="G26" s="69" t="str">
        <f>IF(COUNTBLANK(Table4101317251247545298684168[[SCORE 1]:[SCORE 2]])=0,IF(RANK(H26,$H$26:$H$29)=1,RANK(H26,$H$26:$H$29)&amp;"st",IF(RANK(H26,$H$26:$H$29)=2,RANK(H26,$H$26:$H$29)&amp;"nd",RANK(H26,$H$26:$H$29)&amp;"th")),"")</f>
        <v>4th</v>
      </c>
      <c r="H26" s="51">
        <f>Table6121519272933516273102726272[[#This Row],[WIN]]*1000000+Table6121519272933516273102726272[[#This Row],[Saldo]]*1000+Table6121519272933516273102726272[[#This Row],[PM]]</f>
        <v>980032</v>
      </c>
      <c r="I26" s="2"/>
      <c r="J26" s="2"/>
      <c r="K26" s="2"/>
      <c r="L26" s="2" t="str">
        <f>J22</f>
        <v>11th</v>
      </c>
      <c r="M26" s="62" t="str">
        <f>IF(OR($O$25="",$P$25="",$O$26="win"),"",IF($M$27&gt;$N$27,$U$5,$U$6))</f>
        <v>3rd</v>
      </c>
      <c r="N26" s="62" t="str">
        <f>IF(OR($O$25="",$P$25="",$O$26="win"),"",IF($M$27&lt;$N$27,$U$5,$U$6))</f>
        <v>4th</v>
      </c>
      <c r="O26" s="2" t="str">
        <f>IF(OR(O25="",P25=""),"",IF((O25&gt;P25),"WIN","LOSE"))</f>
        <v>LOSE</v>
      </c>
      <c r="P26" s="2" t="str">
        <f>IF(OR(O25="",P25=""),"",IF((O25&lt;P25),"WIN","LOSE"))</f>
        <v>WIN</v>
      </c>
      <c r="Q26" s="62" t="str">
        <f>IF($P$26="lose",$U$5,"")</f>
        <v/>
      </c>
      <c r="R26" s="62" t="str">
        <f>IF($P$26="lose",$U$6,"")</f>
        <v/>
      </c>
    </row>
    <row r="27" spans="1:21">
      <c r="A27" s="430" t="s">
        <v>214</v>
      </c>
      <c r="B27" s="118" t="s">
        <v>266</v>
      </c>
      <c r="C27" s="14">
        <f>SUM(COUNTIFS(Table4101317251247545298684168[ATHLETE 1],Table6121519272933516273102726272[[#This Row],[Athletes]],Table4101317251247545298684168[RESULT 12],Table36111418263048555399694369[[#Headers],[WIN]]),COUNTIFS(Table4101317251247545298684168[ATHLETE 2],Table6121519272933516273102726272[[#This Row],[Athletes]],Table4101317251247545298684168[RESULT 12],Table36111418263048555399694369[[#Headers],[WIN]]),COUNTIFS(Table4101317251247545298684168[ATHLETE 3],Table6121519272933516273102726272[[#This Row],[Athletes]],Table4101317251247545298684168[RESULT 34],Table36111418263048555399694369[[#Headers],[WIN]]),COUNTIFS(Table4101317251247545298684168[ATHLETE 4],Table6121519272933516273102726272[[#This Row],[Athletes]],Table4101317251247545298684168[RESULT 34],Table36111418263048555399694369[[#Headers],[WIN]]))</f>
        <v>1</v>
      </c>
      <c r="D27" s="12">
        <f>SUM(COUNTIFS(Table4101317251247545298684168[ATHLETE 1],Table6121519272933516273102726272[[#This Row],[Athletes]],Table4101317251247545298684168[RESULT 12],Table36111418263048555399694369[[#Headers],[LOSE]]),COUNTIFS(Table4101317251247545298684168[ATHLETE 2],Table6121519272933516273102726272[[#This Row],[Athletes]],Table4101317251247545298684168[RESULT 12],Table36111418263048555399694369[[#Headers],[LOSE]]),COUNTIFS(Table4101317251247545298684168[ATHLETE 3],Table6121519272933516273102726272[[#This Row],[Athletes]],Table4101317251247545298684168[RESULT 34],Table36111418263048555399694369[[#Headers],[LOSE]]),COUNTIFS(Table4101317251247545298684168[ATHLETE 4],Table6121519272933516273102726272[[#This Row],[Athletes]],Table4101317251247545298684168[RESULT 34],Table36111418263048555399694369[[#Headers],[LOSE]]))</f>
        <v>2</v>
      </c>
      <c r="E27" s="19">
        <f>SUM(SUMIF(Table4101317251247545298684168[ATHLETE 1],Table6121519272933516273102726272[[#This Row],[Athletes]],Table4101317251247545298684168[SALDO 12]),SUMIF(Table4101317251247545298684168[ATHLETE 2],Table6121519272933516273102726272[[#This Row],[Athletes]],Table4101317251247545298684168[SALDO 12]),SUMIF(Table4101317251247545298684168[ATHLETE 3],Table6121519272933516273102726272[[#This Row],[Athletes]],Table4101317251247545298684168[SALDO 34]),SUMIF(Table4101317251247545298684168[ATHLETE 4],Table6121519272933516273102726272[[#This Row],[Athletes]],Table4101317251247545298684168[SALDO 34]))</f>
        <v>-6</v>
      </c>
      <c r="F27" s="19">
        <f>SUM(SUMIF(Table4101317251247545298684168[ATHLETE 1],Table6121519272933516273102726272[[#This Row],[Athletes]],Table4101317251247545298684168[PM 12]),SUMIF(Table4101317251247545298684168[ATHLETE 2],Table6121519272933516273102726272[[#This Row],[Athletes]],Table4101317251247545298684168[PM 12]),SUMIF(Table4101317251247545298684168[ATHLETE 3],Table6121519272933516273102726272[[#This Row],[Athletes]],Table4101317251247545298684168[PM 34]),SUMIF(Table4101317251247545298684168[ATHLETE 4],Table6121519272933516273102726272[[#This Row],[Athletes]],Table4101317251247545298684168[PM 34]))</f>
        <v>39</v>
      </c>
      <c r="G27" s="69" t="str">
        <f>IF(COUNTBLANK(Table4101317251247545298684168[[SCORE 1]:[SCORE 2]])=0,IF(RANK(H27,$H$26:$H$29)=1,RANK(H27,$H$26:$H$29)&amp;"st",IF(RANK(H27,$H$26:$H$29)=2,RANK(H27,$H$26:$H$29)&amp;"nd",RANK(H27,$H$26:$H$29)&amp;"th")),"")</f>
        <v>3th</v>
      </c>
      <c r="H27" s="51">
        <f>Table6121519272933516273102726272[[#This Row],[WIN]]*1000000+Table6121519272933516273102726272[[#This Row],[Saldo]]*1000+Table6121519272933516273102726272[[#This Row],[PM]]</f>
        <v>994039</v>
      </c>
      <c r="I27" s="2"/>
      <c r="J27" s="2"/>
      <c r="K27" s="2"/>
      <c r="L27" s="2" t="str">
        <f t="shared" ref="L27:L29" si="3">J23</f>
        <v>8th</v>
      </c>
      <c r="M27" s="61">
        <f>IF(M25="","",_xlfn.XLOOKUP(M25,$K$14:$K$25,$I$14:$I$25))</f>
        <v>1002043</v>
      </c>
      <c r="N27" s="61">
        <f>IF(N25="","",_xlfn.XLOOKUP(N25,$K$14:$K$25,$I$14:$I$25))</f>
        <v>989041</v>
      </c>
      <c r="Q27" s="61">
        <f>IF(Q25="","",_xlfn.XLOOKUP(Q25,$K$14:$K$25,$I$14:$I$25))</f>
        <v>2003044</v>
      </c>
      <c r="R27" s="61">
        <f>IF(R25="","",_xlfn.XLOOKUP(R25,$K$14:$K$25,$I$14:$I$25))</f>
        <v>1005049</v>
      </c>
    </row>
    <row r="28" spans="1:21">
      <c r="A28" s="430" t="s">
        <v>216</v>
      </c>
      <c r="B28" s="118" t="s">
        <v>120</v>
      </c>
      <c r="C28" s="14">
        <f>SUM(COUNTIFS(Table4101317251247545298684168[ATHLETE 1],Table6121519272933516273102726272[[#This Row],[Athletes]],Table4101317251247545298684168[RESULT 12],Table36111418263048555399694369[[#Headers],[WIN]]),COUNTIFS(Table4101317251247545298684168[ATHLETE 2],Table6121519272933516273102726272[[#This Row],[Athletes]],Table4101317251247545298684168[RESULT 12],Table36111418263048555399694369[[#Headers],[WIN]]),COUNTIFS(Table4101317251247545298684168[ATHLETE 3],Table6121519272933516273102726272[[#This Row],[Athletes]],Table4101317251247545298684168[RESULT 34],Table36111418263048555399694369[[#Headers],[WIN]]),COUNTIFS(Table4101317251247545298684168[ATHLETE 4],Table6121519272933516273102726272[[#This Row],[Athletes]],Table4101317251247545298684168[RESULT 34],Table36111418263048555399694369[[#Headers],[WIN]]))</f>
        <v>1</v>
      </c>
      <c r="D28" s="12">
        <f>SUM(COUNTIFS(Table4101317251247545298684168[ATHLETE 1],Table6121519272933516273102726272[[#This Row],[Athletes]],Table4101317251247545298684168[RESULT 12],Table36111418263048555399694369[[#Headers],[LOSE]]),COUNTIFS(Table4101317251247545298684168[ATHLETE 2],Table6121519272933516273102726272[[#This Row],[Athletes]],Table4101317251247545298684168[RESULT 12],Table36111418263048555399694369[[#Headers],[LOSE]]),COUNTIFS(Table4101317251247545298684168[ATHLETE 3],Table6121519272933516273102726272[[#This Row],[Athletes]],Table4101317251247545298684168[RESULT 34],Table36111418263048555399694369[[#Headers],[LOSE]]),COUNTIFS(Table4101317251247545298684168[ATHLETE 4],Table6121519272933516273102726272[[#This Row],[Athletes]],Table4101317251247545298684168[RESULT 34],Table36111418263048555399694369[[#Headers],[LOSE]]))</f>
        <v>2</v>
      </c>
      <c r="E28" s="19">
        <f>SUM(SUMIF(Table4101317251247545298684168[ATHLETE 1],Table6121519272933516273102726272[[#This Row],[Athletes]],Table4101317251247545298684168[SALDO 12]),SUMIF(Table4101317251247545298684168[ATHLETE 2],Table6121519272933516273102726272[[#This Row],[Athletes]],Table4101317251247545298684168[SALDO 12]),SUMIF(Table4101317251247545298684168[ATHLETE 3],Table6121519272933516273102726272[[#This Row],[Athletes]],Table4101317251247545298684168[SALDO 34]),SUMIF(Table4101317251247545298684168[ATHLETE 4],Table6121519272933516273102726272[[#This Row],[Athletes]],Table4101317251247545298684168[SALDO 34]))</f>
        <v>2</v>
      </c>
      <c r="F28" s="19">
        <f>SUM(SUMIF(Table4101317251247545298684168[ATHLETE 1],Table6121519272933516273102726272[[#This Row],[Athletes]],Table4101317251247545298684168[PM 12]),SUMIF(Table4101317251247545298684168[ATHLETE 2],Table6121519272933516273102726272[[#This Row],[Athletes]],Table4101317251247545298684168[PM 12]),SUMIF(Table4101317251247545298684168[ATHLETE 3],Table6121519272933516273102726272[[#This Row],[Athletes]],Table4101317251247545298684168[PM 34]),SUMIF(Table4101317251247545298684168[ATHLETE 4],Table6121519272933516273102726272[[#This Row],[Athletes]],Table4101317251247545298684168[PM 34]))</f>
        <v>43</v>
      </c>
      <c r="G28" s="69" t="str">
        <f>IF(COUNTBLANK(Table4101317251247545298684168[[SCORE 1]:[SCORE 2]])=0,IF(RANK(H28,$H$26:$H$29)=1,RANK(H28,$H$26:$H$29)&amp;"st",IF(RANK(H28,$H$26:$H$29)=2,RANK(H28,$H$26:$H$29)&amp;"nd",RANK(H28,$H$26:$H$29)&amp;"th")),"")</f>
        <v>2nd</v>
      </c>
      <c r="H28" s="51">
        <f>Table6121519272933516273102726272[[#This Row],[WIN]]*1000000+Table6121519272933516273102726272[[#This Row],[Saldo]]*1000+Table6121519272933516273102726272[[#This Row],[PM]]</f>
        <v>1002043</v>
      </c>
      <c r="I28" s="2"/>
      <c r="J28" s="2"/>
      <c r="K28" s="2"/>
      <c r="L28" s="2" t="str">
        <f t="shared" si="3"/>
        <v>7th</v>
      </c>
    </row>
    <row r="29" spans="1:21">
      <c r="A29" s="430" t="s">
        <v>217</v>
      </c>
      <c r="B29" s="118" t="s">
        <v>123</v>
      </c>
      <c r="C29" s="14">
        <f>SUM(COUNTIFS(Table4101317251247545298684168[ATHLETE 1],Table6121519272933516273102726272[[#This Row],[Athletes]],Table4101317251247545298684168[RESULT 12],Table36111418263048555399694369[[#Headers],[WIN]]),COUNTIFS(Table4101317251247545298684168[ATHLETE 2],Table6121519272933516273102726272[[#This Row],[Athletes]],Table4101317251247545298684168[RESULT 12],Table36111418263048555399694369[[#Headers],[WIN]]),COUNTIFS(Table4101317251247545298684168[ATHLETE 3],Table6121519272933516273102726272[[#This Row],[Athletes]],Table4101317251247545298684168[RESULT 34],Table36111418263048555399694369[[#Headers],[WIN]]),COUNTIFS(Table4101317251247545298684168[ATHLETE 4],Table6121519272933516273102726272[[#This Row],[Athletes]],Table4101317251247545298684168[RESULT 34],Table36111418263048555399694369[[#Headers],[WIN]]))</f>
        <v>3</v>
      </c>
      <c r="D29" s="12">
        <f>SUM(COUNTIFS(Table4101317251247545298684168[ATHLETE 1],Table6121519272933516273102726272[[#This Row],[Athletes]],Table4101317251247545298684168[RESULT 12],Table36111418263048555399694369[[#Headers],[LOSE]]),COUNTIFS(Table4101317251247545298684168[ATHLETE 2],Table6121519272933516273102726272[[#This Row],[Athletes]],Table4101317251247545298684168[RESULT 12],Table36111418263048555399694369[[#Headers],[LOSE]]),COUNTIFS(Table4101317251247545298684168[ATHLETE 3],Table6121519272933516273102726272[[#This Row],[Athletes]],Table4101317251247545298684168[RESULT 34],Table36111418263048555399694369[[#Headers],[LOSE]]),COUNTIFS(Table4101317251247545298684168[ATHLETE 4],Table6121519272933516273102726272[[#This Row],[Athletes]],Table4101317251247545298684168[RESULT 34],Table36111418263048555399694369[[#Headers],[LOSE]]))</f>
        <v>0</v>
      </c>
      <c r="E29" s="19">
        <f>SUM(SUMIF(Table4101317251247545298684168[ATHLETE 1],Table6121519272933516273102726272[[#This Row],[Athletes]],Table4101317251247545298684168[SALDO 12]),SUMIF(Table4101317251247545298684168[ATHLETE 2],Table6121519272933516273102726272[[#This Row],[Athletes]],Table4101317251247545298684168[SALDO 12]),SUMIF(Table4101317251247545298684168[ATHLETE 3],Table6121519272933516273102726272[[#This Row],[Athletes]],Table4101317251247545298684168[SALDO 34]),SUMIF(Table4101317251247545298684168[ATHLETE 4],Table6121519272933516273102726272[[#This Row],[Athletes]],Table4101317251247545298684168[SALDO 34]))</f>
        <v>24</v>
      </c>
      <c r="F29" s="19">
        <f>SUM(SUMIF(Table4101317251247545298684168[ATHLETE 1],Table6121519272933516273102726272[[#This Row],[Athletes]],Table4101317251247545298684168[PM 12]),SUMIF(Table4101317251247545298684168[ATHLETE 2],Table6121519272933516273102726272[[#This Row],[Athletes]],Table4101317251247545298684168[PM 12]),SUMIF(Table4101317251247545298684168[ATHLETE 3],Table6121519272933516273102726272[[#This Row],[Athletes]],Table4101317251247545298684168[PM 34]),SUMIF(Table4101317251247545298684168[ATHLETE 4],Table6121519272933516273102726272[[#This Row],[Athletes]],Table4101317251247545298684168[PM 34]))</f>
        <v>54</v>
      </c>
      <c r="G29" s="69" t="str">
        <f>IF(COUNTBLANK(Table4101317251247545298684168[[SCORE 1]:[SCORE 2]])=0,IF(RANK(H29,$H$26:$H$29)=1,RANK(H29,$H$26:$H$29)&amp;"st",IF(RANK(H29,$H$26:$H$29)=2,RANK(H29,$H$26:$H$29)&amp;"nd",RANK(H29,$H$26:$H$29)&amp;"th")),"")</f>
        <v>1st</v>
      </c>
      <c r="H29" s="51">
        <f>Table6121519272933516273102726272[[#This Row],[WIN]]*1000000+Table6121519272933516273102726272[[#This Row],[Saldo]]*1000+Table6121519272933516273102726272[[#This Row],[PM]]</f>
        <v>3024054</v>
      </c>
      <c r="I29" s="2"/>
      <c r="J29" s="2"/>
      <c r="K29" s="2"/>
      <c r="L29" s="2" t="str">
        <f t="shared" si="3"/>
        <v>1st</v>
      </c>
    </row>
    <row r="30" spans="1:21" ht="30" thickBot="1">
      <c r="M30" s="548" t="s">
        <v>200</v>
      </c>
      <c r="N30" s="549"/>
      <c r="O30" s="549"/>
      <c r="P30" s="549"/>
      <c r="Q30" s="549"/>
      <c r="R30" s="549"/>
    </row>
    <row r="31" spans="1:21" ht="15.95" thickBot="1">
      <c r="A31" s="123" t="s">
        <v>218</v>
      </c>
      <c r="B31" s="124">
        <v>45814</v>
      </c>
      <c r="M31" s="418" t="s">
        <v>193</v>
      </c>
      <c r="N31" s="418" t="s">
        <v>194</v>
      </c>
      <c r="O31" s="542" t="s">
        <v>195</v>
      </c>
      <c r="P31" s="543"/>
      <c r="Q31" s="418" t="s">
        <v>196</v>
      </c>
      <c r="R31" s="418" t="s">
        <v>197</v>
      </c>
    </row>
    <row r="32" spans="1:21">
      <c r="M32" s="432" t="str">
        <f>IF(OR($O$25="",$P$25=""),"",IF($O$26="WIN",$M$25,$Q$25))</f>
        <v>Alex</v>
      </c>
      <c r="N32" s="121" t="s">
        <v>124</v>
      </c>
      <c r="O32" s="119">
        <v>10</v>
      </c>
      <c r="P32" s="119">
        <v>18</v>
      </c>
      <c r="Q32" s="432" t="str">
        <f>IF(OR($O$25="",$P$25=""),"",IF($O$26="WIN",$N$25,$R$25))</f>
        <v>Andrew</v>
      </c>
      <c r="R32" s="122" t="s">
        <v>123</v>
      </c>
    </row>
    <row r="33" spans="13:17">
      <c r="M33" s="18" t="str">
        <f>IF(OR($O$32="",$P$32=""),"",IF($O$33="win",$U$3,$U$4))</f>
        <v>2nd</v>
      </c>
      <c r="O33" s="2" t="str">
        <f>IF(OR(O32="",P32=""),"",IF((O32&gt;P32),"WIN","LOSE"))</f>
        <v>LOSE</v>
      </c>
      <c r="P33" s="2" t="str">
        <f>IF(OR(O32="",P32=""),"",IF((O32&lt;P32),"WIN","LOSE"))</f>
        <v>WIN</v>
      </c>
      <c r="Q33" s="18" t="str">
        <f>IF(OR($O$32="",$P$32=""),"",IF($P$33="win",$U$3,$U$4))</f>
        <v>1st</v>
      </c>
    </row>
  </sheetData>
  <sheetProtection algorithmName="SHA-512" hashValue="IZ8vRTp4BOYkXRrRfER+OmxEeCNiHO8fyOO5HVpUPa8f2UjRfgZcJP1dzi6YkE8IKqNagOgb+gel2E4waOcWaw==" saltValue="wwiaAmTbv8Lq9myLqWM2DQ==" spinCount="100000" sheet="1" objects="1" scenarios="1"/>
  <mergeCells count="10">
    <mergeCell ref="T1:U1"/>
    <mergeCell ref="A12:G12"/>
    <mergeCell ref="M12:R12"/>
    <mergeCell ref="O13:P13"/>
    <mergeCell ref="O18:P18"/>
    <mergeCell ref="M23:R23"/>
    <mergeCell ref="O24:P24"/>
    <mergeCell ref="M30:R30"/>
    <mergeCell ref="O31:P31"/>
    <mergeCell ref="A1:A10"/>
  </mergeCells>
  <pageMargins left="0.7" right="0.7" top="0.75" bottom="0.75" header="0.3" footer="0.3"/>
  <pageSetup orientation="portrait" r:id="rId1"/>
  <legacyDrawing r:id="rId2"/>
  <tableParts count="5"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E43B-6BE4-5C4E-9EF3-F469003C937E}">
  <sheetPr codeName="Sheet37"/>
  <dimension ref="A1:U34"/>
  <sheetViews>
    <sheetView workbookViewId="0">
      <selection sqref="A1:I1"/>
    </sheetView>
    <sheetView workbookViewId="1">
      <selection sqref="A1:A11"/>
    </sheetView>
  </sheetViews>
  <sheetFormatPr defaultColWidth="8.85546875" defaultRowHeight="15"/>
  <cols>
    <col min="1" max="1" width="9.7109375" customWidth="1"/>
    <col min="2" max="2" width="13" bestFit="1" customWidth="1"/>
    <col min="3" max="4" width="20" customWidth="1"/>
    <col min="5" max="6" width="9.7109375" customWidth="1"/>
    <col min="7" max="7" width="14.140625" bestFit="1" customWidth="1"/>
    <col min="8" max="8" width="11.42578125" hidden="1" customWidth="1"/>
    <col min="9" max="9" width="12" hidden="1" customWidth="1"/>
    <col min="10" max="10" width="10.7109375" bestFit="1" customWidth="1"/>
    <col min="11" max="11" width="8" bestFit="1" customWidth="1"/>
    <col min="12" max="12" width="14.140625" bestFit="1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4" bestFit="1" customWidth="1"/>
    <col min="21" max="22" width="9.7109375" bestFit="1" customWidth="1"/>
  </cols>
  <sheetData>
    <row r="1" spans="1:21">
      <c r="A1" s="550" t="s">
        <v>267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178</v>
      </c>
      <c r="L1" s="7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268</v>
      </c>
      <c r="U1" s="545"/>
    </row>
    <row r="2" spans="1:21" ht="15" customHeight="1">
      <c r="A2" s="554"/>
      <c r="B2" s="13" t="s">
        <v>178</v>
      </c>
      <c r="C2" s="433" t="str">
        <f>B15</f>
        <v>Mariano</v>
      </c>
      <c r="D2" s="25" t="str">
        <f>B18</f>
        <v>Andrew</v>
      </c>
      <c r="E2" s="136">
        <v>18</v>
      </c>
      <c r="F2" s="137">
        <v>14</v>
      </c>
      <c r="G2" s="15" t="str">
        <f>B16</f>
        <v>Tiago</v>
      </c>
      <c r="H2" s="15"/>
      <c r="I2" s="15"/>
      <c r="J2" s="15"/>
      <c r="K2" s="15"/>
      <c r="L2" s="16" t="str">
        <f>B17</f>
        <v>Teixeira</v>
      </c>
      <c r="M2" s="13">
        <f>IF(OR(Game_52147[[#This Row],[SCORE 1]]="",Game_52147[[#This Row],[SCORE 2]]=""),"",Game_52147[[#This Row],[SCORE 1]]-Game_52147[[#This Row],[SCORE 2]])</f>
        <v>4</v>
      </c>
      <c r="N2" s="13">
        <f>IF(OR(Game_52147[[#This Row],[SCORE 1]]="",Game_52147[[#This Row],[SCORE 2]]=""),"",Game_52147[[#This Row],[SCORE 2]]-Game_52147[[#This Row],[SCORE 1]])</f>
        <v>-4</v>
      </c>
      <c r="O2" s="13">
        <f>IF(Game_52147[[#This Row],[SCORE 1]]="","",Game_52147[[#This Row],[SCORE 1]])</f>
        <v>18</v>
      </c>
      <c r="P2" s="13">
        <f>IF(Game_52147[[#This Row],[SCORE 2]]="","",Game_52147[[#This Row],[SCORE 2]])</f>
        <v>14</v>
      </c>
      <c r="Q2" s="13" t="str">
        <f>IF(OR(Game_52147[[#This Row],[SCORE 1]]="",Game_52147[[#This Row],[SCORE 2]]=""),"",IF(Game_52147[[#This Row],[SALDO 12]]&gt;0, "WIN","LOSE"))</f>
        <v>WIN</v>
      </c>
      <c r="R2" s="13" t="str">
        <f>IF(OR(Game_52147[[#This Row],[SCORE 1]]="",Game_52147[[#This Row],[SCORE 2]]=""),"",IF(Game_52147[[#This Row],[SALDO 34]]&gt;0, "WIN","LOSE"))</f>
        <v>LOSE</v>
      </c>
      <c r="T2" s="21" t="s">
        <v>179</v>
      </c>
      <c r="U2" s="21" t="s">
        <v>8</v>
      </c>
    </row>
    <row r="3" spans="1:21">
      <c r="A3" s="554"/>
      <c r="B3" s="13" t="s">
        <v>180</v>
      </c>
      <c r="C3" s="433" t="str">
        <f>B22</f>
        <v>Bo Nielsen</v>
      </c>
      <c r="D3" s="25" t="str">
        <f>B25</f>
        <v>Piu</v>
      </c>
      <c r="E3" s="136">
        <v>18</v>
      </c>
      <c r="F3" s="137">
        <v>16</v>
      </c>
      <c r="G3" s="15" t="str">
        <f>B23</f>
        <v>Pablo</v>
      </c>
      <c r="H3" s="15"/>
      <c r="I3" s="15"/>
      <c r="J3" s="15"/>
      <c r="K3" s="15"/>
      <c r="L3" s="16" t="str">
        <f>B24</f>
        <v>David</v>
      </c>
      <c r="M3" s="13">
        <f>IF(OR(Game_52147[[#This Row],[SCORE 1]]="",Game_52147[[#This Row],[SCORE 2]]=""),"",Game_52147[[#This Row],[SCORE 1]]-Game_52147[[#This Row],[SCORE 2]])</f>
        <v>2</v>
      </c>
      <c r="N3" s="13">
        <f>IF(OR(Game_52147[[#This Row],[SCORE 1]]="",Game_52147[[#This Row],[SCORE 2]]=""),"",Game_52147[[#This Row],[SCORE 2]]-Game_52147[[#This Row],[SCORE 1]])</f>
        <v>-2</v>
      </c>
      <c r="O3" s="13">
        <f>IF(Game_52147[[#This Row],[SCORE 1]]="","",Game_52147[[#This Row],[SCORE 1]])</f>
        <v>18</v>
      </c>
      <c r="P3" s="13">
        <f>IF(Game_52147[[#This Row],[SCORE 2]]="","",Game_52147[[#This Row],[SCORE 2]])</f>
        <v>16</v>
      </c>
      <c r="Q3" s="13" t="str">
        <f>IF(OR(Game_52147[[#This Row],[SCORE 1]]="",Game_52147[[#This Row],[SCORE 2]]=""),"",IF(Game_52147[[#This Row],[SALDO 12]]&gt;0, "WIN","LOSE"))</f>
        <v>WIN</v>
      </c>
      <c r="R3" s="13" t="str">
        <f>IF(OR(Game_52147[[#This Row],[SCORE 1]]="",Game_52147[[#This Row],[SCORE 2]]=""),"",IF(Game_52147[[#This Row],[SALDO 34]]&gt;0, "WIN","LOSE"))</f>
        <v>LOSE</v>
      </c>
      <c r="T3" t="str">
        <f>IFERROR(_xlfn.XLOOKUP(Table1572235446678468165150[[#This Row],[Rank]],$M$34:$R$34,$M$33:$R$33),"")</f>
        <v>Andrew</v>
      </c>
      <c r="U3" s="2" t="s">
        <v>19</v>
      </c>
    </row>
    <row r="4" spans="1:21">
      <c r="A4" s="554"/>
      <c r="B4" s="13" t="s">
        <v>178</v>
      </c>
      <c r="C4" s="433" t="str">
        <f>B15</f>
        <v>Mariano</v>
      </c>
      <c r="D4" s="25" t="str">
        <f>B17</f>
        <v>Teixeira</v>
      </c>
      <c r="E4" s="136">
        <v>10</v>
      </c>
      <c r="F4" s="137">
        <v>18</v>
      </c>
      <c r="G4" s="15" t="str">
        <f>B16</f>
        <v>Tiago</v>
      </c>
      <c r="H4" s="15"/>
      <c r="I4" s="15"/>
      <c r="J4" s="15"/>
      <c r="K4" s="15"/>
      <c r="L4" s="16" t="str">
        <f>B19</f>
        <v>Raileno</v>
      </c>
      <c r="M4" s="13">
        <f>IF(OR(Game_52147[[#This Row],[SCORE 1]]="",Game_52147[[#This Row],[SCORE 2]]=""),"",Game_52147[[#This Row],[SCORE 1]]-Game_52147[[#This Row],[SCORE 2]])</f>
        <v>-8</v>
      </c>
      <c r="N4" s="13">
        <f>IF(OR(Game_52147[[#This Row],[SCORE 1]]="",Game_52147[[#This Row],[SCORE 2]]=""),"",Game_52147[[#This Row],[SCORE 2]]-Game_52147[[#This Row],[SCORE 1]])</f>
        <v>8</v>
      </c>
      <c r="O4" s="13">
        <f>IF(Game_52147[[#This Row],[SCORE 1]]="","",Game_52147[[#This Row],[SCORE 1]])</f>
        <v>10</v>
      </c>
      <c r="P4" s="13">
        <f>IF(Game_52147[[#This Row],[SCORE 2]]="","",Game_52147[[#This Row],[SCORE 2]])</f>
        <v>18</v>
      </c>
      <c r="Q4" s="13" t="str">
        <f>IF(OR(Game_52147[[#This Row],[SCORE 1]]="",Game_52147[[#This Row],[SCORE 2]]=""),"",IF(Game_52147[[#This Row],[SALDO 12]]&gt;0, "WIN","LOSE"))</f>
        <v>LOSE</v>
      </c>
      <c r="R4" s="13" t="str">
        <f>IF(OR(Game_52147[[#This Row],[SCORE 1]]="",Game_52147[[#This Row],[SCORE 2]]=""),"",IF(Game_52147[[#This Row],[SALDO 34]]&gt;0, "WIN","LOSE"))</f>
        <v>WIN</v>
      </c>
      <c r="T4" t="str">
        <f>IFERROR(_xlfn.XLOOKUP(Table1572235446678468165150[[#This Row],[Rank]],$M$34:$R$34,$M$33:$R$33),"")</f>
        <v>David</v>
      </c>
      <c r="U4" s="2" t="s">
        <v>22</v>
      </c>
    </row>
    <row r="5" spans="1:21">
      <c r="A5" s="554"/>
      <c r="B5" s="13" t="s">
        <v>180</v>
      </c>
      <c r="C5" s="433" t="str">
        <f>B22</f>
        <v>Bo Nielsen</v>
      </c>
      <c r="D5" s="25" t="str">
        <f>B24</f>
        <v>David</v>
      </c>
      <c r="E5" s="136">
        <v>18</v>
      </c>
      <c r="F5" s="137">
        <v>15</v>
      </c>
      <c r="G5" s="15" t="str">
        <f>B23</f>
        <v>Pablo</v>
      </c>
      <c r="H5" s="15"/>
      <c r="I5" s="15"/>
      <c r="J5" s="15"/>
      <c r="K5" s="15"/>
      <c r="L5" s="16" t="str">
        <f>B26</f>
        <v>Marco</v>
      </c>
      <c r="M5" s="13">
        <f>IF(OR(Game_52147[[#This Row],[SCORE 1]]="",Game_52147[[#This Row],[SCORE 2]]=""),"",Game_52147[[#This Row],[SCORE 1]]-Game_52147[[#This Row],[SCORE 2]])</f>
        <v>3</v>
      </c>
      <c r="N5" s="13">
        <f>IF(OR(Game_52147[[#This Row],[SCORE 1]]="",Game_52147[[#This Row],[SCORE 2]]=""),"",Game_52147[[#This Row],[SCORE 2]]-Game_52147[[#This Row],[SCORE 1]])</f>
        <v>-3</v>
      </c>
      <c r="O5" s="13">
        <f>IF(Game_52147[[#This Row],[SCORE 1]]="","",Game_52147[[#This Row],[SCORE 1]])</f>
        <v>18</v>
      </c>
      <c r="P5" s="13">
        <f>IF(Game_52147[[#This Row],[SCORE 2]]="","",Game_52147[[#This Row],[SCORE 2]])</f>
        <v>15</v>
      </c>
      <c r="Q5" s="13" t="str">
        <f>IF(OR(Game_52147[[#This Row],[SCORE 1]]="",Game_52147[[#This Row],[SCORE 2]]=""),"",IF(Game_52147[[#This Row],[SALDO 12]]&gt;0, "WIN","LOSE"))</f>
        <v>WIN</v>
      </c>
      <c r="R5" s="13" t="str">
        <f>IF(OR(Game_52147[[#This Row],[SCORE 1]]="",Game_52147[[#This Row],[SCORE 2]]=""),"",IF(Game_52147[[#This Row],[SALDO 34]]&gt;0, "WIN","LOSE"))</f>
        <v>LOSE</v>
      </c>
      <c r="T5" t="str">
        <f>IFERROR(_xlfn.XLOOKUP(Table1572235446678468165150[[#This Row],[Rank]],$M$27:$R$27,$M$26:$R$26),"")</f>
        <v>Bo Nielsen</v>
      </c>
      <c r="U5" s="2" t="s">
        <v>25</v>
      </c>
    </row>
    <row r="6" spans="1:21">
      <c r="A6" s="554"/>
      <c r="B6" s="13" t="s">
        <v>178</v>
      </c>
      <c r="C6" s="433" t="str">
        <f>B15</f>
        <v>Mariano</v>
      </c>
      <c r="D6" s="25" t="str">
        <f>B16</f>
        <v>Tiago</v>
      </c>
      <c r="E6" s="136">
        <v>14</v>
      </c>
      <c r="F6" s="137">
        <v>18</v>
      </c>
      <c r="G6" s="15" t="str">
        <f>B18</f>
        <v>Andrew</v>
      </c>
      <c r="H6" s="15"/>
      <c r="I6" s="15"/>
      <c r="J6" s="15"/>
      <c r="K6" s="15"/>
      <c r="L6" s="16" t="str">
        <f>B19</f>
        <v>Raileno</v>
      </c>
      <c r="M6" s="13">
        <f>IF(OR(Game_52147[[#This Row],[SCORE 1]]="",Game_52147[[#This Row],[SCORE 2]]=""),"",Game_52147[[#This Row],[SCORE 1]]-Game_52147[[#This Row],[SCORE 2]])</f>
        <v>-4</v>
      </c>
      <c r="N6" s="13">
        <f>IF(OR(Game_52147[[#This Row],[SCORE 1]]="",Game_52147[[#This Row],[SCORE 2]]=""),"",Game_52147[[#This Row],[SCORE 2]]-Game_52147[[#This Row],[SCORE 1]])</f>
        <v>4</v>
      </c>
      <c r="O6" s="13">
        <f>IF(Game_52147[[#This Row],[SCORE 1]]="","",Game_52147[[#This Row],[SCORE 1]])</f>
        <v>14</v>
      </c>
      <c r="P6" s="13">
        <f>IF(Game_52147[[#This Row],[SCORE 2]]="","",Game_52147[[#This Row],[SCORE 2]])</f>
        <v>18</v>
      </c>
      <c r="Q6" s="13" t="str">
        <f>IF(OR(Game_52147[[#This Row],[SCORE 1]]="",Game_52147[[#This Row],[SCORE 2]]=""),"",IF(Game_52147[[#This Row],[SALDO 12]]&gt;0, "WIN","LOSE"))</f>
        <v>LOSE</v>
      </c>
      <c r="R6" s="13" t="str">
        <f>IF(OR(Game_52147[[#This Row],[SCORE 1]]="",Game_52147[[#This Row],[SCORE 2]]=""),"",IF(Game_52147[[#This Row],[SALDO 34]]&gt;0, "WIN","LOSE"))</f>
        <v>WIN</v>
      </c>
      <c r="T6" t="str">
        <f>IFERROR(_xlfn.XLOOKUP(Table1572235446678468165150[[#This Row],[Rank]],$M$27:$R$27,$M$26:$R$26),"")</f>
        <v>Tiago</v>
      </c>
      <c r="U6" s="2" t="s">
        <v>28</v>
      </c>
    </row>
    <row r="7" spans="1:21">
      <c r="A7" s="554"/>
      <c r="B7" s="13" t="s">
        <v>180</v>
      </c>
      <c r="C7" s="433" t="str">
        <f>B22</f>
        <v>Bo Nielsen</v>
      </c>
      <c r="D7" s="25" t="str">
        <f>B23</f>
        <v>Pablo</v>
      </c>
      <c r="E7" s="136">
        <v>18</v>
      </c>
      <c r="F7" s="137">
        <v>13</v>
      </c>
      <c r="G7" s="15" t="str">
        <f>B25</f>
        <v>Piu</v>
      </c>
      <c r="H7" s="15"/>
      <c r="I7" s="15"/>
      <c r="J7" s="15"/>
      <c r="K7" s="15"/>
      <c r="L7" s="16" t="str">
        <f>B26</f>
        <v>Marco</v>
      </c>
      <c r="M7" s="13">
        <f>IF(OR(Game_52147[[#This Row],[SCORE 1]]="",Game_52147[[#This Row],[SCORE 2]]=""),"",Game_52147[[#This Row],[SCORE 1]]-Game_52147[[#This Row],[SCORE 2]])</f>
        <v>5</v>
      </c>
      <c r="N7" s="13">
        <f>IF(OR(Game_52147[[#This Row],[SCORE 1]]="",Game_52147[[#This Row],[SCORE 2]]=""),"",Game_52147[[#This Row],[SCORE 2]]-Game_52147[[#This Row],[SCORE 1]])</f>
        <v>-5</v>
      </c>
      <c r="O7" s="13">
        <f>IF(Game_52147[[#This Row],[SCORE 1]]="","",Game_52147[[#This Row],[SCORE 1]])</f>
        <v>18</v>
      </c>
      <c r="P7" s="13">
        <f>IF(Game_52147[[#This Row],[SCORE 2]]="","",Game_52147[[#This Row],[SCORE 2]])</f>
        <v>13</v>
      </c>
      <c r="Q7" s="13" t="str">
        <f>IF(OR(Game_52147[[#This Row],[SCORE 1]]="",Game_52147[[#This Row],[SCORE 2]]=""),"",IF(Game_52147[[#This Row],[SALDO 12]]&gt;0, "WIN","LOSE"))</f>
        <v>WIN</v>
      </c>
      <c r="R7" s="13" t="str">
        <f>IF(OR(Game_52147[[#This Row],[SCORE 1]]="",Game_52147[[#This Row],[SCORE 2]]=""),"",IF(Game_52147[[#This Row],[SALDO 34]]&gt;0, "WIN","LOSE"))</f>
        <v>LOSE</v>
      </c>
      <c r="T7" t="str">
        <f>IFERROR(_xlfn.XLOOKUP(Table1572235446678468165150[[#This Row],[Rank]],$M$16:$R$16,$M$15:$R$15),IFERROR(_xlfn.XLOOKUP(Table1572235446678468165150[[#This Row],[Rank]],$M$21:$R$21,$M$20:$R$20),""))</f>
        <v>Piu</v>
      </c>
      <c r="U7" s="2" t="s">
        <v>31</v>
      </c>
    </row>
    <row r="8" spans="1:21">
      <c r="A8" s="554"/>
      <c r="B8" s="13" t="s">
        <v>178</v>
      </c>
      <c r="C8" s="433" t="str">
        <f>B15</f>
        <v>Mariano</v>
      </c>
      <c r="D8" s="25" t="str">
        <f>B19</f>
        <v>Raileno</v>
      </c>
      <c r="E8" s="136">
        <v>12</v>
      </c>
      <c r="F8" s="137">
        <v>18</v>
      </c>
      <c r="G8" s="15" t="str">
        <f>B17</f>
        <v>Teixeira</v>
      </c>
      <c r="H8" s="15"/>
      <c r="I8" s="15"/>
      <c r="J8" s="15"/>
      <c r="K8" s="15"/>
      <c r="L8" s="16" t="str">
        <f>B18</f>
        <v>Andrew</v>
      </c>
      <c r="M8" s="13">
        <f>IF(OR(Game_52147[[#This Row],[SCORE 1]]="",Game_52147[[#This Row],[SCORE 2]]=""),"",Game_52147[[#This Row],[SCORE 1]]-Game_52147[[#This Row],[SCORE 2]])</f>
        <v>-6</v>
      </c>
      <c r="N8" s="13">
        <f>IF(OR(Game_52147[[#This Row],[SCORE 1]]="",Game_52147[[#This Row],[SCORE 2]]=""),"",Game_52147[[#This Row],[SCORE 2]]-Game_52147[[#This Row],[SCORE 1]])</f>
        <v>6</v>
      </c>
      <c r="O8" s="13">
        <f>IF(Game_52147[[#This Row],[SCORE 1]]="","",Game_52147[[#This Row],[SCORE 1]])</f>
        <v>12</v>
      </c>
      <c r="P8" s="13">
        <f>IF(Game_52147[[#This Row],[SCORE 2]]="","",Game_52147[[#This Row],[SCORE 2]])</f>
        <v>18</v>
      </c>
      <c r="Q8" s="13" t="str">
        <f>IF(OR(Game_52147[[#This Row],[SCORE 1]]="",Game_52147[[#This Row],[SCORE 2]]=""),"",IF(Game_52147[[#This Row],[SALDO 12]]&gt;0, "WIN","LOSE"))</f>
        <v>LOSE</v>
      </c>
      <c r="R8" s="13" t="str">
        <f>IF(OR(Game_52147[[#This Row],[SCORE 1]]="",Game_52147[[#This Row],[SCORE 2]]=""),"",IF(Game_52147[[#This Row],[SALDO 34]]&gt;0, "WIN","LOSE"))</f>
        <v>WIN</v>
      </c>
      <c r="T8" t="str">
        <f>IFERROR(_xlfn.XLOOKUP(Table1572235446678468165150[[#This Row],[Rank]],$M$16:$R$16,$M$15:$R$15),IFERROR(_xlfn.XLOOKUP(Table1572235446678468165150[[#This Row],[Rank]],$M$21:$R$21,$M$20:$R$20),""))</f>
        <v>Raileno</v>
      </c>
      <c r="U8" s="2" t="s">
        <v>34</v>
      </c>
    </row>
    <row r="9" spans="1:21">
      <c r="A9" s="554"/>
      <c r="B9" s="13" t="s">
        <v>180</v>
      </c>
      <c r="C9" s="433" t="str">
        <f>B22</f>
        <v>Bo Nielsen</v>
      </c>
      <c r="D9" s="25" t="str">
        <f>B26</f>
        <v>Marco</v>
      </c>
      <c r="E9" s="136">
        <v>15</v>
      </c>
      <c r="F9" s="137">
        <v>18</v>
      </c>
      <c r="G9" s="15" t="str">
        <f>B24</f>
        <v>David</v>
      </c>
      <c r="H9" s="15"/>
      <c r="I9" s="15"/>
      <c r="J9" s="15"/>
      <c r="K9" s="15"/>
      <c r="L9" s="16" t="str">
        <f>B25</f>
        <v>Piu</v>
      </c>
      <c r="M9" s="13">
        <f>IF(OR(Game_52147[[#This Row],[SCORE 1]]="",Game_52147[[#This Row],[SCORE 2]]=""),"",Game_52147[[#This Row],[SCORE 1]]-Game_52147[[#This Row],[SCORE 2]])</f>
        <v>-3</v>
      </c>
      <c r="N9" s="13">
        <f>IF(OR(Game_52147[[#This Row],[SCORE 1]]="",Game_52147[[#This Row],[SCORE 2]]=""),"",Game_52147[[#This Row],[SCORE 2]]-Game_52147[[#This Row],[SCORE 1]])</f>
        <v>3</v>
      </c>
      <c r="O9" s="13">
        <f>IF(Game_52147[[#This Row],[SCORE 1]]="","",Game_52147[[#This Row],[SCORE 1]])</f>
        <v>15</v>
      </c>
      <c r="P9" s="13">
        <f>IF(Game_52147[[#This Row],[SCORE 2]]="","",Game_52147[[#This Row],[SCORE 2]])</f>
        <v>18</v>
      </c>
      <c r="Q9" s="13" t="str">
        <f>IF(OR(Game_52147[[#This Row],[SCORE 1]]="",Game_52147[[#This Row],[SCORE 2]]=""),"",IF(Game_52147[[#This Row],[SALDO 12]]&gt;0, "WIN","LOSE"))</f>
        <v>LOSE</v>
      </c>
      <c r="R9" s="13" t="str">
        <f>IF(OR(Game_52147[[#This Row],[SCORE 1]]="",Game_52147[[#This Row],[SCORE 2]]=""),"",IF(Game_52147[[#This Row],[SALDO 34]]&gt;0, "WIN","LOSE"))</f>
        <v>WIN</v>
      </c>
      <c r="T9" t="str">
        <f>IFERROR(_xlfn.XLOOKUP(Table1572235446678468165150[[#This Row],[Rank]],$M$16:$R$16,$M$15:$R$15),IFERROR(_xlfn.XLOOKUP(Table1572235446678468165150[[#This Row],[Rank]],$M$21:$R$21,$M$20:$R$20),""))</f>
        <v>Pablo</v>
      </c>
      <c r="U9" s="2" t="s">
        <v>37</v>
      </c>
    </row>
    <row r="10" spans="1:21">
      <c r="A10" s="554"/>
      <c r="B10" s="13" t="s">
        <v>178</v>
      </c>
      <c r="C10" s="433" t="str">
        <f>B17</f>
        <v>Teixeira</v>
      </c>
      <c r="D10" s="25" t="str">
        <f>B19</f>
        <v>Raileno</v>
      </c>
      <c r="E10" s="136">
        <v>8</v>
      </c>
      <c r="F10" s="137">
        <v>18</v>
      </c>
      <c r="G10" s="15" t="str">
        <f>B16</f>
        <v>Tiago</v>
      </c>
      <c r="H10" s="15"/>
      <c r="I10" s="15"/>
      <c r="J10" s="15"/>
      <c r="K10" s="15"/>
      <c r="L10" s="16" t="str">
        <f>B18</f>
        <v>Andrew</v>
      </c>
      <c r="M10" s="13">
        <f>IF(OR(Game_52147[[#This Row],[SCORE 1]]="",Game_52147[[#This Row],[SCORE 2]]=""),"",Game_52147[[#This Row],[SCORE 1]]-Game_52147[[#This Row],[SCORE 2]])</f>
        <v>-10</v>
      </c>
      <c r="N10" s="13">
        <f>IF(OR(Game_52147[[#This Row],[SCORE 1]]="",Game_52147[[#This Row],[SCORE 2]]=""),"",Game_52147[[#This Row],[SCORE 2]]-Game_52147[[#This Row],[SCORE 1]])</f>
        <v>10</v>
      </c>
      <c r="O10" s="13">
        <f>IF(Game_52147[[#This Row],[SCORE 1]]="","",Game_52147[[#This Row],[SCORE 1]])</f>
        <v>8</v>
      </c>
      <c r="P10" s="13">
        <f>IF(Game_52147[[#This Row],[SCORE 2]]="","",Game_52147[[#This Row],[SCORE 2]])</f>
        <v>18</v>
      </c>
      <c r="Q10" s="13" t="str">
        <f>IF(OR(Game_52147[[#This Row],[SCORE 1]]="",Game_52147[[#This Row],[SCORE 2]]=""),"",IF(Game_52147[[#This Row],[SALDO 12]]&gt;0, "WIN","LOSE"))</f>
        <v>LOSE</v>
      </c>
      <c r="R10" s="13" t="str">
        <f>IF(OR(Game_52147[[#This Row],[SCORE 1]]="",Game_52147[[#This Row],[SCORE 2]]=""),"",IF(Game_52147[[#This Row],[SALDO 34]]&gt;0, "WIN","LOSE"))</f>
        <v>WIN</v>
      </c>
      <c r="T10" t="str">
        <f>IFERROR(_xlfn.XLOOKUP(Table1572235446678468165150[[#This Row],[Rank]],$M$16:$R$16,$M$15:$R$15),IFERROR(_xlfn.XLOOKUP(Table1572235446678468165150[[#This Row],[Rank]],$M$21:$R$21,$M$20:$R$20),""))</f>
        <v>Marco</v>
      </c>
      <c r="U10" s="2" t="s">
        <v>41</v>
      </c>
    </row>
    <row r="11" spans="1:21">
      <c r="A11" s="554"/>
      <c r="B11" s="13" t="s">
        <v>180</v>
      </c>
      <c r="C11" s="433" t="str">
        <f>B24</f>
        <v>David</v>
      </c>
      <c r="D11" s="25" t="str">
        <f>B26</f>
        <v>Marco</v>
      </c>
      <c r="E11" s="136">
        <v>18</v>
      </c>
      <c r="F11" s="137">
        <v>14</v>
      </c>
      <c r="G11" s="15" t="str">
        <f>B23</f>
        <v>Pablo</v>
      </c>
      <c r="H11" s="15"/>
      <c r="I11" s="15"/>
      <c r="J11" s="15"/>
      <c r="K11" s="15"/>
      <c r="L11" s="16" t="str">
        <f>B25</f>
        <v>Piu</v>
      </c>
      <c r="M11" s="13">
        <f>IF(OR(Game_52147[[#This Row],[SCORE 1]]="",Game_52147[[#This Row],[SCORE 2]]=""),"",Game_52147[[#This Row],[SCORE 1]]-Game_52147[[#This Row],[SCORE 2]])</f>
        <v>4</v>
      </c>
      <c r="N11" s="13">
        <f>IF(OR(Game_52147[[#This Row],[SCORE 1]]="",Game_52147[[#This Row],[SCORE 2]]=""),"",Game_52147[[#This Row],[SCORE 2]]-Game_52147[[#This Row],[SCORE 1]])</f>
        <v>-4</v>
      </c>
      <c r="O11" s="13">
        <f>IF(Game_52147[[#This Row],[SCORE 1]]="","",Game_52147[[#This Row],[SCORE 1]])</f>
        <v>18</v>
      </c>
      <c r="P11" s="13">
        <f>IF(Game_52147[[#This Row],[SCORE 2]]="","",Game_52147[[#This Row],[SCORE 2]])</f>
        <v>14</v>
      </c>
      <c r="Q11" s="13" t="str">
        <f>IF(OR(Game_52147[[#This Row],[SCORE 1]]="",Game_52147[[#This Row],[SCORE 2]]=""),"",IF(Game_52147[[#This Row],[SALDO 12]]&gt;0, "WIN","LOSE"))</f>
        <v>WIN</v>
      </c>
      <c r="R11" s="13" t="str">
        <f>IF(OR(Game_52147[[#This Row],[SCORE 1]]="",Game_52147[[#This Row],[SCORE 2]]=""),"",IF(Game_52147[[#This Row],[SALDO 34]]&gt;0, "WIN","LOSE"))</f>
        <v>LOSE</v>
      </c>
      <c r="T11" t="str" cm="1">
        <f t="array" ref="T11">_xlfn.TEXTJOIN(", ", TRUE, _xlfn._xlws.FILTER($K$15:$K$24, $J$15:$J$24=U11,""))</f>
        <v>Mariano</v>
      </c>
      <c r="U11" s="2" t="s">
        <v>44</v>
      </c>
    </row>
    <row r="12" spans="1:21">
      <c r="T12" t="str" cm="1">
        <f t="array" ref="T12">_xlfn.TEXTJOIN(", ", TRUE, _xlfn._xlws.FILTER($K$15:$K$24, $J$15:$J$24=U12,""))</f>
        <v>Teixeira</v>
      </c>
      <c r="U12" s="2" t="s">
        <v>39</v>
      </c>
    </row>
    <row r="13" spans="1:21" ht="30" customHeight="1">
      <c r="A13" s="546" t="s">
        <v>182</v>
      </c>
      <c r="B13" s="547"/>
      <c r="C13" s="547"/>
      <c r="D13" s="547"/>
      <c r="E13" s="547"/>
      <c r="F13" s="547"/>
      <c r="G13" s="547"/>
      <c r="H13" s="420"/>
      <c r="I13" s="420"/>
      <c r="J13" s="420"/>
      <c r="K13" s="420"/>
      <c r="M13" s="548" t="s">
        <v>183</v>
      </c>
      <c r="N13" s="549"/>
      <c r="O13" s="549"/>
      <c r="P13" s="549"/>
      <c r="Q13" s="549"/>
      <c r="R13" s="549"/>
    </row>
    <row r="14" spans="1:21" ht="15.95">
      <c r="A14" s="6" t="s">
        <v>246</v>
      </c>
      <c r="B14" s="7" t="s">
        <v>261</v>
      </c>
      <c r="C14" s="7" t="s">
        <v>186</v>
      </c>
      <c r="D14" s="7" t="s">
        <v>187</v>
      </c>
      <c r="E14" s="7" t="s">
        <v>188</v>
      </c>
      <c r="F14" s="7" t="s">
        <v>189</v>
      </c>
      <c r="G14" s="7" t="s">
        <v>8</v>
      </c>
      <c r="H14" s="80" t="s">
        <v>190</v>
      </c>
      <c r="I14" s="20" t="s">
        <v>191</v>
      </c>
      <c r="J14" s="20" t="s">
        <v>192</v>
      </c>
      <c r="K14" s="20" t="s">
        <v>1</v>
      </c>
      <c r="L14" s="20" t="s">
        <v>192</v>
      </c>
      <c r="M14" s="418" t="s">
        <v>193</v>
      </c>
      <c r="N14" s="418" t="s">
        <v>194</v>
      </c>
      <c r="O14" s="542" t="s">
        <v>195</v>
      </c>
      <c r="P14" s="543"/>
      <c r="Q14" s="418" t="s">
        <v>196</v>
      </c>
      <c r="R14" s="418" t="s">
        <v>197</v>
      </c>
    </row>
    <row r="15" spans="1:21">
      <c r="A15" s="4" t="s">
        <v>205</v>
      </c>
      <c r="B15" s="365" t="s">
        <v>131</v>
      </c>
      <c r="C15" s="14">
        <f>SUM(COUNTIFS(Game_52147[ATHLETE 1],Analysis_156148[[#This Row],[Athletes ]],Game_52147[RESULT 12],"win"),COUNTIFS(Game_52147[ATHLETE 2],Analysis_156148[[#This Row],[Athletes ]],Game_52147[RESULT 12],"win"),COUNTIFS(Game_52147[ATHLETE 3],Analysis_156148[[#This Row],[Athletes ]],Game_52147[RESULT 34],"win"),COUNTIFS(Game_52147[ATHLETE 4],Analysis_156148[[#This Row],[Athletes ]],Game_52147[RESULT 34],"win"))</f>
        <v>1</v>
      </c>
      <c r="D15" s="14">
        <f>SUM(COUNTIFS(Game_52147[ATHLETE 1],Analysis_156148[[#This Row],[Athletes ]],Game_52147[RESULT 12],"lose"),COUNTIFS(Game_52147[ATHLETE 2],Analysis_156148[[#This Row],[Athletes ]],Game_52147[RESULT 12],"lose"),COUNTIFS(Game_52147[ATHLETE 3],Analysis_156148[[#This Row],[Athletes ]],Game_52147[RESULT 34],"lose"),COUNTIFS(Game_52147[ATHLETE 4],Analysis_156148[[#This Row],[Athletes ]],Game_52147[RESULT 34],"lose"))</f>
        <v>3</v>
      </c>
      <c r="E15" s="19">
        <f>SUM(SUMIF(Game_52147[ATHLETE 1],Analysis_156148[[#This Row],[Athletes ]],Game_52147[SALDO 12]),SUMIF(Game_52147[ATHLETE 2],Analysis_156148[[#This Row],[Athletes ]],Game_52147[SALDO 12]),SUMIF(Game_52147[ATHLETE 3],Analysis_156148[[#This Row],[Athletes ]],Game_52147[SALDO 34]),SUMIF(Game_52147[ATHLETE 4],Analysis_156148[[#This Row],[Athletes ]],Game_52147[SALDO 34]))</f>
        <v>-14</v>
      </c>
      <c r="F15" s="19">
        <f>SUM(SUMIF(Game_52147[ATHLETE 1],Analysis_156148[[#This Row],[Athletes ]],Game_52147[PM 12]),SUMIF(Game_52147[ATHLETE 2],Analysis_156148[[#This Row],[Athletes ]],Game_52147[PM 12]),SUMIF(Game_52147[ATHLETE 3],Analysis_156148[[#This Row],[Athletes ]],Game_52147[PM 34]),SUMIF(Game_52147[ATHLETE 4],Analysis_156148[[#This Row],[Athletes ]],Game_52147[PM 34]))</f>
        <v>54</v>
      </c>
      <c r="G15" s="14" t="str">
        <f>IF(COUNTBLANK(Game_52147[[SCORE 1]:[SCORE 2]])=0,IF(RANK(H15,$H$15:$H$19)=1,RANK(H15,$H$15:$H$19)&amp;"st",IF(RANK(H15,$H$15:$H$19)=2,RANK(H15,$H$15:$H$19)&amp;"nd",IF(RANK(H15,$H$15:$H$19)=3,RANK(H15,$H$15:$H$19)&amp;"rd",RANK(H15,$H$15:$H$19)&amp;"th"))),"")</f>
        <v>4th</v>
      </c>
      <c r="H15" s="203">
        <f>Analysis_156148[[#This Row],[WIN]]*1000000+Analysis_156148[[#This Row],[Saldo]]*1000+Analysis_156148[[#This Row],[PM]]</f>
        <v>986054</v>
      </c>
      <c r="I15" s="2">
        <f>H15</f>
        <v>986054</v>
      </c>
      <c r="J15" s="2" t="str">
        <f>IF(COUNTBLANK(Game_52147[[SCORE 1]:[SCORE 2]])=0,IF(RANK(I15,$I$15:$I$24)=1,RANK(I15,$I$15:$I$24)&amp;"st",IF(RANK(I15,$I$15:$I$24)=2,RANK(I15,$I$15:$I$24)&amp;"nd",IF(RANK(I15,$I$15:$I$24)=3,RANK(I15,$I$15:$I$24)&amp;"rd",RANK(I15,$I$15:$I$24)&amp;"th"))),"")</f>
        <v>9th</v>
      </c>
      <c r="K15" s="38" t="str">
        <f>Analysis_156148[[#This Row],[Athletes ]]</f>
        <v>Mariano</v>
      </c>
      <c r="L15" s="2" t="str">
        <f>J15</f>
        <v>9th</v>
      </c>
      <c r="M15" s="428" t="str" cm="1">
        <f t="array" ref="M15">_xlfn.TEXTJOIN(", ", TRUE, _xlfn._xlws.FILTER($K$15:$K$24, $J$15:$J$24=$U$3, ""))</f>
        <v>Andrew</v>
      </c>
      <c r="N15" s="428" t="str" cm="1">
        <f t="array" ref="N15">_xlfn.TEXTJOIN(", ", TRUE, _xlfn._xlws.FILTER($K$15:$K$24, $J$15:$J$24=$U$4, ""))</f>
        <v>David</v>
      </c>
      <c r="O15" s="119">
        <v>18</v>
      </c>
      <c r="P15" s="120">
        <v>5</v>
      </c>
      <c r="Q15" s="428" t="str" cm="1">
        <f t="array" ref="Q15">_xlfn.TEXTJOIN(", ", TRUE, _xlfn._xlws.FILTER($K$15:$K$24, $J$15:$J$24=$U$9, ""))</f>
        <v>Pablo</v>
      </c>
      <c r="R15" s="428" t="str" cm="1">
        <f t="array" ref="R15">_xlfn.TEXTJOIN(", ", TRUE, _xlfn._xlws.FILTER($K$14:$K$24, $J$14:$J$24=$U$10, ""))</f>
        <v>Marco</v>
      </c>
    </row>
    <row r="16" spans="1:21">
      <c r="A16" s="3" t="s">
        <v>206</v>
      </c>
      <c r="B16" s="365" t="s">
        <v>128</v>
      </c>
      <c r="C16" s="14">
        <f>SUM(COUNTIFS(Game_52147[ATHLETE 1],Analysis_156148[[#This Row],[Athletes ]],Game_52147[RESULT 12],"win"),COUNTIFS(Game_52147[ATHLETE 2],Analysis_156148[[#This Row],[Athletes ]],Game_52147[RESULT 12],"win"),COUNTIFS(Game_52147[ATHLETE 3],Analysis_156148[[#This Row],[Athletes ]],Game_52147[RESULT 34],"win"),COUNTIFS(Game_52147[ATHLETE 4],Analysis_156148[[#This Row],[Athletes ]],Game_52147[RESULT 34],"win"))</f>
        <v>2</v>
      </c>
      <c r="D16" s="14">
        <f>SUM(COUNTIFS(Game_52147[ATHLETE 1],Analysis_156148[[#This Row],[Athletes ]],Game_52147[RESULT 12],"lose"),COUNTIFS(Game_52147[ATHLETE 2],Analysis_156148[[#This Row],[Athletes ]],Game_52147[RESULT 12],"lose"),COUNTIFS(Game_52147[ATHLETE 3],Analysis_156148[[#This Row],[Athletes ]],Game_52147[RESULT 34],"lose"),COUNTIFS(Game_52147[ATHLETE 4],Analysis_156148[[#This Row],[Athletes ]],Game_52147[RESULT 34],"lose"))</f>
        <v>2</v>
      </c>
      <c r="E16" s="19">
        <f>SUM(SUMIF(Game_52147[ATHLETE 1],Analysis_156148[[#This Row],[Athletes ]],Game_52147[SALDO 12]),SUMIF(Game_52147[ATHLETE 2],Analysis_156148[[#This Row],[Athletes ]],Game_52147[SALDO 12]),SUMIF(Game_52147[ATHLETE 3],Analysis_156148[[#This Row],[Athletes ]],Game_52147[SALDO 34]),SUMIF(Game_52147[ATHLETE 4],Analysis_156148[[#This Row],[Athletes ]],Game_52147[SALDO 34]))</f>
        <v>10</v>
      </c>
      <c r="F16" s="19">
        <f>SUM(SUMIF(Game_52147[ATHLETE 1],Analysis_156148[[#This Row],[Athletes ]],Game_52147[PM 12]),SUMIF(Game_52147[ATHLETE 2],Analysis_156148[[#This Row],[Athletes ]],Game_52147[PM 12]),SUMIF(Game_52147[ATHLETE 3],Analysis_156148[[#This Row],[Athletes ]],Game_52147[PM 34]),SUMIF(Game_52147[ATHLETE 4],Analysis_156148[[#This Row],[Athletes ]],Game_52147[PM 34]))</f>
        <v>64</v>
      </c>
      <c r="G16" s="14" t="str">
        <f>IF(COUNTBLANK(Game_52147[[SCORE 1]:[SCORE 2]])=0,IF(RANK(H16,$H$15:$H$19)=1,RANK(H16,$H$15:$H$19)&amp;"st",IF(RANK(H16,$H$15:$H$19)=2,RANK(H16,$H$15:$H$19)&amp;"nd",IF(RANK(H16,$H$15:$H$19)=3,RANK(H16,$H$15:$H$19)&amp;"rd",RANK(H16,$H$15:$H$19)&amp;"th"))),"")</f>
        <v>2nd</v>
      </c>
      <c r="H16" s="203">
        <f>Analysis_156148[[#This Row],[WIN]]*1000000+Analysis_156148[[#This Row],[Saldo]]*1000+Analysis_156148[[#This Row],[PM]]</f>
        <v>2010064</v>
      </c>
      <c r="I16" s="2">
        <f t="shared" ref="I16:I18" si="0">H16</f>
        <v>2010064</v>
      </c>
      <c r="J16" s="2" t="str">
        <f>IF(COUNTBLANK(Game_52147[[SCORE 1]:[SCORE 2]])=0,IF(RANK(I16,$I$15:$I$24)=1,RANK(I16,$I$15:$I$24)&amp;"st",IF(RANK(I16,$I$15:$I$24)=2,RANK(I16,$I$15:$I$24)&amp;"nd",IF(RANK(I16,$I$15:$I$24)=3,RANK(I16,$I$15:$I$24)&amp;"rd",RANK(I16,$I$15:$I$24)&amp;"th"))),"")</f>
        <v>4th</v>
      </c>
      <c r="K16" s="38" t="str">
        <f>Analysis_156148[[#This Row],[Athletes ]]</f>
        <v>Tiago</v>
      </c>
      <c r="L16" s="2" t="str">
        <f t="shared" ref="L16:L19" si="1">J16</f>
        <v>4th</v>
      </c>
      <c r="M16" s="127" t="str">
        <f>IF($O$16="lose",$U$7,"")</f>
        <v/>
      </c>
      <c r="N16" s="127" t="str">
        <f>IF($O$16="lose",$U$8,"")</f>
        <v/>
      </c>
      <c r="O16" s="2" t="str">
        <f>IF(OR(O15="",P15=""),"",IF((O15&gt;P15),"WIN","LOSE"))</f>
        <v>WIN</v>
      </c>
      <c r="P16" s="2" t="str">
        <f>IF(OR(O15="",P15=""),"",IF((O15&lt;P15),"WIN","LOSE"))</f>
        <v>LOSE</v>
      </c>
      <c r="Q16" s="127" t="str">
        <f>IF($P$16="lose",$U$9,"")</f>
        <v>7th</v>
      </c>
      <c r="R16" s="127" t="str">
        <f>IF($P$16="lose",$U$10,"")</f>
        <v>8th</v>
      </c>
      <c r="S16" s="17"/>
    </row>
    <row r="17" spans="1:18">
      <c r="A17" s="3" t="s">
        <v>207</v>
      </c>
      <c r="B17" s="365" t="s">
        <v>126</v>
      </c>
      <c r="C17" s="14">
        <f>SUM(COUNTIFS(Game_52147[ATHLETE 1],Analysis_156148[[#This Row],[Athletes ]],Game_52147[RESULT 12],"win"),COUNTIFS(Game_52147[ATHLETE 2],Analysis_156148[[#This Row],[Athletes ]],Game_52147[RESULT 12],"win"),COUNTIFS(Game_52147[ATHLETE 3],Analysis_156148[[#This Row],[Athletes ]],Game_52147[RESULT 34],"win"),COUNTIFS(Game_52147[ATHLETE 4],Analysis_156148[[#This Row],[Athletes ]],Game_52147[RESULT 34],"win"))</f>
        <v>1</v>
      </c>
      <c r="D17" s="14">
        <f>SUM(COUNTIFS(Game_52147[ATHLETE 1],Analysis_156148[[#This Row],[Athletes ]],Game_52147[RESULT 12],"lose"),COUNTIFS(Game_52147[ATHLETE 2],Analysis_156148[[#This Row],[Athletes ]],Game_52147[RESULT 12],"lose"),COUNTIFS(Game_52147[ATHLETE 3],Analysis_156148[[#This Row],[Athletes ]],Game_52147[RESULT 34],"lose"),COUNTIFS(Game_52147[ATHLETE 4],Analysis_156148[[#This Row],[Athletes ]],Game_52147[RESULT 34],"lose"))</f>
        <v>3</v>
      </c>
      <c r="E17" s="19">
        <f>SUM(SUMIF(Game_52147[ATHLETE 1],Analysis_156148[[#This Row],[Athletes ]],Game_52147[SALDO 12]),SUMIF(Game_52147[ATHLETE 2],Analysis_156148[[#This Row],[Athletes ]],Game_52147[SALDO 12]),SUMIF(Game_52147[ATHLETE 3],Analysis_156148[[#This Row],[Athletes ]],Game_52147[SALDO 34]),SUMIF(Game_52147[ATHLETE 4],Analysis_156148[[#This Row],[Athletes ]],Game_52147[SALDO 34]))</f>
        <v>-16</v>
      </c>
      <c r="F17" s="19">
        <f>SUM(SUMIF(Game_52147[ATHLETE 1],Analysis_156148[[#This Row],[Athletes ]],Game_52147[PM 12]),SUMIF(Game_52147[ATHLETE 2],Analysis_156148[[#This Row],[Athletes ]],Game_52147[PM 12]),SUMIF(Game_52147[ATHLETE 3],Analysis_156148[[#This Row],[Athletes ]],Game_52147[PM 34]),SUMIF(Game_52147[ATHLETE 4],Analysis_156148[[#This Row],[Athletes ]],Game_52147[PM 34]))</f>
        <v>50</v>
      </c>
      <c r="G17" s="14" t="str">
        <f>IF(COUNTBLANK(Game_52147[[SCORE 1]:[SCORE 2]])=0,IF(RANK(H17,$H$15:$H$19)=1,RANK(H17,$H$15:$H$19)&amp;"st",IF(RANK(H17,$H$15:$H$19)=2,RANK(H17,$H$15:$H$19)&amp;"nd",IF(RANK(H17,$H$15:$H$19)=3,RANK(H17,$H$15:$H$19)&amp;"rd",RANK(H17,$H$15:$H$19)&amp;"th"))),"")</f>
        <v>5th</v>
      </c>
      <c r="H17" s="203">
        <f>Analysis_156148[[#This Row],[WIN]]*1000000+Analysis_156148[[#This Row],[Saldo]]*1000+Analysis_156148[[#This Row],[PM]]</f>
        <v>984050</v>
      </c>
      <c r="I17" s="2">
        <f t="shared" si="0"/>
        <v>984050</v>
      </c>
      <c r="J17" s="2" t="str">
        <f>IF(COUNTBLANK(Game_52147[[SCORE 1]:[SCORE 2]])=0,IF(RANK(I17,$I$15:$I$24)=1,RANK(I17,$I$15:$I$24)&amp;"st",IF(RANK(I17,$I$15:$I$24)=2,RANK(I17,$I$15:$I$24)&amp;"nd",IF(RANK(I17,$I$15:$I$24)=3,RANK(I17,$I$15:$I$24)&amp;"rd",RANK(I17,$I$15:$I$24)&amp;"th"))),"")</f>
        <v>10th</v>
      </c>
      <c r="K17" s="38" t="str">
        <f>Analysis_156148[[#This Row],[Athletes ]]</f>
        <v>Teixeira</v>
      </c>
      <c r="L17" s="2" t="str">
        <f t="shared" si="1"/>
        <v>10th</v>
      </c>
      <c r="M17" s="90">
        <v>1</v>
      </c>
      <c r="N17" s="90">
        <v>2</v>
      </c>
      <c r="O17" s="90"/>
      <c r="P17" s="90"/>
      <c r="Q17" s="90">
        <v>7</v>
      </c>
      <c r="R17" s="90">
        <v>8</v>
      </c>
    </row>
    <row r="18" spans="1:18" ht="15.95">
      <c r="A18" s="5" t="s">
        <v>208</v>
      </c>
      <c r="B18" s="365" t="s">
        <v>117</v>
      </c>
      <c r="C18" s="14">
        <f>SUM(COUNTIFS(Game_52147[ATHLETE 1],Analysis_156148[[#This Row],[Athletes ]],Game_52147[RESULT 12],"win"),COUNTIFS(Game_52147[ATHLETE 2],Analysis_156148[[#This Row],[Athletes ]],Game_52147[RESULT 12],"win"),COUNTIFS(Game_52147[ATHLETE 3],Analysis_156148[[#This Row],[Athletes ]],Game_52147[RESULT 34],"win"),COUNTIFS(Game_52147[ATHLETE 4],Analysis_156148[[#This Row],[Athletes ]],Game_52147[RESULT 34],"win"))</f>
        <v>4</v>
      </c>
      <c r="D18" s="14">
        <f>SUM(COUNTIFS(Game_52147[ATHLETE 1],Analysis_156148[[#This Row],[Athletes ]],Game_52147[RESULT 12],"lose"),COUNTIFS(Game_52147[ATHLETE 2],Analysis_156148[[#This Row],[Athletes ]],Game_52147[RESULT 12],"lose"),COUNTIFS(Game_52147[ATHLETE 3],Analysis_156148[[#This Row],[Athletes ]],Game_52147[RESULT 34],"lose"),COUNTIFS(Game_52147[ATHLETE 4],Analysis_156148[[#This Row],[Athletes ]],Game_52147[RESULT 34],"lose"))</f>
        <v>0</v>
      </c>
      <c r="E18" s="19">
        <f>SUM(SUMIF(Game_52147[ATHLETE 1],Analysis_156148[[#This Row],[Athletes ]],Game_52147[SALDO 12]),SUMIF(Game_52147[ATHLETE 2],Analysis_156148[[#This Row],[Athletes ]],Game_52147[SALDO 12]),SUMIF(Game_52147[ATHLETE 3],Analysis_156148[[#This Row],[Athletes ]],Game_52147[SALDO 34]),SUMIF(Game_52147[ATHLETE 4],Analysis_156148[[#This Row],[Athletes ]],Game_52147[SALDO 34]))</f>
        <v>24</v>
      </c>
      <c r="F18" s="19">
        <f>SUM(SUMIF(Game_52147[ATHLETE 1],Analysis_156148[[#This Row],[Athletes ]],Game_52147[PM 12]),SUMIF(Game_52147[ATHLETE 2],Analysis_156148[[#This Row],[Athletes ]],Game_52147[PM 12]),SUMIF(Game_52147[ATHLETE 3],Analysis_156148[[#This Row],[Athletes ]],Game_52147[PM 34]),SUMIF(Game_52147[ATHLETE 4],Analysis_156148[[#This Row],[Athletes ]],Game_52147[PM 34]))</f>
        <v>72</v>
      </c>
      <c r="G18" s="14" t="str">
        <f>IF(COUNTBLANK(Game_52147[[SCORE 1]:[SCORE 2]])=0,IF(RANK(H18,$H$15:$H$19)=1,RANK(H18,$H$15:$H$19)&amp;"st",IF(RANK(H18,$H$15:$H$19)=2,RANK(H18,$H$15:$H$19)&amp;"nd",IF(RANK(H18,$H$15:$H$19)=3,RANK(H18,$H$15:$H$19)&amp;"rd",RANK(H18,$H$15:$H$19)&amp;"th"))),"")</f>
        <v>1st</v>
      </c>
      <c r="H18" s="203">
        <f>Analysis_156148[[#This Row],[WIN]]*1000000+Analysis_156148[[#This Row],[Saldo]]*1000+Analysis_156148[[#This Row],[PM]]</f>
        <v>4024072</v>
      </c>
      <c r="I18" s="2">
        <f t="shared" si="0"/>
        <v>4024072</v>
      </c>
      <c r="J18" s="2" t="str">
        <f>IF(COUNTBLANK(Game_52147[[SCORE 1]:[SCORE 2]])=0,IF(RANK(I18,$I$15:$I$24)=1,RANK(I18,$I$15:$I$24)&amp;"st",IF(RANK(I18,$I$15:$I$24)=2,RANK(I18,$I$15:$I$24)&amp;"nd",IF(RANK(I18,$I$15:$I$24)=3,RANK(I18,$I$15:$I$24)&amp;"rd",RANK(I18,$I$15:$I$24)&amp;"th"))),"")</f>
        <v>1st</v>
      </c>
      <c r="K18" s="38" t="str">
        <f>Analysis_156148[[#This Row],[Athletes ]]</f>
        <v>Andrew</v>
      </c>
      <c r="L18" s="2" t="str">
        <f t="shared" si="1"/>
        <v>1st</v>
      </c>
      <c r="M18" s="90"/>
      <c r="N18" s="90"/>
      <c r="O18" s="90"/>
      <c r="P18" s="90"/>
      <c r="Q18" s="90"/>
      <c r="R18" s="90"/>
    </row>
    <row r="19" spans="1:18">
      <c r="A19" s="3" t="s">
        <v>230</v>
      </c>
      <c r="B19" s="365" t="s">
        <v>118</v>
      </c>
      <c r="C19" s="14">
        <f>SUM(COUNTIFS(Game_52147[ATHLETE 1],Analysis_156148[[#This Row],[Athletes ]],Game_52147[RESULT 12],"win"),COUNTIFS(Game_52147[ATHLETE 2],Analysis_156148[[#This Row],[Athletes ]],Game_52147[RESULT 12],"win"),COUNTIFS(Game_52147[ATHLETE 3],Analysis_156148[[#This Row],[Athletes ]],Game_52147[RESULT 34],"win"),COUNTIFS(Game_52147[ATHLETE 4],Analysis_156148[[#This Row],[Athletes ]],Game_52147[RESULT 34],"win"))</f>
        <v>2</v>
      </c>
      <c r="D19" s="14">
        <f>SUM(COUNTIFS(Game_52147[ATHLETE 1],Analysis_156148[[#This Row],[Athletes ]],Game_52147[RESULT 12],"lose"),COUNTIFS(Game_52147[ATHLETE 2],Analysis_156148[[#This Row],[Athletes ]],Game_52147[RESULT 12],"lose"),COUNTIFS(Game_52147[ATHLETE 3],Analysis_156148[[#This Row],[Athletes ]],Game_52147[RESULT 34],"lose"),COUNTIFS(Game_52147[ATHLETE 4],Analysis_156148[[#This Row],[Athletes ]],Game_52147[RESULT 34],"lose"))</f>
        <v>2</v>
      </c>
      <c r="E19" s="19">
        <f>SUM(SUMIF(Game_52147[ATHLETE 1],Analysis_156148[[#This Row],[Athletes ]],Game_52147[SALDO 12]),SUMIF(Game_52147[ATHLETE 2],Analysis_156148[[#This Row],[Athletes ]],Game_52147[SALDO 12]),SUMIF(Game_52147[ATHLETE 3],Analysis_156148[[#This Row],[Athletes ]],Game_52147[SALDO 34]),SUMIF(Game_52147[ATHLETE 4],Analysis_156148[[#This Row],[Athletes ]],Game_52147[SALDO 34]))</f>
        <v>-4</v>
      </c>
      <c r="F19" s="19">
        <f>SUM(SUMIF(Game_52147[ATHLETE 1],Analysis_156148[[#This Row],[Athletes ]],Game_52147[PM 12]),SUMIF(Game_52147[ATHLETE 2],Analysis_156148[[#This Row],[Athletes ]],Game_52147[PM 12]),SUMIF(Game_52147[ATHLETE 3],Analysis_156148[[#This Row],[Athletes ]],Game_52147[PM 34]),SUMIF(Game_52147[ATHLETE 4],Analysis_156148[[#This Row],[Athletes ]],Game_52147[PM 34]))</f>
        <v>56</v>
      </c>
      <c r="G19" s="14" t="str">
        <f>IF(COUNTBLANK(Game_52147[[SCORE 1]:[SCORE 2]])=0,IF(RANK(H19,$H$15:$H$19)=1,RANK(H19,$H$15:$H$19)&amp;"st",IF(RANK(H19,$H$15:$H$19)=2,RANK(H19,$H$15:$H$19)&amp;"nd",IF(RANK(H19,$H$15:$H$19)=3,RANK(H19,$H$15:$H$19)&amp;"rd",RANK(H19,$H$15:$H$19)&amp;"th"))),"")</f>
        <v>3rd</v>
      </c>
      <c r="H19" s="203">
        <f>Analysis_156148[[#This Row],[WIN]]*1000000+Analysis_156148[[#This Row],[Saldo]]*1000+Analysis_156148[[#This Row],[PM]]</f>
        <v>1996056</v>
      </c>
      <c r="I19" s="2">
        <f>H19</f>
        <v>1996056</v>
      </c>
      <c r="J19" s="2" t="str">
        <f>IF(COUNTBLANK(Game_52147[[SCORE 1]:[SCORE 2]])=0,IF(RANK(I19,$I$15:$I$24)=1,RANK(I19,$I$15:$I$24)&amp;"st",IF(RANK(I19,$I$15:$I$24)=2,RANK(I19,$I$15:$I$24)&amp;"nd",IF(RANK(I19,$I$15:$I$24)=3,RANK(I19,$I$15:$I$24)&amp;"rd",RANK(I19,$I$15:$I$24)&amp;"th"))),"")</f>
        <v>6th</v>
      </c>
      <c r="K19" s="38" t="str">
        <f>Analysis_156148[[#This Row],[Athletes ]]</f>
        <v>Raileno</v>
      </c>
      <c r="L19" s="2" t="str">
        <f t="shared" si="1"/>
        <v>6th</v>
      </c>
      <c r="M19" s="418" t="s">
        <v>193</v>
      </c>
      <c r="N19" s="418" t="s">
        <v>194</v>
      </c>
      <c r="O19" s="542" t="s">
        <v>195</v>
      </c>
      <c r="P19" s="543"/>
      <c r="Q19" s="418" t="s">
        <v>196</v>
      </c>
      <c r="R19" s="418" t="s">
        <v>197</v>
      </c>
    </row>
    <row r="20" spans="1:18" ht="28.5" customHeight="1">
      <c r="I20" s="2">
        <f>H22</f>
        <v>3007069</v>
      </c>
      <c r="J20" s="2" t="str">
        <f>IF(COUNTBLANK(Game_52147[[SCORE 1]:[SCORE 2]])=0,IF(RANK(I20,$I$15:$I$24)=1,RANK(I20,$I$15:$I$24)&amp;"st",IF(RANK(I20,$I$15:$I$24)=2,RANK(I20,$I$15:$I$24)&amp;"nd",IF(RANK(I20,$I$15:$I$24)=3,RANK(I20,$I$15:$I$24)&amp;"rd",RANK(I20,$I$15:$I$24)&amp;"th"))),"")</f>
        <v>3rd</v>
      </c>
      <c r="K20" s="38" t="str">
        <f>B22</f>
        <v>Bo Nielsen</v>
      </c>
      <c r="M20" s="147" t="str" cm="1">
        <f t="array" ref="M20">_xlfn.TEXTJOIN(", ", TRUE, _xlfn._xlws.FILTER($K$15:$K$24, $J$15:$J$24=$U$5, ""))</f>
        <v>Bo Nielsen</v>
      </c>
      <c r="N20" s="147" t="str" cm="1">
        <f t="array" ref="N20">_xlfn.TEXTJOIN(", ", TRUE, _xlfn._xlws.FILTER($K$15:$K$24, $J$15:$J$24=$U$6, ""))</f>
        <v>Tiago</v>
      </c>
      <c r="O20" s="119">
        <v>18</v>
      </c>
      <c r="P20" s="119">
        <v>12</v>
      </c>
      <c r="Q20" s="147" t="str" cm="1">
        <f t="array" ref="Q20">_xlfn.TEXTJOIN(", ", TRUE, _xlfn._xlws.FILTER($K$15:$K$24, $J$15:$J$24=$U$7, ""))</f>
        <v>Piu</v>
      </c>
      <c r="R20" s="428" t="str" cm="1">
        <f t="array" ref="R20">_xlfn.TEXTJOIN(", ", TRUE, _xlfn._xlws.FILTER($K$15:$K$24, $J$15:$J$24=$U$8, ""))</f>
        <v>Raileno</v>
      </c>
    </row>
    <row r="21" spans="1:18" ht="15.95">
      <c r="A21" s="6" t="s">
        <v>246</v>
      </c>
      <c r="B21" s="10" t="s">
        <v>261</v>
      </c>
      <c r="C21" s="10" t="s">
        <v>186</v>
      </c>
      <c r="D21" s="10" t="s">
        <v>187</v>
      </c>
      <c r="E21" s="10" t="s">
        <v>188</v>
      </c>
      <c r="F21" s="10" t="s">
        <v>189</v>
      </c>
      <c r="G21" s="7" t="s">
        <v>8</v>
      </c>
      <c r="H21" s="80" t="s">
        <v>190</v>
      </c>
      <c r="I21" s="2">
        <f t="shared" ref="I21:I24" si="2">H23</f>
        <v>996063</v>
      </c>
      <c r="J21" s="2" t="str">
        <f>IF(COUNTBLANK(Game_52147[[SCORE 1]:[SCORE 2]])=0,IF(RANK(I21,$I$15:$I$24)=1,RANK(I21,$I$15:$I$24)&amp;"st",IF(RANK(I21,$I$15:$I$24)=2,RANK(I21,$I$15:$I$24)&amp;"nd",IF(RANK(I21,$I$15:$I$24)=3,RANK(I21,$I$15:$I$24)&amp;"rd",RANK(I21,$I$15:$I$24)&amp;"th"))),"")</f>
        <v>7th</v>
      </c>
      <c r="K21" s="38" t="str">
        <f t="shared" ref="K21:K24" si="3">B23</f>
        <v>Pablo</v>
      </c>
      <c r="L21" s="419" t="s">
        <v>192</v>
      </c>
      <c r="M21" s="127" t="str">
        <f>IF(AND($O$21="lose",$O$16="lose"),$U$9,IF($O$21="lose",$U$7,""))</f>
        <v/>
      </c>
      <c r="N21" s="127" t="str">
        <f>IF(AND($O$21="lose",$O$16="lose"),$U$10,IF($O$21="lose",$U$8,""))</f>
        <v/>
      </c>
      <c r="O21" s="2" t="str">
        <f>IF(OR(O20="",P20=""),"",IF((O20&gt;P20),"WIN","LOSE"))</f>
        <v>WIN</v>
      </c>
      <c r="P21" s="2" t="str">
        <f>IF(OR(O20="",P20=""),"",IF((O20&lt;P20),"WIN","LOSE"))</f>
        <v>LOSE</v>
      </c>
      <c r="Q21" s="127" t="str">
        <f>IF(AND($P$21="lose",$O$16="lose"),$U$9,IF($P$21="lose",$U$7,""))</f>
        <v>5th</v>
      </c>
      <c r="R21" s="127" t="str">
        <f>IF(AND($P$21="lose",$O$16="lose"),$U$10,IF($P$21="lose",$U$8,""))</f>
        <v>6th</v>
      </c>
    </row>
    <row r="22" spans="1:18">
      <c r="A22" s="430" t="s">
        <v>209</v>
      </c>
      <c r="B22" s="365" t="s">
        <v>121</v>
      </c>
      <c r="C22" s="14">
        <f>SUM(COUNTIFS(Game_52147[ATHLETE 1],Analysis_1664149[[#This Row],[Athletes ]],Game_52147[RESULT 12],"win"),COUNTIFS(Game_52147[ATHLETE 2],Analysis_1664149[[#This Row],[Athletes ]],Game_52147[RESULT 12],"win"),COUNTIFS(Game_52147[ATHLETE 3],Analysis_1664149[[#This Row],[Athletes ]],Game_52147[RESULT 34],"win"),COUNTIFS(Game_52147[ATHLETE 4],Analysis_1664149[[#This Row],[Athletes ]],Game_52147[RESULT 34],"win"))</f>
        <v>3</v>
      </c>
      <c r="D22" s="14">
        <f>SUM(COUNTIFS(Game_52147[ATHLETE 1],Analysis_1664149[[#This Row],[Athletes ]],Game_52147[RESULT 12],"lose"),COUNTIFS(Game_52147[ATHLETE 2],Analysis_1664149[[#This Row],[Athletes ]],Game_52147[RESULT 12],"lose"),COUNTIFS(Game_52147[ATHLETE 3],Analysis_1664149[[#This Row],[Athletes ]],Game_52147[RESULT 34],"lose"),COUNTIFS(Game_52147[ATHLETE 4],Analysis_1664149[[#This Row],[Athletes ]],Game_52147[RESULT 34],"lose"))</f>
        <v>1</v>
      </c>
      <c r="E22" s="19">
        <f>SUM(SUMIF(Game_52147[ATHLETE 1],Analysis_1664149[[#This Row],[Athletes ]],Game_52147[SALDO 12]),SUMIF(Game_52147[ATHLETE 2],Analysis_1664149[[#This Row],[Athletes ]],Game_52147[SALDO 12]),SUMIF(Game_52147[ATHLETE 3],Analysis_1664149[[#This Row],[Athletes ]],Game_52147[SALDO 34]),SUMIF(Game_52147[ATHLETE 4],Analysis_1664149[[#This Row],[Athletes ]],Game_52147[SALDO 34]))</f>
        <v>7</v>
      </c>
      <c r="F22" s="19">
        <f>SUM(SUMIF(Game_52147[ATHLETE 1],Analysis_1664149[[#This Row],[Athletes ]],Game_52147[PM 12]),SUMIF(Game_52147[ATHLETE 2],Analysis_1664149[[#This Row],[Athletes ]],Game_52147[PM 12]),SUMIF(Game_52147[ATHLETE 3],Analysis_1664149[[#This Row],[Athletes ]],Game_52147[PM 34]),SUMIF(Game_52147[ATHLETE 4],Analysis_1664149[[#This Row],[Athletes ]],Game_52147[PM 34]))</f>
        <v>69</v>
      </c>
      <c r="G22" s="14" t="str">
        <f>IF(COUNTBLANK(Game_52147[[SCORE 1]:[SCORE 2]])=0,IF(RANK(H22,$H$22:$H$26)=1,RANK(H22,$H$22:$H$26)&amp;"st",IF(RANK(H22,$H$22:$H$26)=2,RANK(H22,$H$22:$H$26)&amp;"nd",IF(RANK(H22,$H$22:$H$26)=3,RANK(H22,$H$22:$H$26)&amp;"rd",RANK(H22,$H$22:$H$26)&amp;"th"))),"")</f>
        <v>2nd</v>
      </c>
      <c r="H22" s="203">
        <f>Analysis_1664149[[#This Row],[WIN]]*1000000+Analysis_1664149[[#This Row],[Saldo]]*1000+Analysis_1664149[[#This Row],[PM]]</f>
        <v>3007069</v>
      </c>
      <c r="I22" s="2">
        <f t="shared" si="2"/>
        <v>3008070</v>
      </c>
      <c r="J22" s="2" t="str">
        <f>IF(COUNTBLANK(Game_52147[[SCORE 1]:[SCORE 2]])=0,IF(RANK(I22,$I$15:$I$24)=1,RANK(I22,$I$15:$I$24)&amp;"st",IF(RANK(I22,$I$15:$I$24)=2,RANK(I22,$I$15:$I$24)&amp;"nd",IF(RANK(I22,$I$15:$I$24)=3,RANK(I22,$I$15:$I$24)&amp;"rd",RANK(I22,$I$15:$I$24)&amp;"th"))),"")</f>
        <v>2nd</v>
      </c>
      <c r="K22" s="38" t="str">
        <f t="shared" si="3"/>
        <v>David</v>
      </c>
      <c r="L22" s="2" t="str">
        <f>J20</f>
        <v>3rd</v>
      </c>
      <c r="M22" s="90">
        <v>3</v>
      </c>
      <c r="N22" s="90">
        <v>4</v>
      </c>
      <c r="O22" s="90"/>
      <c r="P22" s="90"/>
      <c r="Q22" s="90">
        <v>5</v>
      </c>
      <c r="R22" s="90">
        <v>6</v>
      </c>
    </row>
    <row r="23" spans="1:18">
      <c r="A23" s="430" t="s">
        <v>210</v>
      </c>
      <c r="B23" s="365" t="s">
        <v>124</v>
      </c>
      <c r="C23" s="14">
        <f>SUM(COUNTIFS(Game_52147[ATHLETE 1],Analysis_1664149[[#This Row],[Athletes ]],Game_52147[RESULT 12],"win"),COUNTIFS(Game_52147[ATHLETE 2],Analysis_1664149[[#This Row],[Athletes ]],Game_52147[RESULT 12],"win"),COUNTIFS(Game_52147[ATHLETE 3],Analysis_1664149[[#This Row],[Athletes ]],Game_52147[RESULT 34],"win"),COUNTIFS(Game_52147[ATHLETE 4],Analysis_1664149[[#This Row],[Athletes ]],Game_52147[RESULT 34],"win"))</f>
        <v>1</v>
      </c>
      <c r="D23" s="14">
        <f>SUM(COUNTIFS(Game_52147[ATHLETE 1],Analysis_1664149[[#This Row],[Athletes ]],Game_52147[RESULT 12],"lose"),COUNTIFS(Game_52147[ATHLETE 2],Analysis_1664149[[#This Row],[Athletes ]],Game_52147[RESULT 12],"lose"),COUNTIFS(Game_52147[ATHLETE 3],Analysis_1664149[[#This Row],[Athletes ]],Game_52147[RESULT 34],"lose"),COUNTIFS(Game_52147[ATHLETE 4],Analysis_1664149[[#This Row],[Athletes ]],Game_52147[RESULT 34],"lose"))</f>
        <v>3</v>
      </c>
      <c r="E23" s="19">
        <f>SUM(SUMIF(Game_52147[ATHLETE 1],Analysis_1664149[[#This Row],[Athletes ]],Game_52147[SALDO 12]),SUMIF(Game_52147[ATHLETE 2],Analysis_1664149[[#This Row],[Athletes ]],Game_52147[SALDO 12]),SUMIF(Game_52147[ATHLETE 3],Analysis_1664149[[#This Row],[Athletes ]],Game_52147[SALDO 34]),SUMIF(Game_52147[ATHLETE 4],Analysis_1664149[[#This Row],[Athletes ]],Game_52147[SALDO 34]))</f>
        <v>-4</v>
      </c>
      <c r="F23" s="19">
        <f>SUM(SUMIF(Game_52147[ATHLETE 1],Analysis_1664149[[#This Row],[Athletes ]],Game_52147[PM 12]),SUMIF(Game_52147[ATHLETE 2],Analysis_1664149[[#This Row],[Athletes ]],Game_52147[PM 12]),SUMIF(Game_52147[ATHLETE 3],Analysis_1664149[[#This Row],[Athletes ]],Game_52147[PM 34]),SUMIF(Game_52147[ATHLETE 4],Analysis_1664149[[#This Row],[Athletes ]],Game_52147[PM 34]))</f>
        <v>63</v>
      </c>
      <c r="G23" s="14" t="str">
        <f>IF(COUNTBLANK(Game_52147[[SCORE 1]:[SCORE 2]])=0,IF(RANK(H23,$H$22:$H$26)=1,RANK(H23,$H$22:$H$26)&amp;"st",IF(RANK(H23,$H$22:$H$26)=2,RANK(H23,$H$22:$H$26)&amp;"nd",IF(RANK(H23,$H$22:$H$26)=3,RANK(H23,$H$22:$H$26)&amp;"rd",RANK(H23,$H$22:$H$26)&amp;"th"))),"")</f>
        <v>4th</v>
      </c>
      <c r="H23" s="203">
        <f>Analysis_1664149[[#This Row],[WIN]]*1000000+Analysis_1664149[[#This Row],[Saldo]]*1000+Analysis_1664149[[#This Row],[PM]]</f>
        <v>996063</v>
      </c>
      <c r="I23" s="2">
        <f t="shared" si="2"/>
        <v>1996063</v>
      </c>
      <c r="J23" s="2" t="str">
        <f>IF(COUNTBLANK(Game_52147[[SCORE 1]:[SCORE 2]])=0,IF(RANK(I23,$I$15:$I$24)=1,RANK(I23,$I$15:$I$24)&amp;"st",IF(RANK(I23,$I$15:$I$24)=2,RANK(I23,$I$15:$I$24)&amp;"nd",IF(RANK(I23,$I$15:$I$24)=3,RANK(I23,$I$15:$I$24)&amp;"rd",RANK(I23,$I$15:$I$24)&amp;"th"))),"")</f>
        <v>5th</v>
      </c>
      <c r="K23" s="38" t="str">
        <f t="shared" si="3"/>
        <v>Piu</v>
      </c>
      <c r="L23" s="2" t="str">
        <f t="shared" ref="L23:L26" si="4">J21</f>
        <v>7th</v>
      </c>
      <c r="M23" s="90"/>
      <c r="N23" s="90"/>
      <c r="O23" s="90"/>
      <c r="P23" s="90"/>
      <c r="Q23" s="90"/>
      <c r="R23" s="90"/>
    </row>
    <row r="24" spans="1:18" ht="29.1">
      <c r="A24" s="430" t="s">
        <v>211</v>
      </c>
      <c r="B24" s="365" t="s">
        <v>122</v>
      </c>
      <c r="C24" s="14">
        <f>SUM(COUNTIFS(Game_52147[ATHLETE 1],Analysis_1664149[[#This Row],[Athletes ]],Game_52147[RESULT 12],"win"),COUNTIFS(Game_52147[ATHLETE 2],Analysis_1664149[[#This Row],[Athletes ]],Game_52147[RESULT 12],"win"),COUNTIFS(Game_52147[ATHLETE 3],Analysis_1664149[[#This Row],[Athletes ]],Game_52147[RESULT 34],"win"),COUNTIFS(Game_52147[ATHLETE 4],Analysis_1664149[[#This Row],[Athletes ]],Game_52147[RESULT 34],"win"))</f>
        <v>3</v>
      </c>
      <c r="D24" s="14">
        <f>SUM(COUNTIFS(Game_52147[ATHLETE 1],Analysis_1664149[[#This Row],[Athletes ]],Game_52147[RESULT 12],"lose"),COUNTIFS(Game_52147[ATHLETE 2],Analysis_1664149[[#This Row],[Athletes ]],Game_52147[RESULT 12],"lose"),COUNTIFS(Game_52147[ATHLETE 3],Analysis_1664149[[#This Row],[Athletes ]],Game_52147[RESULT 34],"lose"),COUNTIFS(Game_52147[ATHLETE 4],Analysis_1664149[[#This Row],[Athletes ]],Game_52147[RESULT 34],"lose"))</f>
        <v>1</v>
      </c>
      <c r="E24" s="19">
        <f>SUM(SUMIF(Game_52147[ATHLETE 1],Analysis_1664149[[#This Row],[Athletes ]],Game_52147[SALDO 12]),SUMIF(Game_52147[ATHLETE 2],Analysis_1664149[[#This Row],[Athletes ]],Game_52147[SALDO 12]),SUMIF(Game_52147[ATHLETE 3],Analysis_1664149[[#This Row],[Athletes ]],Game_52147[SALDO 34]),SUMIF(Game_52147[ATHLETE 4],Analysis_1664149[[#This Row],[Athletes ]],Game_52147[SALDO 34]))</f>
        <v>8</v>
      </c>
      <c r="F24" s="19">
        <f>SUM(SUMIF(Game_52147[ATHLETE 1],Analysis_1664149[[#This Row],[Athletes ]],Game_52147[PM 12]),SUMIF(Game_52147[ATHLETE 2],Analysis_1664149[[#This Row],[Athletes ]],Game_52147[PM 12]),SUMIF(Game_52147[ATHLETE 3],Analysis_1664149[[#This Row],[Athletes ]],Game_52147[PM 34]),SUMIF(Game_52147[ATHLETE 4],Analysis_1664149[[#This Row],[Athletes ]],Game_52147[PM 34]))</f>
        <v>70</v>
      </c>
      <c r="G24" s="14" t="str">
        <f>IF(COUNTBLANK(Game_52147[[SCORE 1]:[SCORE 2]])=0,IF(RANK(H24,$H$22:$H$26)=1,RANK(H24,$H$22:$H$26)&amp;"st",IF(RANK(H24,$H$22:$H$26)=2,RANK(H24,$H$22:$H$26)&amp;"nd",IF(RANK(H24,$H$22:$H$26)=3,RANK(H24,$H$22:$H$26)&amp;"rd",RANK(H24,$H$22:$H$26)&amp;"th"))),"")</f>
        <v>1st</v>
      </c>
      <c r="H24" s="203">
        <f>Analysis_1664149[[#This Row],[WIN]]*1000000+Analysis_1664149[[#This Row],[Saldo]]*1000+Analysis_1664149[[#This Row],[PM]]</f>
        <v>3008070</v>
      </c>
      <c r="I24" s="2">
        <f t="shared" si="2"/>
        <v>993061</v>
      </c>
      <c r="J24" s="2" t="str">
        <f>IF(COUNTBLANK(Game_52147[[SCORE 1]:[SCORE 2]])=0,IF(RANK(I24,$I$15:$I$24)=1,RANK(I24,$I$15:$I$24)&amp;"st",IF(RANK(I24,$I$15:$I$24)=2,RANK(I24,$I$15:$I$24)&amp;"nd",IF(RANK(I24,$I$15:$I$24)=3,RANK(I24,$I$15:$I$24)&amp;"rd",RANK(I24,$I$15:$I$24)&amp;"th"))),"")</f>
        <v>8th</v>
      </c>
      <c r="K24" s="38" t="str">
        <f t="shared" si="3"/>
        <v>Marco</v>
      </c>
      <c r="L24" s="2" t="str">
        <f t="shared" si="4"/>
        <v>2nd</v>
      </c>
      <c r="M24" s="548" t="s">
        <v>199</v>
      </c>
      <c r="N24" s="549"/>
      <c r="O24" s="549"/>
      <c r="P24" s="549"/>
      <c r="Q24" s="549"/>
      <c r="R24" s="549"/>
    </row>
    <row r="25" spans="1:18">
      <c r="A25" s="430" t="s">
        <v>212</v>
      </c>
      <c r="B25" s="365" t="s">
        <v>119</v>
      </c>
      <c r="C25" s="14">
        <f>SUM(COUNTIFS(Game_52147[ATHLETE 1],Analysis_1664149[[#This Row],[Athletes ]],Game_52147[RESULT 12],"win"),COUNTIFS(Game_52147[ATHLETE 2],Analysis_1664149[[#This Row],[Athletes ]],Game_52147[RESULT 12],"win"),COUNTIFS(Game_52147[ATHLETE 3],Analysis_1664149[[#This Row],[Athletes ]],Game_52147[RESULT 34],"win"),COUNTIFS(Game_52147[ATHLETE 4],Analysis_1664149[[#This Row],[Athletes ]],Game_52147[RESULT 34],"win"))</f>
        <v>2</v>
      </c>
      <c r="D25" s="14">
        <f>SUM(COUNTIFS(Game_52147[ATHLETE 1],Analysis_1664149[[#This Row],[Athletes ]],Game_52147[RESULT 12],"lose"),COUNTIFS(Game_52147[ATHLETE 2],Analysis_1664149[[#This Row],[Athletes ]],Game_52147[RESULT 12],"lose"),COUNTIFS(Game_52147[ATHLETE 3],Analysis_1664149[[#This Row],[Athletes ]],Game_52147[RESULT 34],"lose"),COUNTIFS(Game_52147[ATHLETE 4],Analysis_1664149[[#This Row],[Athletes ]],Game_52147[RESULT 34],"lose"))</f>
        <v>2</v>
      </c>
      <c r="E25" s="19">
        <f>SUM(SUMIF(Game_52147[ATHLETE 1],Analysis_1664149[[#This Row],[Athletes ]],Game_52147[SALDO 12]),SUMIF(Game_52147[ATHLETE 2],Analysis_1664149[[#This Row],[Athletes ]],Game_52147[SALDO 12]),SUMIF(Game_52147[ATHLETE 3],Analysis_1664149[[#This Row],[Athletes ]],Game_52147[SALDO 34]),SUMIF(Game_52147[ATHLETE 4],Analysis_1664149[[#This Row],[Athletes ]],Game_52147[SALDO 34]))</f>
        <v>-4</v>
      </c>
      <c r="F25" s="19">
        <f>SUM(SUMIF(Game_52147[ATHLETE 1],Analysis_1664149[[#This Row],[Athletes ]],Game_52147[PM 12]),SUMIF(Game_52147[ATHLETE 2],Analysis_1664149[[#This Row],[Athletes ]],Game_52147[PM 12]),SUMIF(Game_52147[ATHLETE 3],Analysis_1664149[[#This Row],[Athletes ]],Game_52147[PM 34]),SUMIF(Game_52147[ATHLETE 4],Analysis_1664149[[#This Row],[Athletes ]],Game_52147[PM 34]))</f>
        <v>63</v>
      </c>
      <c r="G25" s="14" t="str">
        <f>IF(COUNTBLANK(Game_52147[[SCORE 1]:[SCORE 2]])=0,IF(RANK(H25,$H$22:$H$26)=1,RANK(H25,$H$22:$H$26)&amp;"st",IF(RANK(H25,$H$22:$H$26)=2,RANK(H25,$H$22:$H$26)&amp;"nd",IF(RANK(H25,$H$22:$H$26)=3,RANK(H25,$H$22:$H$26)&amp;"rd",RANK(H25,$H$22:$H$26)&amp;"th"))),"")</f>
        <v>3rd</v>
      </c>
      <c r="H25" s="203">
        <f>Analysis_1664149[[#This Row],[WIN]]*1000000+Analysis_1664149[[#This Row],[Saldo]]*1000+Analysis_1664149[[#This Row],[PM]]</f>
        <v>1996063</v>
      </c>
      <c r="I25" s="2"/>
      <c r="J25" s="2" t="str">
        <f>IF(COUNTBLANK(Table41013172512475452986841[[SCORE 1]:[SCORE 2]])=0,IF(RANK(I25,$I$14:$I$25)=1,RANK(I25,$I$14:$I$25)&amp;"st",IF(RANK(I25,$I$14:$I$25)=2,RANK(I25,$I$14:$I$25)&amp;"nd",IF(RANK(I25,$I$14:$I$25)=3,RANK(I25,$I$14:$I$25)&amp;"rd",RANK(I25,$I$14:$I$25)&amp;"th"))),"")</f>
        <v/>
      </c>
      <c r="L25" s="2" t="str">
        <f t="shared" si="4"/>
        <v>5th</v>
      </c>
      <c r="M25" s="418" t="s">
        <v>193</v>
      </c>
      <c r="N25" s="418" t="s">
        <v>194</v>
      </c>
      <c r="O25" s="542" t="s">
        <v>195</v>
      </c>
      <c r="P25" s="543"/>
      <c r="Q25" s="418" t="s">
        <v>196</v>
      </c>
      <c r="R25" s="418" t="s">
        <v>197</v>
      </c>
    </row>
    <row r="26" spans="1:18">
      <c r="A26" s="11" t="s">
        <v>231</v>
      </c>
      <c r="B26" s="365" t="s">
        <v>120</v>
      </c>
      <c r="C26" s="14">
        <f>SUM(COUNTIFS(Game_52147[ATHLETE 1],Analysis_1664149[[#This Row],[Athletes ]],Game_52147[RESULT 12],"win"),COUNTIFS(Game_52147[ATHLETE 2],Analysis_1664149[[#This Row],[Athletes ]],Game_52147[RESULT 12],"win"),COUNTIFS(Game_52147[ATHLETE 3],Analysis_1664149[[#This Row],[Athletes ]],Game_52147[RESULT 34],"win"),COUNTIFS(Game_52147[ATHLETE 4],Analysis_1664149[[#This Row],[Athletes ]],Game_52147[RESULT 34],"win"))</f>
        <v>1</v>
      </c>
      <c r="D26" s="14">
        <f>SUM(COUNTIFS(Game_52147[ATHLETE 1],Analysis_1664149[[#This Row],[Athletes ]],Game_52147[RESULT 12],"lose"),COUNTIFS(Game_52147[ATHLETE 2],Analysis_1664149[[#This Row],[Athletes ]],Game_52147[RESULT 12],"lose"),COUNTIFS(Game_52147[ATHLETE 3],Analysis_1664149[[#This Row],[Athletes ]],Game_52147[RESULT 34],"lose"),COUNTIFS(Game_52147[ATHLETE 4],Analysis_1664149[[#This Row],[Athletes ]],Game_52147[RESULT 34],"lose"))</f>
        <v>3</v>
      </c>
      <c r="E26" s="19">
        <f>SUM(SUMIF(Game_52147[ATHLETE 1],Analysis_1664149[[#This Row],[Athletes ]],Game_52147[SALDO 12]),SUMIF(Game_52147[ATHLETE 2],Analysis_1664149[[#This Row],[Athletes ]],Game_52147[SALDO 12]),SUMIF(Game_52147[ATHLETE 3],Analysis_1664149[[#This Row],[Athletes ]],Game_52147[SALDO 34]),SUMIF(Game_52147[ATHLETE 4],Analysis_1664149[[#This Row],[Athletes ]],Game_52147[SALDO 34]))</f>
        <v>-7</v>
      </c>
      <c r="F26" s="19">
        <f>SUM(SUMIF(Game_52147[ATHLETE 1],Analysis_1664149[[#This Row],[Athletes ]],Game_52147[PM 12]),SUMIF(Game_52147[ATHLETE 2],Analysis_1664149[[#This Row],[Athletes ]],Game_52147[PM 12]),SUMIF(Game_52147[ATHLETE 3],Analysis_1664149[[#This Row],[Athletes ]],Game_52147[PM 34]),SUMIF(Game_52147[ATHLETE 4],Analysis_1664149[[#This Row],[Athletes ]],Game_52147[PM 34]))</f>
        <v>61</v>
      </c>
      <c r="G26" s="14" t="str">
        <f>IF(COUNTBLANK(Game_52147[[SCORE 1]:[SCORE 2]])=0,IF(RANK(H26,$H$22:$H$26)=1,RANK(H26,$H$22:$H$26)&amp;"st",IF(RANK(H26,$H$22:$H$26)=2,RANK(H26,$H$22:$H$26)&amp;"nd",IF(RANK(H26,$H$22:$H$26)=3,RANK(H26,$H$22:$H$26)&amp;"rd",RANK(H26,$H$22:$H$26)&amp;"th"))),"")</f>
        <v>5th</v>
      </c>
      <c r="H26" s="203">
        <f>Analysis_1664149[[#This Row],[WIN]]*1000000+Analysis_1664149[[#This Row],[Saldo]]*1000+Analysis_1664149[[#This Row],[PM]]</f>
        <v>993061</v>
      </c>
      <c r="I26" s="2"/>
      <c r="J26" s="2" t="str">
        <f>IF(COUNTBLANK(Table41013172512475452986841[[SCORE 1]:[SCORE 2]])=0,IF(RANK(I26,$I$14:$I$25)=1,RANK(I26,$I$14:$I$25)&amp;"st",IF(RANK(I26,$I$14:$I$25)=2,RANK(I26,$I$14:$I$25)&amp;"nd",IF(RANK(I26,$I$14:$I$25)=3,RANK(I26,$I$14:$I$25)&amp;"rd",RANK(I26,$I$14:$I$25)&amp;"th"))),"")</f>
        <v/>
      </c>
      <c r="L26" s="2" t="str">
        <f t="shared" si="4"/>
        <v>8th</v>
      </c>
      <c r="M26" s="431" t="str">
        <f>IF(COUNTBLANK($O$15:$P$15),"",IF($O$16="lose",$Q$15,$M$15))</f>
        <v>Andrew</v>
      </c>
      <c r="N26" s="431" t="str">
        <f>IF(COUNTBLANK($O$15:$P$15),"",IF($O$16="lose",$R$15,$N$15))</f>
        <v>David</v>
      </c>
      <c r="O26" s="119">
        <v>18</v>
      </c>
      <c r="P26" s="120">
        <v>0</v>
      </c>
      <c r="Q26" s="431" t="str">
        <f>IF(COUNTBLANK($O$20:$P$20),"",IF($O$21="lose",$Q$20,$M$20))</f>
        <v>Bo Nielsen</v>
      </c>
      <c r="R26" s="431" t="str">
        <f>IF(COUNTBLANK($O$20:$P$20),"",IF($O$21="lose",$R$20,$N$20))</f>
        <v>Tiago</v>
      </c>
    </row>
    <row r="27" spans="1:18" ht="15.95" thickBot="1">
      <c r="I27" s="2"/>
      <c r="J27" s="2"/>
      <c r="K27" s="2"/>
      <c r="M27" s="62" t="str">
        <f>IF($O$27="lose",$U$5,"")</f>
        <v/>
      </c>
      <c r="N27" s="62" t="str">
        <f>IF($O$27="lose",$U$6,"")</f>
        <v/>
      </c>
      <c r="O27" s="2" t="str">
        <f>IF(OR(O26="",P26=""),"",IF((O26&gt;P26),"WIN","LOSE"))</f>
        <v>WIN</v>
      </c>
      <c r="P27" s="2" t="str">
        <f>IF(OR(O26="",P26=""),"",IF((O26&lt;P26),"WIN","LOSE"))</f>
        <v>LOSE</v>
      </c>
      <c r="Q27" s="62" t="str">
        <f>IF($P$27="lose",$U$5,"")</f>
        <v>3rd</v>
      </c>
      <c r="R27" s="62" t="str">
        <f>IF($P$27="lose",$U$6,"")</f>
        <v>4th</v>
      </c>
    </row>
    <row r="28" spans="1:18" ht="15.95" thickBot="1">
      <c r="A28" s="124">
        <v>45862</v>
      </c>
      <c r="B28" s="44" t="s">
        <v>256</v>
      </c>
      <c r="I28" s="2"/>
      <c r="J28" s="2"/>
      <c r="K28" s="2"/>
      <c r="M28" s="61">
        <f>IF(M26="","",_xlfn.XLOOKUP(M26,$K$14:$K$25,$I$14:$I$25))</f>
        <v>4024072</v>
      </c>
      <c r="N28" s="61">
        <f>IF(N26="","",_xlfn.XLOOKUP(N26,$K$14:$K$25,$I$14:$I$25))</f>
        <v>3008070</v>
      </c>
      <c r="Q28" s="61">
        <f>IF(Q26="","",_xlfn.XLOOKUP(Q26,$K$14:$K$25,$I$14:$I$25))</f>
        <v>3007069</v>
      </c>
      <c r="R28" s="61">
        <f>IF(R26="","",_xlfn.XLOOKUP(R26,$K$14:$K$25,$I$14:$I$25))</f>
        <v>2010064</v>
      </c>
    </row>
    <row r="29" spans="1:18">
      <c r="I29" s="2"/>
      <c r="J29" s="2"/>
      <c r="K29" s="2"/>
    </row>
    <row r="30" spans="1:18">
      <c r="I30" s="2"/>
      <c r="J30" s="2"/>
      <c r="K30" s="2"/>
    </row>
    <row r="31" spans="1:18" ht="29.1">
      <c r="M31" s="548" t="s">
        <v>200</v>
      </c>
      <c r="N31" s="549"/>
      <c r="O31" s="549"/>
      <c r="P31" s="549"/>
      <c r="Q31" s="549"/>
      <c r="R31" s="549"/>
    </row>
    <row r="32" spans="1:18">
      <c r="M32" s="418" t="s">
        <v>193</v>
      </c>
      <c r="N32" s="418" t="s">
        <v>194</v>
      </c>
      <c r="O32" s="542" t="s">
        <v>195</v>
      </c>
      <c r="P32" s="543"/>
      <c r="Q32" s="418" t="s">
        <v>196</v>
      </c>
      <c r="R32" s="418" t="s">
        <v>197</v>
      </c>
    </row>
    <row r="33" spans="13:18">
      <c r="M33" s="432" t="str">
        <f>IF(OR($O$26="",$P$26=""),"",IF($O$27="WIN",$M$26,$Q$26))</f>
        <v>Andrew</v>
      </c>
      <c r="N33" s="121"/>
      <c r="O33" s="119">
        <v>18</v>
      </c>
      <c r="P33" s="119">
        <v>0</v>
      </c>
      <c r="Q33" s="432" t="str">
        <f>IF(OR($O$26="",$P$26=""),"",IF($O$27="WIN",$N$26,$R$26))</f>
        <v>David</v>
      </c>
      <c r="R33" s="122"/>
    </row>
    <row r="34" spans="13:18">
      <c r="M34" s="18" t="str">
        <f>IF(OR($O$34="",$P$34=""),"",IF($O$34="win",$U$3,$U$4))</f>
        <v>1st</v>
      </c>
      <c r="O34" s="2" t="str">
        <f>IF(OR(O33="",P33=""),"",IF((O33&gt;P33),"WIN","LOSE"))</f>
        <v>WIN</v>
      </c>
      <c r="P34" s="2" t="str">
        <f>IF(OR(O33="",P33=""),"",IF((O33&lt;P33),"WIN","LOSE"))</f>
        <v>LOSE</v>
      </c>
      <c r="Q34" s="18" t="str">
        <f>IF(OR($O$34="",$P$34=""),"",IF($P$34="win",$U$3,$U$4))</f>
        <v>2nd</v>
      </c>
    </row>
  </sheetData>
  <sheetProtection algorithmName="SHA-512" hashValue="bNlmw8OpbSEGOH1ogls/lpNG/pSr4tdEWP71alkKDsaqIh6NZ4190DaF/tIgjvDrNYKjjcRz3zZ4f8NQ3VWCPw==" saltValue="46Ns8zXRq4agTlG3tf2qUw==" spinCount="100000" sheet="1" objects="1" scenarios="1"/>
  <mergeCells count="10">
    <mergeCell ref="M24:R24"/>
    <mergeCell ref="O25:P25"/>
    <mergeCell ref="M31:R31"/>
    <mergeCell ref="O32:P32"/>
    <mergeCell ref="A1:A11"/>
    <mergeCell ref="T1:U1"/>
    <mergeCell ref="A13:G13"/>
    <mergeCell ref="M13:R13"/>
    <mergeCell ref="O14:P14"/>
    <mergeCell ref="O19:P19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DDFF-8266-4E49-A03D-20EEAF1144C7}">
  <sheetPr codeName="Sheet12"/>
  <dimension ref="A1:X21"/>
  <sheetViews>
    <sheetView workbookViewId="0">
      <selection sqref="A1:I13"/>
    </sheetView>
    <sheetView workbookViewId="1">
      <selection sqref="A1:A5"/>
    </sheetView>
  </sheetViews>
  <sheetFormatPr defaultColWidth="8.85546875" defaultRowHeight="15"/>
  <cols>
    <col min="1" max="1" width="10.7109375" style="44" customWidth="1"/>
    <col min="2" max="4" width="20" style="44" customWidth="1"/>
    <col min="5" max="6" width="10.7109375" style="44" customWidth="1"/>
    <col min="7" max="7" width="20" style="44" customWidth="1"/>
    <col min="8" max="8" width="11.28515625" style="44" hidden="1" customWidth="1"/>
    <col min="9" max="9" width="12" style="44" hidden="1" customWidth="1"/>
    <col min="10" max="10" width="10.85546875" style="44" hidden="1" customWidth="1"/>
    <col min="11" max="11" width="8" style="44" hidden="1" customWidth="1"/>
    <col min="12" max="12" width="20" style="44" customWidth="1"/>
    <col min="13" max="13" width="13.42578125" style="44" bestFit="1" customWidth="1"/>
    <col min="14" max="14" width="20" style="44" customWidth="1"/>
    <col min="15" max="16" width="10.7109375" style="44" customWidth="1"/>
    <col min="17" max="17" width="20" style="44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>
      <c r="A1" s="550" t="s">
        <v>269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270</v>
      </c>
      <c r="U1" s="545"/>
      <c r="W1" s="44" t="s">
        <v>205</v>
      </c>
      <c r="X1" s="44">
        <f>COUNTIF(Games_130[[ATHLETE 1]:[ATHLETE 4]],W1)</f>
        <v>0</v>
      </c>
    </row>
    <row r="2" spans="1:24" ht="15" customHeight="1">
      <c r="A2" s="554"/>
      <c r="B2" s="430" t="s">
        <v>178</v>
      </c>
      <c r="C2" s="2" t="str">
        <f>$B$11</f>
        <v>Bruno Conterville</v>
      </c>
      <c r="D2" s="38" t="str">
        <f>B9</f>
        <v>Luciana Costa</v>
      </c>
      <c r="E2" s="100">
        <v>18</v>
      </c>
      <c r="F2" s="101">
        <v>10</v>
      </c>
      <c r="G2" s="41" t="str">
        <f>$B$15</f>
        <v>Pedro Itajaí</v>
      </c>
      <c r="H2" s="41"/>
      <c r="I2" s="41"/>
      <c r="J2" s="41"/>
      <c r="K2" s="41"/>
      <c r="L2" s="2" t="str">
        <f>B13</f>
        <v>Talia</v>
      </c>
      <c r="M2" s="430">
        <f>IF(OR(Games_130[[#This Row],[SCORE 1]]="",Games_130[[#This Row],[SCORE 2]]=""),"",Games_130[[#This Row],[SCORE 1]]-Games_130[[#This Row],[SCORE 2]])</f>
        <v>8</v>
      </c>
      <c r="N2" s="430">
        <f>IF(OR(Games_130[[#This Row],[SCORE 1]]="",Games_130[[#This Row],[SCORE 2]]=""),"",Games_130[[#This Row],[SCORE 2]]-Games_130[[#This Row],[SCORE 1]])</f>
        <v>-8</v>
      </c>
      <c r="O2" s="430">
        <f>IF(Games_130[[#This Row],[SCORE 1]]="","",Games_130[[#This Row],[SCORE 1]])</f>
        <v>18</v>
      </c>
      <c r="P2" s="430">
        <f>IF(Games_130[[#This Row],[SCORE 2]]="","",Games_130[[#This Row],[SCORE 2]])</f>
        <v>10</v>
      </c>
      <c r="Q2" s="430" t="str">
        <f>IF(OR(Games_130[[#This Row],[SCORE 1]]="",Games_130[[#This Row],[SCORE 2]]=""),"",IF(Games_130[[#This Row],[SALDO 12]]&gt;0, "WIN","LOSE"))</f>
        <v>WIN</v>
      </c>
      <c r="R2" s="430" t="str">
        <f>IF(OR(Games_130[[#This Row],[SCORE 2]]="",Games_130[[#This Row],[SCORE 1]]=""),"",IF(Games_130[[#This Row],[SALDO 34]]&gt;0, "WIN","LOSE"))</f>
        <v>LOSE</v>
      </c>
      <c r="T2" s="35" t="s">
        <v>179</v>
      </c>
      <c r="U2" s="35" t="s">
        <v>8</v>
      </c>
      <c r="W2" s="44" t="s">
        <v>206</v>
      </c>
      <c r="X2" s="44">
        <f>COUNTIF(Games_130[[ATHLETE 1]:[ATHLETE 4]],W2)</f>
        <v>0</v>
      </c>
    </row>
    <row r="3" spans="1:24">
      <c r="A3" s="554"/>
      <c r="B3" s="430" t="s">
        <v>178</v>
      </c>
      <c r="C3" s="2" t="str">
        <f>$B$11</f>
        <v>Bruno Conterville</v>
      </c>
      <c r="D3" s="38" t="str">
        <f>B10</f>
        <v>Fabiola</v>
      </c>
      <c r="E3" s="100">
        <v>7</v>
      </c>
      <c r="F3" s="101">
        <v>18</v>
      </c>
      <c r="G3" s="41" t="str">
        <f t="shared" ref="G3:G5" si="0">$B$15</f>
        <v>Pedro Itajaí</v>
      </c>
      <c r="H3" s="41"/>
      <c r="I3" s="41"/>
      <c r="J3" s="41"/>
      <c r="K3" s="41"/>
      <c r="L3" s="2" t="str">
        <f>B14</f>
        <v>Melissa</v>
      </c>
      <c r="M3" s="430">
        <f>IF(OR(Games_130[[#This Row],[SCORE 1]]="",Games_130[[#This Row],[SCORE 2]]=""),"",Games_130[[#This Row],[SCORE 1]]-Games_130[[#This Row],[SCORE 2]])</f>
        <v>-11</v>
      </c>
      <c r="N3" s="430">
        <f>IF(OR(Games_130[[#This Row],[SCORE 1]]="",Games_130[[#This Row],[SCORE 2]]=""),"",Games_130[[#This Row],[SCORE 2]]-Games_130[[#This Row],[SCORE 1]])</f>
        <v>11</v>
      </c>
      <c r="O3" s="430">
        <f>IF(Games_130[[#This Row],[SCORE 1]]="","",Games_130[[#This Row],[SCORE 1]])</f>
        <v>7</v>
      </c>
      <c r="P3" s="430">
        <f>IF(Games_130[[#This Row],[SCORE 2]]="","",Games_130[[#This Row],[SCORE 2]])</f>
        <v>18</v>
      </c>
      <c r="Q3" s="430" t="str">
        <f>IF(OR(Games_130[[#This Row],[SCORE 1]]="",Games_130[[#This Row],[SCORE 2]]=""),"",IF(Games_130[[#This Row],[SALDO 12]]&gt;0, "WIN","LOSE"))</f>
        <v>LOSE</v>
      </c>
      <c r="R3" s="430" t="str">
        <f>IF(OR(Games_130[[#This Row],[SCORE 2]]="",Games_130[[#This Row],[SCORE 1]]=""),"",IF(Games_130[[#This Row],[SALDO 34]]&gt;0, "WIN","LOSE"))</f>
        <v>WIN</v>
      </c>
      <c r="T3" s="2" t="str">
        <f>_xlfn.XLOOKUP(Table157223544789133532[[#This Row],[Rank]],$M$15:$R$15,$M$14:$R$14,"")</f>
        <v>Talia</v>
      </c>
      <c r="U3" s="2" t="s">
        <v>19</v>
      </c>
      <c r="W3" s="44" t="str">
        <f>B13</f>
        <v>Talia</v>
      </c>
      <c r="X3" s="44">
        <f>COUNTIF(Games_130[[ATHLETE 1]:[ATHLETE 4]],W3)</f>
        <v>2</v>
      </c>
    </row>
    <row r="4" spans="1:24">
      <c r="A4" s="554"/>
      <c r="B4" s="430" t="s">
        <v>178</v>
      </c>
      <c r="C4" s="2" t="str">
        <f>$B$11</f>
        <v>Bruno Conterville</v>
      </c>
      <c r="D4" s="38" t="str">
        <f>B9</f>
        <v>Luciana Costa</v>
      </c>
      <c r="E4" s="100">
        <v>14</v>
      </c>
      <c r="F4" s="101">
        <v>18</v>
      </c>
      <c r="G4" s="41" t="str">
        <f t="shared" si="0"/>
        <v>Pedro Itajaí</v>
      </c>
      <c r="H4" s="41"/>
      <c r="I4" s="41"/>
      <c r="J4" s="41"/>
      <c r="K4" s="41"/>
      <c r="L4" s="2" t="str">
        <f>B14</f>
        <v>Melissa</v>
      </c>
      <c r="M4" s="430">
        <f>IF(OR(Games_130[[#This Row],[SCORE 1]]="",Games_130[[#This Row],[SCORE 2]]=""),"",Games_130[[#This Row],[SCORE 1]]-Games_130[[#This Row],[SCORE 2]])</f>
        <v>-4</v>
      </c>
      <c r="N4" s="430">
        <f>IF(OR(Games_130[[#This Row],[SCORE 1]]="",Games_130[[#This Row],[SCORE 2]]=""),"",Games_130[[#This Row],[SCORE 2]]-Games_130[[#This Row],[SCORE 1]])</f>
        <v>4</v>
      </c>
      <c r="O4" s="430">
        <f>IF(Games_130[[#This Row],[SCORE 1]]="","",Games_130[[#This Row],[SCORE 1]])</f>
        <v>14</v>
      </c>
      <c r="P4" s="430">
        <f>IF(Games_130[[#This Row],[SCORE 2]]="","",Games_130[[#This Row],[SCORE 2]])</f>
        <v>18</v>
      </c>
      <c r="Q4" s="430" t="str">
        <f>IF(OR(Games_130[[#This Row],[SCORE 1]]="",Games_130[[#This Row],[SCORE 2]]=""),"",IF(Games_130[[#This Row],[SALDO 12]]&gt;0, "WIN","LOSE"))</f>
        <v>LOSE</v>
      </c>
      <c r="R4" s="430" t="str">
        <f>IF(OR(Games_130[[#This Row],[SCORE 2]]="",Games_130[[#This Row],[SCORE 1]]=""),"",IF(Games_130[[#This Row],[SALDO 34]]&gt;0, "WIN","LOSE"))</f>
        <v>WIN</v>
      </c>
      <c r="T4" s="2" t="str">
        <f>_xlfn.XLOOKUP(Table157223544789133532[[#This Row],[Rank]],$M$15:$R$15,$M$14:$R$14,"")</f>
        <v>Melissa</v>
      </c>
      <c r="U4" s="2" t="s">
        <v>22</v>
      </c>
      <c r="W4" s="44" t="str">
        <f>B14</f>
        <v>Melissa</v>
      </c>
      <c r="X4" s="44">
        <f>COUNTIF(Games_130[[ATHLETE 1]:[ATHLETE 4]],W4)</f>
        <v>2</v>
      </c>
    </row>
    <row r="5" spans="1:24">
      <c r="A5" s="554"/>
      <c r="B5" s="430" t="s">
        <v>178</v>
      </c>
      <c r="C5" s="2" t="str">
        <f>$B$11</f>
        <v>Bruno Conterville</v>
      </c>
      <c r="D5" s="38" t="str">
        <f>B10</f>
        <v>Fabiola</v>
      </c>
      <c r="E5" s="100">
        <v>3</v>
      </c>
      <c r="F5" s="101">
        <v>18</v>
      </c>
      <c r="G5" s="41" t="str">
        <f t="shared" si="0"/>
        <v>Pedro Itajaí</v>
      </c>
      <c r="H5" s="41"/>
      <c r="I5" s="41"/>
      <c r="J5" s="41"/>
      <c r="K5" s="41"/>
      <c r="L5" s="2" t="str">
        <f>B13</f>
        <v>Talia</v>
      </c>
      <c r="M5" s="11">
        <f>IF(OR(Games_130[[#This Row],[SCORE 1]]="",Games_130[[#This Row],[SCORE 2]]=""),"",Games_130[[#This Row],[SCORE 1]]-Games_130[[#This Row],[SCORE 2]])</f>
        <v>-15</v>
      </c>
      <c r="N5" s="430">
        <f>IF(OR(Games_130[[#This Row],[SCORE 1]]="",Games_130[[#This Row],[SCORE 2]]=""),"",Games_130[[#This Row],[SCORE 2]]-Games_130[[#This Row],[SCORE 1]])</f>
        <v>15</v>
      </c>
      <c r="O5" s="430">
        <f>IF(Games_130[[#This Row],[SCORE 1]]="","",Games_130[[#This Row],[SCORE 1]])</f>
        <v>3</v>
      </c>
      <c r="P5" s="430">
        <f>IF(Games_130[[#This Row],[SCORE 2]]="","",Games_130[[#This Row],[SCORE 2]])</f>
        <v>18</v>
      </c>
      <c r="Q5" s="430" t="str">
        <f>IF(OR(Games_130[[#This Row],[SCORE 1]]="",Games_130[[#This Row],[SCORE 2]]=""),"",IF(Games_130[[#This Row],[SALDO 12]]&gt;0, "WIN","LOSE"))</f>
        <v>LOSE</v>
      </c>
      <c r="R5" s="430" t="str">
        <f>IF(OR(Games_130[[#This Row],[SCORE 2]]="",Games_130[[#This Row],[SCORE 1]]=""),"",IF(Games_130[[#This Row],[SALDO 34]]&gt;0, "WIN","LOSE"))</f>
        <v>WIN</v>
      </c>
      <c r="T5" s="2" t="str">
        <f>_xlfn.XLOOKUP(Table157223544789133532[[#This Row],[Rank]],$M$10:$R$10,$M$9:$R$9,"")</f>
        <v>Fabiola</v>
      </c>
      <c r="U5" s="2" t="s">
        <v>25</v>
      </c>
    </row>
    <row r="6" spans="1:24" ht="30" customHeight="1">
      <c r="T6" s="2" t="str">
        <f>_xlfn.XLOOKUP(Table157223544789133532[[#This Row],[Rank]],$M$10:$R$10,$M$9:$R$9,"")</f>
        <v>Luciana Costa</v>
      </c>
      <c r="U6" s="2" t="s">
        <v>28</v>
      </c>
    </row>
    <row r="7" spans="1:24" ht="30" customHeight="1">
      <c r="A7" s="546" t="s">
        <v>271</v>
      </c>
      <c r="B7" s="547"/>
      <c r="C7" s="547"/>
      <c r="D7" s="547"/>
      <c r="E7" s="547"/>
      <c r="F7" s="547"/>
      <c r="G7" s="547"/>
      <c r="H7" s="420"/>
      <c r="I7" s="420"/>
      <c r="J7" s="420"/>
      <c r="K7" s="420"/>
      <c r="M7" s="555" t="s">
        <v>272</v>
      </c>
      <c r="N7" s="549"/>
      <c r="O7" s="549"/>
      <c r="P7" s="549"/>
      <c r="Q7" s="549"/>
      <c r="R7" s="549"/>
    </row>
    <row r="8" spans="1:24" ht="15.95">
      <c r="A8" s="6" t="s">
        <v>246</v>
      </c>
      <c r="B8" s="43" t="s">
        <v>185</v>
      </c>
      <c r="C8" s="43" t="s">
        <v>186</v>
      </c>
      <c r="D8" s="43" t="s">
        <v>187</v>
      </c>
      <c r="E8" s="43" t="s">
        <v>188</v>
      </c>
      <c r="F8" s="43" t="s">
        <v>189</v>
      </c>
      <c r="G8" s="43" t="s">
        <v>8</v>
      </c>
      <c r="H8" s="425" t="s">
        <v>204</v>
      </c>
      <c r="I8" s="425" t="s">
        <v>191</v>
      </c>
      <c r="J8" s="425" t="s">
        <v>192</v>
      </c>
      <c r="K8" s="425" t="s">
        <v>1</v>
      </c>
      <c r="M8" s="424" t="s">
        <v>193</v>
      </c>
      <c r="N8" s="424" t="s">
        <v>194</v>
      </c>
      <c r="O8" s="552" t="s">
        <v>195</v>
      </c>
      <c r="P8" s="553"/>
      <c r="Q8" s="424" t="s">
        <v>196</v>
      </c>
      <c r="R8" s="424" t="s">
        <v>197</v>
      </c>
    </row>
    <row r="9" spans="1:24">
      <c r="A9" s="3" t="s">
        <v>205</v>
      </c>
      <c r="B9" s="102" t="s">
        <v>140</v>
      </c>
      <c r="C9" s="14">
        <f>SUM(COUNTIF($Q$2,Analysis_131[[#Headers],[WIN]]),COUNTIF($Q$4,Analysis_131[[#Headers],[WIN]]))</f>
        <v>1</v>
      </c>
      <c r="D9" s="14">
        <f>SUM(COUNTIF($Q$2,Analysis_131[[#Headers],[LOSE]]),COUNTIF($Q$4,Analysis_131[[#Headers],[LOSE]]))</f>
        <v>1</v>
      </c>
      <c r="E9" s="46">
        <f>SUM($M$2,$M$4)</f>
        <v>4</v>
      </c>
      <c r="F9" s="46">
        <f>SUM($O$2,$O$4)</f>
        <v>32</v>
      </c>
      <c r="G9" s="427" t="str">
        <f>IF(COUNTBLANK(Games_130[[SCORE 1]:[SCORE 2]])=0,IF(RANK(H9,$H$9:$H$12)=1,RANK(H9,$H$9:$H$12)&amp;"st",IF(RANK(H9,$H$9:$H$12)=2,RANK(H9,$H$9:$H$12)&amp;"nd",IF(RANK(H9,$H$9:$H$12)=3,RANK(H9,$H$9:$H$12)&amp;"rd",RANK(H9,$H$9:$H$12)&amp;"th"))),"")</f>
        <v>3rd</v>
      </c>
      <c r="H9" s="51">
        <f>Analysis_131[[#This Row],[WIN]]*1000000+Analysis_131[[#This Row],[Saldo]]*1000+Analysis_131[[#This Row],[PM]]</f>
        <v>1004032</v>
      </c>
      <c r="I9" s="51">
        <f>H9</f>
        <v>1004032</v>
      </c>
      <c r="J9" s="51" t="str">
        <f>IF(RANK(I9,$I$9:$I$12)=1,RANK(I9,$I$9:$I$12)&amp;"st",IF(RANK(I9,$I$9:$I$12)=2,RANK(I9,$I$9:$I$12)&amp;"nd",RANK(I9,$I$9:$I$12)&amp;"th"))</f>
        <v>3th</v>
      </c>
      <c r="K9" s="51" t="str">
        <f>Analysis_131[[#This Row],[Atheletes ]]</f>
        <v>Luciana Costa</v>
      </c>
      <c r="M9" s="107" t="str">
        <f>B15</f>
        <v>Pedro Itajaí</v>
      </c>
      <c r="N9" s="105" t="str">
        <f>B10</f>
        <v>Fabiola</v>
      </c>
      <c r="O9" s="99">
        <v>18</v>
      </c>
      <c r="P9" s="98">
        <v>0</v>
      </c>
      <c r="Q9" s="106" t="str">
        <f>Analysis_131[[#This Row],[Atheletes ]]</f>
        <v>Luciana Costa</v>
      </c>
      <c r="R9" s="108" t="str">
        <f>B11</f>
        <v>Bruno Conterville</v>
      </c>
    </row>
    <row r="10" spans="1:24">
      <c r="A10" s="3" t="s">
        <v>206</v>
      </c>
      <c r="B10" s="102" t="s">
        <v>136</v>
      </c>
      <c r="C10" s="14">
        <f>SUM(COUNTIF($Q$3,Analysis_131[[#Headers],[WIN]]),COUNTIF($Q$5,Analysis_131[[#Headers],[WIN]]))</f>
        <v>0</v>
      </c>
      <c r="D10" s="14">
        <f>SUM(COUNTIF($Q$3,Analysis_131[[#Headers],[LOSE]]),COUNTIF($Q$5,Analysis_131[[#Headers],[LOSE]]))</f>
        <v>2</v>
      </c>
      <c r="E10" s="46">
        <f>SUM($M$3,$M$5)</f>
        <v>-26</v>
      </c>
      <c r="F10" s="46">
        <f>SUM($O$3,$O$5)</f>
        <v>10</v>
      </c>
      <c r="G10" s="427" t="str">
        <f>IF(COUNTBLANK(Games_130[[SCORE 1]:[SCORE 2]])=0,IF(RANK(H10,$H$9:$H$12)=1,RANK(H10,$H$9:$H$12)&amp;"st",IF(RANK(H10,$H$9:$H$12)=2,RANK(H10,$H$9:$H$12)&amp;"nd",IF(RANK(H10,$H$9:$H$12)=3,RANK(H10,$H$9:$H$12)&amp;"rd",RANK(H10,$H$9:$H$12)&amp;"th"))),"")</f>
        <v>4th</v>
      </c>
      <c r="H10" s="51">
        <f>Analysis_131[[#This Row],[WIN]]*1000000+Analysis_131[[#This Row],[Saldo]]*1000+Analysis_131[[#This Row],[PM]]</f>
        <v>-25990</v>
      </c>
      <c r="I10" s="51">
        <f t="shared" ref="I10:I12" si="1">H10</f>
        <v>-25990</v>
      </c>
      <c r="J10" s="51" t="str">
        <f>IF(RANK(I10,$I$9:$I$12)=1,RANK(I10,$I$9:$I$12)&amp;"st",IF(RANK(I10,$I$9:$I$12)=2,RANK(I10,$I$9:$I$12)&amp;"nd",RANK(I10,$I$9:$I$12)&amp;"th"))</f>
        <v>4th</v>
      </c>
      <c r="K10" s="51" t="str">
        <f>Analysis_131[[#This Row],[Atheletes ]]</f>
        <v>Fabiola</v>
      </c>
      <c r="N10" s="50" t="str">
        <f>IF(OR($O$9="",$P$9=""),"",IF($O$10="win",$U$5,$U$6))</f>
        <v>3rd</v>
      </c>
      <c r="O10" s="2" t="str">
        <f>IF(OR(O9="",P9=""),"",IF((O9&gt;P9),"WIN","LOSE"))</f>
        <v>WIN</v>
      </c>
      <c r="P10" s="2" t="str">
        <f>IF(OR(O9="",P9=""),"",IF((O9&lt;P9),"WIN","LOSE"))</f>
        <v>LOSE</v>
      </c>
      <c r="Q10" s="50" t="str">
        <f>IF(OR($O$9="",$P$9=""),"",IF($P$10="win",$U$5,$U$6))</f>
        <v>4th</v>
      </c>
      <c r="S10" s="47"/>
    </row>
    <row r="11" spans="1:24" ht="15.95">
      <c r="A11" s="5" t="s">
        <v>247</v>
      </c>
      <c r="B11" s="102" t="s">
        <v>273</v>
      </c>
      <c r="C11" s="14" t="s">
        <v>249</v>
      </c>
      <c r="D11" s="14" t="s">
        <v>249</v>
      </c>
      <c r="E11" s="46" t="s">
        <v>249</v>
      </c>
      <c r="F11" s="46" t="s">
        <v>249</v>
      </c>
      <c r="G11" s="427" t="s">
        <v>249</v>
      </c>
      <c r="H11" s="51">
        <f>C13*1000000+E13*1000+F13</f>
        <v>1007028</v>
      </c>
      <c r="I11" s="51">
        <f t="shared" si="1"/>
        <v>1007028</v>
      </c>
      <c r="J11" s="51" t="str">
        <f>IF(RANK(I11,$I$9:$I$12)=1,RANK(I11,$I$9:$I$12)&amp;"st",IF(RANK(I11,$I$9:$I$12)=2,RANK(I11,$I$9:$I$12)&amp;"nd",RANK(I11,$I$9:$I$12)&amp;"th"))</f>
        <v>2nd</v>
      </c>
      <c r="K11" s="51" t="str">
        <f>B13</f>
        <v>Talia</v>
      </c>
    </row>
    <row r="12" spans="1:24" ht="29.1">
      <c r="A12" s="6" t="s">
        <v>246</v>
      </c>
      <c r="B12" s="43" t="s">
        <v>185</v>
      </c>
      <c r="C12" s="43" t="s">
        <v>186</v>
      </c>
      <c r="D12" s="43" t="s">
        <v>187</v>
      </c>
      <c r="E12" s="43" t="s">
        <v>188</v>
      </c>
      <c r="F12" s="43" t="s">
        <v>189</v>
      </c>
      <c r="G12" s="43" t="s">
        <v>8</v>
      </c>
      <c r="H12" s="51">
        <f>C14*1000000+E14*1000+F14</f>
        <v>2015036</v>
      </c>
      <c r="I12" s="51">
        <f t="shared" si="1"/>
        <v>2015036</v>
      </c>
      <c r="J12" s="51" t="str">
        <f>IF(RANK(I12,$I$9:$I$12)=1,RANK(I12,$I$9:$I$12)&amp;"st",IF(RANK(I12,$I$9:$I$12)=2,RANK(I12,$I$9:$I$12)&amp;"nd",RANK(I12,$I$9:$I$12)&amp;"th"))</f>
        <v>1st</v>
      </c>
      <c r="K12" s="51" t="str">
        <f>B14</f>
        <v>Melissa</v>
      </c>
      <c r="M12" s="548" t="s">
        <v>200</v>
      </c>
      <c r="N12" s="549"/>
      <c r="O12" s="549"/>
      <c r="P12" s="549"/>
      <c r="Q12" s="549"/>
      <c r="R12" s="549"/>
    </row>
    <row r="13" spans="1:24">
      <c r="A13" s="2" t="s">
        <v>209</v>
      </c>
      <c r="B13" s="103" t="s">
        <v>138</v>
      </c>
      <c r="C13" s="14">
        <f>SUM(COUNTIF($R$2,Analysis_131[[#Headers],[WIN]]),COUNTIF($R$5,Analysis_131[[#Headers],[WIN]]))</f>
        <v>1</v>
      </c>
      <c r="D13" s="14">
        <f>SUM(COUNTIF($R$2,Analysis_131[[#Headers],[LOSE]]),COUNTIF($R$5,Analysis_131[[#Headers],[LOSE]]))</f>
        <v>1</v>
      </c>
      <c r="E13" s="46">
        <f>SUM($N$2,$N$5)</f>
        <v>7</v>
      </c>
      <c r="F13" s="46">
        <f>SUM($P$2,$P$5)</f>
        <v>28</v>
      </c>
      <c r="G13" s="427" t="str">
        <f>IF(COUNTBLANK(Games_130[[SCORE 1]:[SCORE 2]])=0,IF(RANK(H11,$H$9:$H$12)=1,RANK(H11,$H$9:$H$12)&amp;"st",IF(RANK(H11,$H$9:$H$12)=2,RANK(H11,$H$9:$H$12)&amp;"nd",IF(RANK(H11,$H$9:$H$12)=3,RANK(H11,$H$9:$H$12)&amp;"rd",RANK(H11,$H$9:$H$12)&amp;"th"))),"")</f>
        <v>2nd</v>
      </c>
      <c r="I13" s="95"/>
      <c r="J13" s="95"/>
      <c r="K13" s="95"/>
      <c r="M13" s="424" t="s">
        <v>193</v>
      </c>
      <c r="N13" s="424" t="s">
        <v>194</v>
      </c>
      <c r="O13" s="552" t="s">
        <v>195</v>
      </c>
      <c r="P13" s="553"/>
      <c r="Q13" s="424" t="s">
        <v>196</v>
      </c>
      <c r="R13" s="424" t="s">
        <v>197</v>
      </c>
    </row>
    <row r="14" spans="1:24">
      <c r="A14" s="2" t="s">
        <v>210</v>
      </c>
      <c r="B14" s="103" t="s">
        <v>135</v>
      </c>
      <c r="C14" s="14">
        <f>SUM(COUNTIF($R$3,Analysis_131[[#Headers],[WIN]]),COUNTIF($R$4,Analysis_131[[#Headers],[WIN]]))</f>
        <v>2</v>
      </c>
      <c r="D14" s="14">
        <f>SUM(COUNTIF($R$4,Analysis_131[[#Headers],[LOSE]]),COUNTIF($R$3,Analysis_131[[#Headers],[LOSE]]))</f>
        <v>0</v>
      </c>
      <c r="E14" s="46">
        <f>SUM($N$3,$N$4)</f>
        <v>15</v>
      </c>
      <c r="F14" s="46">
        <f>SUM($P$4,$P$3)</f>
        <v>36</v>
      </c>
      <c r="G14" s="427" t="str">
        <f>IF(COUNTBLANK(Games_130[[SCORE 1]:[SCORE 2]])=0,IF(RANK(H12,$H$9:$H$12)=1,RANK(H12,$H$9:$H$12)&amp;"st",IF(RANK(H12,$H$9:$H$12)=2,RANK(H12,$H$9:$H$12)&amp;"nd",IF(RANK(H12,$H$9:$H$12)=3,RANK(H12,$H$9:$H$12)&amp;"rd",RANK(H12,$H$9:$H$12)&amp;"th"))),"")</f>
        <v>1st</v>
      </c>
      <c r="I14" s="95"/>
      <c r="J14" s="95"/>
      <c r="K14" s="95"/>
      <c r="M14" s="107" t="str">
        <f>B15</f>
        <v>Pedro Itajaí</v>
      </c>
      <c r="N14" s="105" t="str">
        <f>Analysis_233[[#This Row],[Atheletes ]]</f>
        <v>Melissa</v>
      </c>
      <c r="O14" s="99">
        <v>16</v>
      </c>
      <c r="P14" s="98">
        <v>18</v>
      </c>
      <c r="Q14" s="106" t="str">
        <f>B13</f>
        <v>Talia</v>
      </c>
      <c r="R14" s="108" t="str">
        <f>B11</f>
        <v>Bruno Conterville</v>
      </c>
    </row>
    <row r="15" spans="1:24">
      <c r="A15" s="2" t="s">
        <v>252</v>
      </c>
      <c r="B15" s="103" t="s">
        <v>274</v>
      </c>
      <c r="C15" s="14" t="s">
        <v>249</v>
      </c>
      <c r="D15" s="14" t="s">
        <v>249</v>
      </c>
      <c r="E15" s="14" t="s">
        <v>249</v>
      </c>
      <c r="F15" s="14" t="s">
        <v>249</v>
      </c>
      <c r="G15" s="2" t="s">
        <v>249</v>
      </c>
      <c r="N15" s="50" t="str">
        <f>IF(OR($O$14="",$P$14=""),"",IF($O$15="win",$U$3,$U$4))</f>
        <v>2nd</v>
      </c>
      <c r="O15" s="2" t="str">
        <f>IF(OR(O14="",P14=""),"",IF((O14&gt;P14),"WIN","LOSE"))</f>
        <v>LOSE</v>
      </c>
      <c r="P15" s="2" t="str">
        <f>IF(OR(O14="",P14=""),"",IF((O14&lt;P14),"WIN","LOSE"))</f>
        <v>WIN</v>
      </c>
      <c r="Q15" s="50" t="str">
        <f>IF(OR($O$14="",$P$14=""),"",IF($P$15="win",$U$3,$U$4))</f>
        <v>1st</v>
      </c>
    </row>
    <row r="17" spans="1:3">
      <c r="A17" s="47"/>
    </row>
    <row r="18" spans="1:3">
      <c r="A18" s="104"/>
    </row>
    <row r="19" spans="1:3">
      <c r="A19" s="104"/>
    </row>
    <row r="20" spans="1:3" ht="15.95" thickBot="1"/>
    <row r="21" spans="1:3" ht="15.95" thickBot="1">
      <c r="A21" s="123" t="s">
        <v>218</v>
      </c>
      <c r="B21" s="124">
        <v>45757</v>
      </c>
      <c r="C21" s="44" t="s">
        <v>256</v>
      </c>
    </row>
  </sheetData>
  <sheetProtection algorithmName="SHA-512" hashValue="zZQFEfnJGGORVlYws3tNEYdCsb/bI9g0+E1aFy12V2b/ZuoC0sRxLmafvnwQ2+/8ThmFhUJjln5DvWNZqHRviQ==" saltValue="ifVY3k9lRLnXyodN9RSj7w==" spinCount="100000" sheet="1" objects="1" scenarios="1"/>
  <mergeCells count="7">
    <mergeCell ref="O13:P13"/>
    <mergeCell ref="A1:A5"/>
    <mergeCell ref="T1:U1"/>
    <mergeCell ref="A7:G7"/>
    <mergeCell ref="M7:R7"/>
    <mergeCell ref="O8:P8"/>
    <mergeCell ref="M12:R12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BDDC-4908-9C49-989A-F5FB110423EA}">
  <sheetPr codeName="Sheet13"/>
  <dimension ref="A1:X32"/>
  <sheetViews>
    <sheetView workbookViewId="0">
      <selection sqref="A1:I13"/>
    </sheetView>
    <sheetView workbookViewId="1">
      <selection sqref="A1:A13"/>
    </sheetView>
  </sheetViews>
  <sheetFormatPr defaultColWidth="8.85546875" defaultRowHeight="15"/>
  <cols>
    <col min="1" max="1" width="10.7109375" style="44" customWidth="1"/>
    <col min="2" max="4" width="20" style="44" customWidth="1"/>
    <col min="5" max="6" width="10.7109375" style="44" customWidth="1"/>
    <col min="7" max="7" width="20" style="44" customWidth="1"/>
    <col min="8" max="8" width="11.28515625" style="44" hidden="1" customWidth="1"/>
    <col min="9" max="9" width="12" style="44" hidden="1" customWidth="1"/>
    <col min="10" max="10" width="10.7109375" style="44" hidden="1" customWidth="1"/>
    <col min="11" max="11" width="8" style="44" hidden="1" customWidth="1"/>
    <col min="12" max="12" width="20" style="44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 ht="15" customHeight="1">
      <c r="A1" s="550" t="s">
        <v>275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276</v>
      </c>
      <c r="U1" s="545"/>
      <c r="W1" s="44" t="s">
        <v>205</v>
      </c>
      <c r="X1" s="44">
        <f>COUNTIF(Games_2154[[ATHLETE 1]:[ATHLETE 4]],W1)</f>
        <v>0</v>
      </c>
    </row>
    <row r="2" spans="1:24" ht="15" customHeight="1">
      <c r="A2" s="550"/>
      <c r="B2" s="430" t="s">
        <v>178</v>
      </c>
      <c r="C2" s="2" t="str">
        <f>$B$21</f>
        <v>HA1</v>
      </c>
      <c r="D2" s="38" t="str">
        <f>B17</f>
        <v>Luiza</v>
      </c>
      <c r="E2" s="100">
        <v>18</v>
      </c>
      <c r="F2" s="101">
        <v>13</v>
      </c>
      <c r="G2" s="41" t="str">
        <f>$B$22</f>
        <v>HA2</v>
      </c>
      <c r="H2" s="41"/>
      <c r="I2" s="41"/>
      <c r="J2" s="41"/>
      <c r="K2" s="41"/>
      <c r="L2" s="2" t="str">
        <f>B18</f>
        <v>Melissa</v>
      </c>
      <c r="M2" s="430">
        <f>IF(OR(Games_2154[[#This Row],[SCORE 1]]="",Games_2154[[#This Row],[SCORE 2]]=""),"",Games_2154[[#This Row],[SCORE 1]]-Games_2154[[#This Row],[SCORE 2]])</f>
        <v>5</v>
      </c>
      <c r="N2" s="430">
        <f>IF(OR(Games_2154[[#This Row],[SCORE 1]]="",Games_2154[[#This Row],[SCORE 2]]=""),"",Games_2154[[#This Row],[SCORE 2]]-Games_2154[[#This Row],[SCORE 1]])</f>
        <v>-5</v>
      </c>
      <c r="O2" s="430">
        <f>IF(Games_2154[[#This Row],[SCORE 1]]="","",Games_2154[[#This Row],[SCORE 1]])</f>
        <v>18</v>
      </c>
      <c r="P2" s="430">
        <f>IF(Games_2154[[#This Row],[SCORE 2]]="","",Games_2154[[#This Row],[SCORE 2]])</f>
        <v>13</v>
      </c>
      <c r="Q2" s="430" t="str">
        <f>IF(OR(Games_2154[[#This Row],[SCORE 1]]="",Games_2154[[#This Row],[SCORE 2]]=""),"",IF(Games_2154[[#This Row],[SALDO 12]]&gt;0, "WIN","LOSE"))</f>
        <v>WIN</v>
      </c>
      <c r="R2" s="430" t="str">
        <f>IF(OR(Games_2154[[#This Row],[SCORE 2]]="",Games_2154[[#This Row],[SCORE 1]]=""),"",IF(Games_2154[[#This Row],[SALDO 34]]&gt;0, "WIN","LOSE"))</f>
        <v>LOSE</v>
      </c>
      <c r="T2" s="35" t="s">
        <v>179</v>
      </c>
      <c r="U2" s="35" t="s">
        <v>8</v>
      </c>
      <c r="W2" s="44" t="s">
        <v>206</v>
      </c>
      <c r="X2" s="44">
        <f>COUNTIF(Games_2154[[ATHLETE 1]:[ATHLETE 4]],W2)</f>
        <v>0</v>
      </c>
    </row>
    <row r="3" spans="1:24">
      <c r="A3" s="550"/>
      <c r="B3" s="430" t="s">
        <v>180</v>
      </c>
      <c r="C3" s="2" t="str">
        <f>$B$29</f>
        <v>HB1</v>
      </c>
      <c r="D3" s="38" t="str">
        <f>B25</f>
        <v>Bruna</v>
      </c>
      <c r="E3" s="100">
        <v>18</v>
      </c>
      <c r="F3" s="101">
        <v>16</v>
      </c>
      <c r="G3" s="41" t="str">
        <f>$B$30</f>
        <v>HB2</v>
      </c>
      <c r="H3" s="41"/>
      <c r="I3" s="41"/>
      <c r="J3" s="41"/>
      <c r="K3" s="41"/>
      <c r="L3" s="2" t="str">
        <f>B26</f>
        <v>Bia</v>
      </c>
      <c r="M3" s="430">
        <f>IF(OR(Games_2154[[#This Row],[SCORE 1]]="",Games_2154[[#This Row],[SCORE 2]]=""),"",Games_2154[[#This Row],[SCORE 1]]-Games_2154[[#This Row],[SCORE 2]])</f>
        <v>2</v>
      </c>
      <c r="N3" s="430">
        <f>IF(OR(Games_2154[[#This Row],[SCORE 1]]="",Games_2154[[#This Row],[SCORE 2]]=""),"",Games_2154[[#This Row],[SCORE 2]]-Games_2154[[#This Row],[SCORE 1]])</f>
        <v>-2</v>
      </c>
      <c r="O3" s="430">
        <f>IF(Games_2154[[#This Row],[SCORE 1]]="","",Games_2154[[#This Row],[SCORE 1]])</f>
        <v>18</v>
      </c>
      <c r="P3" s="430">
        <f>IF(Games_2154[[#This Row],[SCORE 2]]="","",Games_2154[[#This Row],[SCORE 2]])</f>
        <v>16</v>
      </c>
      <c r="Q3" s="430" t="str">
        <f>IF(OR(Games_2154[[#This Row],[SCORE 1]]="",Games_2154[[#This Row],[SCORE 2]]=""),"",IF(Games_2154[[#This Row],[SALDO 12]]&gt;0, "WIN","LOSE"))</f>
        <v>WIN</v>
      </c>
      <c r="R3" s="430" t="str">
        <f>IF(OR(Games_2154[[#This Row],[SCORE 2]]="",Games_2154[[#This Row],[SCORE 1]]=""),"",IF(Games_2154[[#This Row],[SALDO 34]]&gt;0, "WIN","LOSE"))</f>
        <v>LOSE</v>
      </c>
      <c r="T3" s="2" t="str">
        <f>IFERROR(_xlfn.XLOOKUP(Table157223544789133510156[[#This Row],[Rank]],$M$24:$R$24,$M$23:$R$23),"")</f>
        <v>Kiki</v>
      </c>
      <c r="U3" s="2" t="s">
        <v>19</v>
      </c>
      <c r="W3" s="44" t="s">
        <v>207</v>
      </c>
      <c r="X3" s="44">
        <f>COUNTIF(Games_2154[[ATHLETE 1]:[ATHLETE 4]],W3)</f>
        <v>0</v>
      </c>
    </row>
    <row r="4" spans="1:24">
      <c r="A4" s="550"/>
      <c r="B4" s="430" t="s">
        <v>178</v>
      </c>
      <c r="C4" s="2" t="str">
        <f>$B$21</f>
        <v>HA1</v>
      </c>
      <c r="D4" s="38" t="str">
        <f>B19</f>
        <v>Fabiola</v>
      </c>
      <c r="E4" s="100">
        <v>18</v>
      </c>
      <c r="F4" s="101">
        <v>13</v>
      </c>
      <c r="G4" s="41" t="str">
        <f>$B$22</f>
        <v>HA2</v>
      </c>
      <c r="H4" s="41"/>
      <c r="I4" s="41"/>
      <c r="J4" s="41"/>
      <c r="K4" s="41"/>
      <c r="L4" s="2" t="str">
        <f>B20</f>
        <v>Larissa</v>
      </c>
      <c r="M4" s="430">
        <f>IF(OR(Games_2154[[#This Row],[SCORE 1]]="",Games_2154[[#This Row],[SCORE 2]]=""),"",Games_2154[[#This Row],[SCORE 1]]-Games_2154[[#This Row],[SCORE 2]])</f>
        <v>5</v>
      </c>
      <c r="N4" s="430">
        <f>IF(OR(Games_2154[[#This Row],[SCORE 1]]="",Games_2154[[#This Row],[SCORE 2]]=""),"",Games_2154[[#This Row],[SCORE 2]]-Games_2154[[#This Row],[SCORE 1]])</f>
        <v>-5</v>
      </c>
      <c r="O4" s="430">
        <f>IF(Games_2154[[#This Row],[SCORE 1]]="","",Games_2154[[#This Row],[SCORE 1]])</f>
        <v>18</v>
      </c>
      <c r="P4" s="430">
        <f>IF(Games_2154[[#This Row],[SCORE 2]]="","",Games_2154[[#This Row],[SCORE 2]])</f>
        <v>13</v>
      </c>
      <c r="Q4" s="430" t="str">
        <f>IF(OR(Games_2154[[#This Row],[SCORE 1]]="",Games_2154[[#This Row],[SCORE 2]]=""),"",IF(Games_2154[[#This Row],[SALDO 12]]&gt;0, "WIN","LOSE"))</f>
        <v>WIN</v>
      </c>
      <c r="R4" s="430" t="str">
        <f>IF(OR(Games_2154[[#This Row],[SCORE 2]]="",Games_2154[[#This Row],[SCORE 1]]=""),"",IF(Games_2154[[#This Row],[SALDO 34]]&gt;0, "WIN","LOSE"))</f>
        <v>LOSE</v>
      </c>
      <c r="T4" s="2" t="str">
        <f>IFERROR(_xlfn.XLOOKUP(Table157223544789133510156[[#This Row],[Rank]],$M$24:$R$24,$M$23:$R$23),"")</f>
        <v>Alex</v>
      </c>
      <c r="U4" s="2" t="s">
        <v>22</v>
      </c>
      <c r="W4" s="44" t="s">
        <v>208</v>
      </c>
      <c r="X4" s="44">
        <f>COUNTIF(Games_2154[[ATHLETE 1]:[ATHLETE 4]],W4)</f>
        <v>0</v>
      </c>
    </row>
    <row r="5" spans="1:24">
      <c r="A5" s="550"/>
      <c r="B5" s="430" t="s">
        <v>180</v>
      </c>
      <c r="C5" s="2" t="str">
        <f>$B$29</f>
        <v>HB1</v>
      </c>
      <c r="D5" s="38" t="str">
        <f>B27</f>
        <v>Alex</v>
      </c>
      <c r="E5" s="100">
        <v>14</v>
      </c>
      <c r="F5" s="101">
        <v>18</v>
      </c>
      <c r="G5" s="41" t="str">
        <f>$B$30</f>
        <v>HB2</v>
      </c>
      <c r="H5" s="41"/>
      <c r="I5" s="41"/>
      <c r="J5" s="41"/>
      <c r="K5" s="41"/>
      <c r="L5" s="2" t="str">
        <f>B28</f>
        <v>Kiki</v>
      </c>
      <c r="M5" s="11">
        <f>IF(OR(Games_2154[[#This Row],[SCORE 1]]="",Games_2154[[#This Row],[SCORE 2]]=""),"",Games_2154[[#This Row],[SCORE 1]]-Games_2154[[#This Row],[SCORE 2]])</f>
        <v>-4</v>
      </c>
      <c r="N5" s="430">
        <f>IF(OR(Games_2154[[#This Row],[SCORE 1]]="",Games_2154[[#This Row],[SCORE 2]]=""),"",Games_2154[[#This Row],[SCORE 2]]-Games_2154[[#This Row],[SCORE 1]])</f>
        <v>4</v>
      </c>
      <c r="O5" s="430">
        <f>IF(Games_2154[[#This Row],[SCORE 1]]="","",Games_2154[[#This Row],[SCORE 1]])</f>
        <v>14</v>
      </c>
      <c r="P5" s="430">
        <f>IF(Games_2154[[#This Row],[SCORE 2]]="","",Games_2154[[#This Row],[SCORE 2]])</f>
        <v>18</v>
      </c>
      <c r="Q5" s="430" t="str">
        <f>IF(OR(Games_2154[[#This Row],[SCORE 1]]="",Games_2154[[#This Row],[SCORE 2]]=""),"",IF(Games_2154[[#This Row],[SALDO 12]]&gt;0, "WIN","LOSE"))</f>
        <v>LOSE</v>
      </c>
      <c r="R5" s="430" t="str">
        <f>IF(OR(Games_2154[[#This Row],[SCORE 2]]="",Games_2154[[#This Row],[SCORE 1]]=""),"",IF(Games_2154[[#This Row],[SALDO 34]]&gt;0, "WIN","LOSE"))</f>
        <v>WIN</v>
      </c>
      <c r="T5" s="2" t="str">
        <f>IFERROR(_xlfn.XLOOKUP(Table157223544789133510156[[#This Row],[Rank]],$M$18:$R$18,$M$17:$R$17),"")</f>
        <v>Larissa</v>
      </c>
      <c r="U5" s="2" t="s">
        <v>25</v>
      </c>
      <c r="W5" s="44" t="s">
        <v>230</v>
      </c>
      <c r="X5" s="44">
        <f>COUNTIF(Games_2154[[ATHLETE 1]:[ATHLETE 4]],W5)</f>
        <v>0</v>
      </c>
    </row>
    <row r="6" spans="1:24">
      <c r="A6" s="550"/>
      <c r="B6" s="430" t="s">
        <v>178</v>
      </c>
      <c r="C6" s="2" t="str">
        <f>$B$21</f>
        <v>HA1</v>
      </c>
      <c r="D6" s="38" t="str">
        <f>B17</f>
        <v>Luiza</v>
      </c>
      <c r="E6" s="100">
        <v>13</v>
      </c>
      <c r="F6" s="101">
        <v>18</v>
      </c>
      <c r="G6" s="41" t="str">
        <f>$B$22</f>
        <v>HA2</v>
      </c>
      <c r="H6" s="41"/>
      <c r="I6" s="41"/>
      <c r="J6" s="41"/>
      <c r="K6" s="41"/>
      <c r="L6" s="2" t="str">
        <f>B19</f>
        <v>Fabiola</v>
      </c>
      <c r="M6" s="2">
        <f>IF(OR(Games_2154[[#This Row],[SCORE 1]]="",Games_2154[[#This Row],[SCORE 2]]=""),"",Games_2154[[#This Row],[SCORE 1]]-Games_2154[[#This Row],[SCORE 2]])</f>
        <v>-5</v>
      </c>
      <c r="N6" s="430">
        <f>IF(OR(Games_2154[[#This Row],[SCORE 1]]="",Games_2154[[#This Row],[SCORE 2]]=""),"",Games_2154[[#This Row],[SCORE 2]]-Games_2154[[#This Row],[SCORE 1]])</f>
        <v>5</v>
      </c>
      <c r="O6" s="430">
        <f>IF(Games_2154[[#This Row],[SCORE 1]]="","",Games_2154[[#This Row],[SCORE 1]])</f>
        <v>13</v>
      </c>
      <c r="P6" s="430">
        <f>IF(Games_2154[[#This Row],[SCORE 2]]="","",Games_2154[[#This Row],[SCORE 2]])</f>
        <v>18</v>
      </c>
      <c r="Q6" s="430" t="str">
        <f>IF(OR(Games_2154[[#This Row],[SCORE 1]]="",Games_2154[[#This Row],[SCORE 2]]=""),"",IF(Games_2154[[#This Row],[SALDO 12]]&gt;0, "WIN","LOSE"))</f>
        <v>LOSE</v>
      </c>
      <c r="R6" s="430" t="str">
        <f>IF(OR(Games_2154[[#This Row],[SCORE 2]]="",Games_2154[[#This Row],[SCORE 1]]=""),"",IF(Games_2154[[#This Row],[SALDO 34]]&gt;0, "WIN","LOSE"))</f>
        <v>WIN</v>
      </c>
      <c r="T6" s="2" t="str">
        <f>IFERROR(_xlfn.XLOOKUP(Table157223544789133510156[[#This Row],[Rank]],$M$18:$R$18,$M$17:$R$17),"")</f>
        <v>Fabiola</v>
      </c>
      <c r="U6" s="2" t="s">
        <v>28</v>
      </c>
      <c r="W6" s="44" t="s">
        <v>245</v>
      </c>
      <c r="X6" s="44">
        <f>COUNTIF(Games_2154[[ATHLETE 1]:[ATHLETE 4]],W6)</f>
        <v>0</v>
      </c>
    </row>
    <row r="7" spans="1:24">
      <c r="A7" s="550"/>
      <c r="B7" s="430" t="s">
        <v>180</v>
      </c>
      <c r="C7" s="2" t="str">
        <f>$B$29</f>
        <v>HB1</v>
      </c>
      <c r="D7" s="38" t="str">
        <f>B25</f>
        <v>Bruna</v>
      </c>
      <c r="E7" s="100">
        <v>12</v>
      </c>
      <c r="F7" s="101">
        <v>18</v>
      </c>
      <c r="G7" s="41" t="str">
        <f>$B$30</f>
        <v>HB2</v>
      </c>
      <c r="H7" s="41"/>
      <c r="I7" s="41"/>
      <c r="J7" s="41"/>
      <c r="K7" s="41"/>
      <c r="L7" s="2" t="str">
        <f>B27</f>
        <v>Alex</v>
      </c>
      <c r="M7" s="2">
        <f>IF(OR(Games_2154[[#This Row],[SCORE 1]]="",Games_2154[[#This Row],[SCORE 2]]=""),"",Games_2154[[#This Row],[SCORE 1]]-Games_2154[[#This Row],[SCORE 2]])</f>
        <v>-6</v>
      </c>
      <c r="N7" s="430">
        <f>IF(OR(Games_2154[[#This Row],[SCORE 1]]="",Games_2154[[#This Row],[SCORE 2]]=""),"",Games_2154[[#This Row],[SCORE 2]]-Games_2154[[#This Row],[SCORE 1]])</f>
        <v>6</v>
      </c>
      <c r="O7" s="430">
        <f>IF(Games_2154[[#This Row],[SCORE 1]]="","",Games_2154[[#This Row],[SCORE 1]])</f>
        <v>12</v>
      </c>
      <c r="P7" s="430">
        <f>IF(Games_2154[[#This Row],[SCORE 2]]="","",Games_2154[[#This Row],[SCORE 2]])</f>
        <v>18</v>
      </c>
      <c r="Q7" s="430" t="str">
        <f>IF(OR(Games_2154[[#This Row],[SCORE 1]]="",Games_2154[[#This Row],[SCORE 2]]=""),"",IF(Games_2154[[#This Row],[SALDO 12]]&gt;0, "WIN","LOSE"))</f>
        <v>LOSE</v>
      </c>
      <c r="R7" s="430" t="str">
        <f>IF(OR(Games_2154[[#This Row],[SCORE 2]]="",Games_2154[[#This Row],[SCORE 1]]=""),"",IF(Games_2154[[#This Row],[SALDO 34]]&gt;0, "WIN","LOSE"))</f>
        <v>WIN</v>
      </c>
      <c r="T7" s="2" t="str" cm="1">
        <f t="array" ref="T7">_xlfn.TEXTJOIN(", ", TRUE, _xlfn._xlws.FILTER($K$17:$K$24, $J$17:$J$24=U7,""))</f>
        <v>Melissa</v>
      </c>
      <c r="U7" s="2" t="s">
        <v>31</v>
      </c>
    </row>
    <row r="8" spans="1:24">
      <c r="A8" s="550"/>
      <c r="B8" s="430" t="s">
        <v>178</v>
      </c>
      <c r="C8" s="2" t="str">
        <f>$B$21</f>
        <v>HA1</v>
      </c>
      <c r="D8" s="38" t="str">
        <f>B18</f>
        <v>Melissa</v>
      </c>
      <c r="E8" s="100">
        <v>14</v>
      </c>
      <c r="F8" s="101">
        <v>18</v>
      </c>
      <c r="G8" s="41" t="str">
        <f>$B$22</f>
        <v>HA2</v>
      </c>
      <c r="H8" s="41"/>
      <c r="I8" s="41"/>
      <c r="J8" s="41"/>
      <c r="K8" s="41"/>
      <c r="L8" s="2" t="str">
        <f>B20</f>
        <v>Larissa</v>
      </c>
      <c r="M8" s="2">
        <f>IF(OR(Games_2154[[#This Row],[SCORE 1]]="",Games_2154[[#This Row],[SCORE 2]]=""),"",Games_2154[[#This Row],[SCORE 1]]-Games_2154[[#This Row],[SCORE 2]])</f>
        <v>-4</v>
      </c>
      <c r="N8" s="430">
        <f>IF(OR(Games_2154[[#This Row],[SCORE 1]]="",Games_2154[[#This Row],[SCORE 2]]=""),"",Games_2154[[#This Row],[SCORE 2]]-Games_2154[[#This Row],[SCORE 1]])</f>
        <v>4</v>
      </c>
      <c r="O8" s="430">
        <f>IF(Games_2154[[#This Row],[SCORE 1]]="","",Games_2154[[#This Row],[SCORE 1]])</f>
        <v>14</v>
      </c>
      <c r="P8" s="430">
        <f>IF(Games_2154[[#This Row],[SCORE 2]]="","",Games_2154[[#This Row],[SCORE 2]])</f>
        <v>18</v>
      </c>
      <c r="Q8" s="430" t="str">
        <f>IF(OR(Games_2154[[#This Row],[SCORE 1]]="",Games_2154[[#This Row],[SCORE 2]]=""),"",IF(Games_2154[[#This Row],[SALDO 12]]&gt;0, "WIN","LOSE"))</f>
        <v>LOSE</v>
      </c>
      <c r="R8" s="430" t="str">
        <f>IF(OR(Games_2154[[#This Row],[SCORE 2]]="",Games_2154[[#This Row],[SCORE 1]]=""),"",IF(Games_2154[[#This Row],[SALDO 34]]&gt;0, "WIN","LOSE"))</f>
        <v>WIN</v>
      </c>
      <c r="T8" s="2" t="str" cm="1">
        <f t="array" ref="T8">_xlfn.TEXTJOIN(", ", TRUE, _xlfn._xlws.FILTER($K$17:$K$24, $J$17:$J$24=U8,""))</f>
        <v>Bia</v>
      </c>
      <c r="U8" s="2" t="s">
        <v>34</v>
      </c>
    </row>
    <row r="9" spans="1:24">
      <c r="A9" s="550"/>
      <c r="B9" s="430" t="s">
        <v>180</v>
      </c>
      <c r="C9" s="2" t="str">
        <f>$B$29</f>
        <v>HB1</v>
      </c>
      <c r="D9" s="38" t="str">
        <f>B26</f>
        <v>Bia</v>
      </c>
      <c r="E9" s="100">
        <v>18</v>
      </c>
      <c r="F9" s="101">
        <v>16</v>
      </c>
      <c r="G9" s="41" t="str">
        <f>$B$30</f>
        <v>HB2</v>
      </c>
      <c r="H9" s="41"/>
      <c r="I9" s="41"/>
      <c r="J9" s="41"/>
      <c r="K9" s="41"/>
      <c r="L9" s="2" t="str">
        <f>B28</f>
        <v>Kiki</v>
      </c>
      <c r="M9" s="2">
        <f>IF(OR(Games_2154[[#This Row],[SCORE 1]]="",Games_2154[[#This Row],[SCORE 2]]=""),"",Games_2154[[#This Row],[SCORE 1]]-Games_2154[[#This Row],[SCORE 2]])</f>
        <v>2</v>
      </c>
      <c r="N9" s="430">
        <f>IF(OR(Games_2154[[#This Row],[SCORE 1]]="",Games_2154[[#This Row],[SCORE 2]]=""),"",Games_2154[[#This Row],[SCORE 2]]-Games_2154[[#This Row],[SCORE 1]])</f>
        <v>-2</v>
      </c>
      <c r="O9" s="430">
        <f>IF(Games_2154[[#This Row],[SCORE 1]]="","",Games_2154[[#This Row],[SCORE 1]])</f>
        <v>18</v>
      </c>
      <c r="P9" s="430">
        <f>IF(Games_2154[[#This Row],[SCORE 2]]="","",Games_2154[[#This Row],[SCORE 2]])</f>
        <v>16</v>
      </c>
      <c r="Q9" s="430" t="str">
        <f>IF(OR(Games_2154[[#This Row],[SCORE 1]]="",Games_2154[[#This Row],[SCORE 2]]=""),"",IF(Games_2154[[#This Row],[SALDO 12]]&gt;0, "WIN","LOSE"))</f>
        <v>WIN</v>
      </c>
      <c r="R9" s="430" t="str">
        <f>IF(OR(Games_2154[[#This Row],[SCORE 2]]="",Games_2154[[#This Row],[SCORE 1]]=""),"",IF(Games_2154[[#This Row],[SALDO 34]]&gt;0, "WIN","LOSE"))</f>
        <v>LOSE</v>
      </c>
      <c r="T9" s="2" t="str" cm="1">
        <f t="array" ref="T9">_xlfn.TEXTJOIN(", ", TRUE, _xlfn._xlws.FILTER($K$17:$K$24, $J$17:$J$24=U9,""))</f>
        <v>Luiza</v>
      </c>
      <c r="U9" s="2" t="s">
        <v>37</v>
      </c>
    </row>
    <row r="10" spans="1:24">
      <c r="A10" s="550"/>
      <c r="B10" s="430" t="s">
        <v>178</v>
      </c>
      <c r="C10" s="2" t="str">
        <f>$B$21</f>
        <v>HA1</v>
      </c>
      <c r="D10" s="38" t="str">
        <f>B20</f>
        <v>Larissa</v>
      </c>
      <c r="E10" s="100">
        <v>18</v>
      </c>
      <c r="F10" s="101">
        <v>4</v>
      </c>
      <c r="G10" s="41" t="str">
        <f>$B$22</f>
        <v>HA2</v>
      </c>
      <c r="H10" s="41"/>
      <c r="I10" s="41"/>
      <c r="J10" s="41"/>
      <c r="K10" s="41"/>
      <c r="L10" s="2" t="str">
        <f>B17</f>
        <v>Luiza</v>
      </c>
      <c r="M10" s="2">
        <f>IF(OR(Games_2154[[#This Row],[SCORE 1]]="",Games_2154[[#This Row],[SCORE 2]]=""),"",Games_2154[[#This Row],[SCORE 1]]-Games_2154[[#This Row],[SCORE 2]])</f>
        <v>14</v>
      </c>
      <c r="N10" s="430">
        <f>IF(OR(Games_2154[[#This Row],[SCORE 1]]="",Games_2154[[#This Row],[SCORE 2]]=""),"",Games_2154[[#This Row],[SCORE 2]]-Games_2154[[#This Row],[SCORE 1]])</f>
        <v>-14</v>
      </c>
      <c r="O10" s="430">
        <f>IF(Games_2154[[#This Row],[SCORE 1]]="","",Games_2154[[#This Row],[SCORE 1]])</f>
        <v>18</v>
      </c>
      <c r="P10" s="430">
        <f>IF(Games_2154[[#This Row],[SCORE 2]]="","",Games_2154[[#This Row],[SCORE 2]])</f>
        <v>4</v>
      </c>
      <c r="Q10" s="430" t="str">
        <f>IF(OR(Games_2154[[#This Row],[SCORE 1]]="",Games_2154[[#This Row],[SCORE 2]]=""),"",IF(Games_2154[[#This Row],[SALDO 12]]&gt;0, "WIN","LOSE"))</f>
        <v>WIN</v>
      </c>
      <c r="R10" s="430" t="str">
        <f>IF(OR(Games_2154[[#This Row],[SCORE 2]]="",Games_2154[[#This Row],[SCORE 1]]=""),"",IF(Games_2154[[#This Row],[SALDO 34]]&gt;0, "WIN","LOSE"))</f>
        <v>LOSE</v>
      </c>
      <c r="T10" s="2" t="str" cm="1">
        <f t="array" ref="T10">_xlfn.TEXTJOIN(", ", TRUE, _xlfn._xlws.FILTER($K$17:$K$24, $J$17:$J$24=U10,""))</f>
        <v>Bruna</v>
      </c>
      <c r="U10" s="2" t="s">
        <v>41</v>
      </c>
    </row>
    <row r="11" spans="1:24">
      <c r="A11" s="550"/>
      <c r="B11" s="11" t="s">
        <v>180</v>
      </c>
      <c r="C11" s="2" t="str">
        <f>$B$29</f>
        <v>HB1</v>
      </c>
      <c r="D11" s="38" t="str">
        <f>B28</f>
        <v>Kiki</v>
      </c>
      <c r="E11" s="111">
        <v>18</v>
      </c>
      <c r="F11" s="112">
        <v>5</v>
      </c>
      <c r="G11" s="41" t="str">
        <f>$B$30</f>
        <v>HB2</v>
      </c>
      <c r="H11" s="97"/>
      <c r="I11" s="97"/>
      <c r="J11" s="97"/>
      <c r="K11" s="97"/>
      <c r="L11" s="2" t="str">
        <f>B25</f>
        <v>Bruna</v>
      </c>
      <c r="M11" s="2">
        <f>IF(OR(Games_2154[[#This Row],[SCORE 1]]="",Games_2154[[#This Row],[SCORE 2]]=""),"",Games_2154[[#This Row],[SCORE 1]]-Games_2154[[#This Row],[SCORE 2]])</f>
        <v>13</v>
      </c>
      <c r="N11" s="11">
        <f>IF(OR(Games_2154[[#This Row],[SCORE 1]]="",Games_2154[[#This Row],[SCORE 2]]=""),"",Games_2154[[#This Row],[SCORE 2]]-Games_2154[[#This Row],[SCORE 1]])</f>
        <v>-13</v>
      </c>
      <c r="O11" s="11">
        <f>IF(Games_2154[[#This Row],[SCORE 1]]="","",Games_2154[[#This Row],[SCORE 1]])</f>
        <v>18</v>
      </c>
      <c r="P11" s="11">
        <f>IF(Games_2154[[#This Row],[SCORE 2]]="","",Games_2154[[#This Row],[SCORE 2]])</f>
        <v>5</v>
      </c>
      <c r="Q11" s="11" t="str">
        <f>IF(OR(Games_2154[[#This Row],[SCORE 1]]="",Games_2154[[#This Row],[SCORE 2]]=""),"",IF(Games_2154[[#This Row],[SALDO 12]]&gt;0, "WIN","LOSE"))</f>
        <v>WIN</v>
      </c>
      <c r="R11" s="11" t="str">
        <f>IF(OR(Games_2154[[#This Row],[SCORE 2]]="",Games_2154[[#This Row],[SCORE 1]]=""),"",IF(Games_2154[[#This Row],[SALDO 34]]&gt;0, "WIN","LOSE"))</f>
        <v>LOSE</v>
      </c>
    </row>
    <row r="12" spans="1:24">
      <c r="A12" s="550"/>
      <c r="B12" s="11" t="s">
        <v>178</v>
      </c>
      <c r="C12" s="2" t="str">
        <f>$B$21</f>
        <v>HA1</v>
      </c>
      <c r="D12" s="38" t="str">
        <f>B18</f>
        <v>Melissa</v>
      </c>
      <c r="E12" s="111">
        <v>18</v>
      </c>
      <c r="F12" s="112">
        <v>9</v>
      </c>
      <c r="G12" s="41" t="str">
        <f>$B$22</f>
        <v>HA2</v>
      </c>
      <c r="H12" s="97"/>
      <c r="I12" s="97"/>
      <c r="J12" s="97"/>
      <c r="K12" s="97"/>
      <c r="L12" s="2" t="str">
        <f>B19</f>
        <v>Fabiola</v>
      </c>
      <c r="M12" s="2">
        <f>IF(OR(Games_2154[[#This Row],[SCORE 1]]="",Games_2154[[#This Row],[SCORE 2]]=""),"",Games_2154[[#This Row],[SCORE 1]]-Games_2154[[#This Row],[SCORE 2]])</f>
        <v>9</v>
      </c>
      <c r="N12" s="11">
        <f>IF(OR(Games_2154[[#This Row],[SCORE 1]]="",Games_2154[[#This Row],[SCORE 2]]=""),"",Games_2154[[#This Row],[SCORE 2]]-Games_2154[[#This Row],[SCORE 1]])</f>
        <v>-9</v>
      </c>
      <c r="O12" s="11">
        <f>IF(Games_2154[[#This Row],[SCORE 1]]="","",Games_2154[[#This Row],[SCORE 1]])</f>
        <v>18</v>
      </c>
      <c r="P12" s="11">
        <f>IF(Games_2154[[#This Row],[SCORE 2]]="","",Games_2154[[#This Row],[SCORE 2]])</f>
        <v>9</v>
      </c>
      <c r="Q12" s="11" t="str">
        <f>IF(OR(Games_2154[[#This Row],[SCORE 1]]="",Games_2154[[#This Row],[SCORE 2]]=""),"",IF(Games_2154[[#This Row],[SALDO 12]]&gt;0, "WIN","LOSE"))</f>
        <v>WIN</v>
      </c>
      <c r="R12" s="11" t="str">
        <f>IF(OR(Games_2154[[#This Row],[SCORE 2]]="",Games_2154[[#This Row],[SCORE 1]]=""),"",IF(Games_2154[[#This Row],[SALDO 34]]&gt;0, "WIN","LOSE"))</f>
        <v>LOSE</v>
      </c>
    </row>
    <row r="13" spans="1:24">
      <c r="A13" s="550"/>
      <c r="B13" s="11" t="s">
        <v>180</v>
      </c>
      <c r="C13" s="2" t="str">
        <f>$B$29</f>
        <v>HB1</v>
      </c>
      <c r="D13" s="38" t="str">
        <f>B26</f>
        <v>Bia</v>
      </c>
      <c r="E13" s="111">
        <v>7</v>
      </c>
      <c r="F13" s="112">
        <v>18</v>
      </c>
      <c r="G13" s="41" t="str">
        <f>$B$30</f>
        <v>HB2</v>
      </c>
      <c r="H13" s="97"/>
      <c r="I13" s="97"/>
      <c r="J13" s="97"/>
      <c r="K13" s="97"/>
      <c r="L13" s="2" t="str">
        <f>B27</f>
        <v>Alex</v>
      </c>
      <c r="M13" s="2">
        <f>IF(OR(Games_2154[[#This Row],[SCORE 1]]="",Games_2154[[#This Row],[SCORE 2]]=""),"",Games_2154[[#This Row],[SCORE 1]]-Games_2154[[#This Row],[SCORE 2]])</f>
        <v>-11</v>
      </c>
      <c r="N13" s="11">
        <f>IF(OR(Games_2154[[#This Row],[SCORE 1]]="",Games_2154[[#This Row],[SCORE 2]]=""),"",Games_2154[[#This Row],[SCORE 2]]-Games_2154[[#This Row],[SCORE 1]])</f>
        <v>11</v>
      </c>
      <c r="O13" s="11">
        <f>IF(Games_2154[[#This Row],[SCORE 1]]="","",Games_2154[[#This Row],[SCORE 1]])</f>
        <v>7</v>
      </c>
      <c r="P13" s="11">
        <f>IF(Games_2154[[#This Row],[SCORE 2]]="","",Games_2154[[#This Row],[SCORE 2]])</f>
        <v>18</v>
      </c>
      <c r="Q13" s="11" t="str">
        <f>IF(OR(Games_2154[[#This Row],[SCORE 1]]="",Games_2154[[#This Row],[SCORE 2]]=""),"",IF(Games_2154[[#This Row],[SALDO 12]]&gt;0, "WIN","LOSE"))</f>
        <v>LOSE</v>
      </c>
      <c r="R13" s="11" t="str">
        <f>IF(OR(Games_2154[[#This Row],[SCORE 2]]="",Games_2154[[#This Row],[SCORE 1]]=""),"",IF(Games_2154[[#This Row],[SALDO 34]]&gt;0, "WIN","LOSE"))</f>
        <v>WIN</v>
      </c>
    </row>
    <row r="14" spans="1:24" ht="30" customHeight="1"/>
    <row r="15" spans="1:24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48" t="s">
        <v>199</v>
      </c>
      <c r="N15" s="549"/>
      <c r="O15" s="549"/>
      <c r="P15" s="549"/>
      <c r="Q15" s="549"/>
      <c r="R15" s="549"/>
    </row>
    <row r="16" spans="1:24" ht="15.95">
      <c r="A16" s="6" t="s">
        <v>246</v>
      </c>
      <c r="B16" s="43" t="s">
        <v>185</v>
      </c>
      <c r="C16" s="43" t="s">
        <v>186</v>
      </c>
      <c r="D16" s="43" t="s">
        <v>187</v>
      </c>
      <c r="E16" s="43" t="s">
        <v>188</v>
      </c>
      <c r="F16" s="43" t="s">
        <v>189</v>
      </c>
      <c r="G16" s="43" t="s">
        <v>8</v>
      </c>
      <c r="H16" s="425" t="s">
        <v>204</v>
      </c>
      <c r="I16" s="425" t="s">
        <v>191</v>
      </c>
      <c r="J16" s="425" t="s">
        <v>192</v>
      </c>
      <c r="K16" s="425" t="s">
        <v>1</v>
      </c>
      <c r="L16" s="425" t="s">
        <v>277</v>
      </c>
      <c r="M16" s="424" t="s">
        <v>193</v>
      </c>
      <c r="N16" s="424" t="s">
        <v>194</v>
      </c>
      <c r="O16" s="552" t="s">
        <v>195</v>
      </c>
      <c r="P16" s="553"/>
      <c r="Q16" s="424" t="s">
        <v>196</v>
      </c>
      <c r="R16" s="424" t="s">
        <v>197</v>
      </c>
    </row>
    <row r="17" spans="1:19">
      <c r="A17" s="3" t="s">
        <v>205</v>
      </c>
      <c r="B17" s="102" t="s">
        <v>142</v>
      </c>
      <c r="C17" s="14">
        <f>SUM(COUNTIFS(Games_2154[ATHLETE 2],Analysis_3155[[#This Row],[Atheletes ]],Games_2154[RESULT 12],Analysis_3155[[#Headers],[WIN]]),COUNTIFS(Games_2154[ATHLETE 4],Analysis_3155[[#This Row],[Atheletes ]],Games_2154[RESULT 34],Analysis_3155[[#Headers],[WIN]]))</f>
        <v>1</v>
      </c>
      <c r="D17" s="14">
        <f>SUM(COUNTIFS(Games_2154[ATHLETE 2],Analysis_3155[[#This Row],[Atheletes ]],Games_2154[RESULT 12],Analysis_3155[[#Headers],[LOSE]]),COUNTIFS(Games_2154[ATHLETE 4],Analysis_3155[[#This Row],[Atheletes ]],Games_2154[RESULT 34],Analysis_3155[[#Headers],[LOSE]]))</f>
        <v>2</v>
      </c>
      <c r="E17" s="46">
        <f>SUM(SUMIF(Games_2154[ATHLETE 2],Analysis_3155[[#This Row],[Atheletes ]],Games_2154[SALDO 12]),SUMIF(Games_2154[ATHLETE 4],Analysis_3155[[#This Row],[Atheletes ]],Games_2154[SALDO 34]))</f>
        <v>-14</v>
      </c>
      <c r="F17" s="46">
        <f>SUM(SUMIF(Games_2154[ATHLETE 2],Analysis_3155[[#This Row],[Atheletes ]],Games_2154[PM 12]),SUMIF(Games_2154[ATHLETE 4],Analysis_3155[[#This Row],[Atheletes ]],Games_2154[PM 34]))</f>
        <v>35</v>
      </c>
      <c r="G17" s="430" t="str">
        <f>IF(COUNTBLANK(Games_2154[[SCORE 1]:[SCORE 2]])=0,IF(RANK(H17,$H$17:$H$20)=1,RANK(H17,$H$17:$H$20)&amp;"st",IF(RANK(H17,$H$17:$H$20)=2,RANK(H17,$H$17:$H$20)&amp;"nd",IF(RANK(H17,$H$17:$H$20)=3,RANK(H17,$H$17:$H$20)&amp;"rd",RANK(H17,$H$17:$H$20)&amp;"th"))),"")</f>
        <v>4th</v>
      </c>
      <c r="H17" s="51">
        <f>Analysis_3155[[#This Row],[WIN]]*1000000+Analysis_3155[[#This Row],[Saldo]]*1000+Analysis_3155[[#This Row],[PM]]</f>
        <v>986035</v>
      </c>
      <c r="I17" s="51">
        <f>H17</f>
        <v>986035</v>
      </c>
      <c r="J17" s="2" t="str">
        <f>IF(COUNTBLANK(Games_2154[[SCORE 1]:[SCORE 2]])=0,IF(RANK(I17,$I$17:$I$24)=1,RANK(I17,$I$17:$I$24)&amp;"st",IF(RANK(I17,$I$17:$I$24)=2,RANK(I17,$I$17:$I$24)&amp;"nd",IF(RANK(I17,$I$17:$I$24)=3,RANK(I17,$I$17:$I$24)&amp;"rd",RANK(I17,$I$17:$I$24)&amp;"th"))),"")</f>
        <v>7th</v>
      </c>
      <c r="K17" s="51" t="str">
        <f>Analysis_3155[[#This Row],[Atheletes ]]</f>
        <v>Luiza</v>
      </c>
      <c r="L17" s="2" t="str">
        <f>J17</f>
        <v>7th</v>
      </c>
      <c r="M17" s="432" t="str" cm="1">
        <f t="array" ref="M17">IF(COUNTBLANK(Games_2154[[SCORE 1]:[SCORE 2]])=0,_xlfn.TEXTJOIN(", ", TRUE, _xlfn._xlws.FILTER($K$17:$K$24, $J$17:$J$24=U3,"")),"")</f>
        <v>Kiki</v>
      </c>
      <c r="N17" s="432" t="str" cm="1">
        <f t="array" ref="N17">IF(COUNTBLANK(Games_2154[[SCORE 1]:[SCORE 2]])=0,_xlfn.TEXTJOIN(", ", TRUE, _xlfn._xlws.FILTER($K$17:$K$24, $J$17:$J$24=U4,"")),"")</f>
        <v>Alex</v>
      </c>
      <c r="O17" s="99">
        <v>18</v>
      </c>
      <c r="P17" s="98">
        <v>12</v>
      </c>
      <c r="Q17" s="432" t="str" cm="1">
        <f t="array" ref="Q17">IF(COUNTBLANK(Games_2154[[SCORE 1]:[SCORE 2]])=0,_xlfn.TEXTJOIN(", ", TRUE, _xlfn._xlws.FILTER($K$17:$K$24, $J$17:$J$24=U5,"")),"")</f>
        <v>Larissa</v>
      </c>
      <c r="R17" s="432" t="str" cm="1">
        <f t="array" ref="R17">IF(COUNTBLANK(Games_2154[[SCORE 1]:[SCORE 2]])=0,_xlfn.TEXTJOIN(", ", TRUE, _xlfn._xlws.FILTER($K$17:$K$24, $J$17:$J$24=U6,"")),"")</f>
        <v>Fabiola</v>
      </c>
    </row>
    <row r="18" spans="1:19">
      <c r="A18" s="3" t="s">
        <v>206</v>
      </c>
      <c r="B18" s="102" t="s">
        <v>135</v>
      </c>
      <c r="C18" s="14">
        <f>SUM(COUNTIFS(Games_2154[ATHLETE 2],Analysis_3155[[#This Row],[Atheletes ]],Games_2154[RESULT 12],Analysis_3155[[#Headers],[WIN]]),COUNTIFS(Games_2154[ATHLETE 4],Analysis_3155[[#This Row],[Atheletes ]],Games_2154[RESULT 34],Analysis_3155[[#Headers],[WIN]]))</f>
        <v>1</v>
      </c>
      <c r="D18" s="14">
        <f>SUM(COUNTIFS(Games_2154[ATHLETE 2],Analysis_3155[[#This Row],[Atheletes ]],Games_2154[RESULT 12],Analysis_3155[[#Headers],[LOSE]]),COUNTIFS(Games_2154[ATHLETE 4],Analysis_3155[[#This Row],[Atheletes ]],Games_2154[RESULT 34],Analysis_3155[[#Headers],[LOSE]]))</f>
        <v>2</v>
      </c>
      <c r="E18" s="46">
        <f>SUM(SUMIF(Games_2154[ATHLETE 2],Analysis_3155[[#This Row],[Atheletes ]],Games_2154[SALDO 12]),SUMIF(Games_2154[ATHLETE 4],Analysis_3155[[#This Row],[Atheletes ]],Games_2154[SALDO 34]))</f>
        <v>0</v>
      </c>
      <c r="F18" s="46">
        <f>SUM(SUMIF(Games_2154[ATHLETE 2],Analysis_3155[[#This Row],[Atheletes ]],Games_2154[PM 12]),SUMIF(Games_2154[ATHLETE 4],Analysis_3155[[#This Row],[Atheletes ]],Games_2154[PM 34]))</f>
        <v>45</v>
      </c>
      <c r="G18" s="430" t="str">
        <f>IF(COUNTBLANK(Games_2154[[SCORE 1]:[SCORE 2]])=0,IF(RANK(H18,$H$17:$H$20)=1,RANK(H18,$H$17:$H$20)&amp;"st",IF(RANK(H18,$H$17:$H$20)=2,RANK(H18,$H$17:$H$20)&amp;"nd",IF(RANK(H18,$H$17:$H$20)=3,RANK(H18,$H$17:$H$20)&amp;"rd",RANK(H18,$H$17:$H$20)&amp;"th"))),"")</f>
        <v>3rd</v>
      </c>
      <c r="H18" s="51">
        <f>Analysis_3155[[#This Row],[WIN]]*1000000+Analysis_3155[[#This Row],[Saldo]]*1000+Analysis_3155[[#This Row],[PM]]</f>
        <v>1000045</v>
      </c>
      <c r="I18" s="51">
        <f t="shared" ref="I18:I20" si="0">H18</f>
        <v>1000045</v>
      </c>
      <c r="J18" s="2" t="str">
        <f>IF(COUNTBLANK(Games_2154[[SCORE 1]:[SCORE 2]])=0,IF(RANK(I18,$I$17:$I$24)=1,RANK(I18,$I$17:$I$24)&amp;"st",IF(RANK(I18,$I$17:$I$24)=2,RANK(I18,$I$17:$I$24)&amp;"nd",IF(RANK(I18,$I$17:$I$24)=3,RANK(I18,$I$17:$I$24)&amp;"rd",RANK(I18,$I$17:$I$24)&amp;"th"))),"")</f>
        <v>5th</v>
      </c>
      <c r="K18" s="51" t="str">
        <f>Analysis_3155[[#This Row],[Atheletes ]]</f>
        <v>Melissa</v>
      </c>
      <c r="L18" s="2" t="str">
        <f t="shared" ref="L18:L20" si="1">J18</f>
        <v>5th</v>
      </c>
      <c r="M18" s="50" t="str">
        <f>IF(OR($O$17="",$P$17=""),"",IF($O$18="lose",$U$5,""))</f>
        <v/>
      </c>
      <c r="N18" s="50" t="str">
        <f>IF(OR($O$17="",$P$17=""),"",IF($O$18="lose",$U$6,""))</f>
        <v/>
      </c>
      <c r="O18" s="2" t="str">
        <f>IF(OR(O17="",P17=""),"",IF((O17&gt;P17),"WIN","LOSE"))</f>
        <v>WIN</v>
      </c>
      <c r="P18" s="2" t="str">
        <f>IF(OR(O17="",P17=""),"",IF((O17&lt;P17),"WIN","LOSE"))</f>
        <v>LOSE</v>
      </c>
      <c r="Q18" s="50" t="str">
        <f>IF(OR($O$17="",$P$17=""),"",IF($P$18="lose",$U$5,""))</f>
        <v>3rd</v>
      </c>
      <c r="R18" s="50" t="str">
        <f>IF(OR($O$17="",$P$17=""),"",IF($P$18="lose",$U$6,""))</f>
        <v>4th</v>
      </c>
      <c r="S18" s="47"/>
    </row>
    <row r="19" spans="1:19" ht="15.95">
      <c r="A19" s="5" t="s">
        <v>207</v>
      </c>
      <c r="B19" s="102" t="s">
        <v>136</v>
      </c>
      <c r="C19" s="14">
        <f>SUM(COUNTIFS(Games_2154[ATHLETE 2],Analysis_3155[[#This Row],[Atheletes ]],Games_2154[RESULT 12],Analysis_3155[[#Headers],[WIN]]),COUNTIFS(Games_2154[ATHLETE 4],Analysis_3155[[#This Row],[Atheletes ]],Games_2154[RESULT 34],Analysis_3155[[#Headers],[WIN]]))</f>
        <v>2</v>
      </c>
      <c r="D19" s="14">
        <f>SUM(COUNTIFS(Games_2154[ATHLETE 2],Analysis_3155[[#This Row],[Atheletes ]],Games_2154[RESULT 12],Analysis_3155[[#Headers],[LOSE]]),COUNTIFS(Games_2154[ATHLETE 4],Analysis_3155[[#This Row],[Atheletes ]],Games_2154[RESULT 34],Analysis_3155[[#Headers],[LOSE]]))</f>
        <v>1</v>
      </c>
      <c r="E19" s="46">
        <f>SUM(SUMIF(Games_2154[ATHLETE 2],Analysis_3155[[#This Row],[Atheletes ]],Games_2154[SALDO 12]),SUMIF(Games_2154[ATHLETE 4],Analysis_3155[[#This Row],[Atheletes ]],Games_2154[SALDO 34]))</f>
        <v>1</v>
      </c>
      <c r="F19" s="46">
        <f>SUM(SUMIF(Games_2154[ATHLETE 2],Analysis_3155[[#This Row],[Atheletes ]],Games_2154[PM 12]),SUMIF(Games_2154[ATHLETE 4],Analysis_3155[[#This Row],[Atheletes ]],Games_2154[PM 34]))</f>
        <v>45</v>
      </c>
      <c r="G19" s="430" t="str">
        <f>IF(COUNTBLANK(Games_2154[[SCORE 1]:[SCORE 2]])=0,IF(RANK(H19,$H$17:$H$20)=1,RANK(H19,$H$17:$H$20)&amp;"st",IF(RANK(H19,$H$17:$H$20)=2,RANK(H19,$H$17:$H$20)&amp;"nd",IF(RANK(H19,$H$17:$H$20)=3,RANK(H19,$H$17:$H$20)&amp;"rd",RANK(H19,$H$17:$H$20)&amp;"th"))),"")</f>
        <v>2nd</v>
      </c>
      <c r="H19" s="51">
        <f>Analysis_3155[[#This Row],[WIN]]*1000000+Analysis_3155[[#This Row],[Saldo]]*1000+Analysis_3155[[#This Row],[PM]]</f>
        <v>2001045</v>
      </c>
      <c r="I19" s="51">
        <f t="shared" si="0"/>
        <v>2001045</v>
      </c>
      <c r="J19" s="2" t="str">
        <f>IF(COUNTBLANK(Games_2154[[SCORE 1]:[SCORE 2]])=0,IF(RANK(I19,$I$17:$I$24)=1,RANK(I19,$I$17:$I$24)&amp;"st",IF(RANK(I19,$I$17:$I$24)=2,RANK(I19,$I$17:$I$24)&amp;"nd",IF(RANK(I19,$I$17:$I$24)=3,RANK(I19,$I$17:$I$24)&amp;"rd",RANK(I19,$I$17:$I$24)&amp;"th"))),"")</f>
        <v>4th</v>
      </c>
      <c r="K19" s="51" t="str">
        <f>Analysis_3155[[#This Row],[Atheletes ]]</f>
        <v>Fabiola</v>
      </c>
      <c r="L19" s="2" t="str">
        <f t="shared" si="1"/>
        <v>4th</v>
      </c>
      <c r="M19" s="173">
        <v>1</v>
      </c>
      <c r="N19" s="173">
        <v>2</v>
      </c>
      <c r="Q19" s="173">
        <v>3</v>
      </c>
      <c r="R19" s="173">
        <v>4</v>
      </c>
    </row>
    <row r="20" spans="1:19">
      <c r="A20" s="3" t="s">
        <v>208</v>
      </c>
      <c r="B20" s="102" t="s">
        <v>139</v>
      </c>
      <c r="C20" s="14">
        <f>SUM(COUNTIFS(Games_2154[ATHLETE 2],Analysis_3155[[#This Row],[Atheletes ]],Games_2154[RESULT 12],Analysis_3155[[#Headers],[WIN]]),COUNTIFS(Games_2154[ATHLETE 4],Analysis_3155[[#This Row],[Atheletes ]],Games_2154[RESULT 34],Analysis_3155[[#Headers],[WIN]]))</f>
        <v>2</v>
      </c>
      <c r="D20" s="14">
        <f>SUM(COUNTIFS(Games_2154[ATHLETE 2],Analysis_3155[[#This Row],[Atheletes ]],Games_2154[RESULT 12],Analysis_3155[[#Headers],[LOSE]]),COUNTIFS(Games_2154[ATHLETE 4],Analysis_3155[[#This Row],[Atheletes ]],Games_2154[RESULT 34],Analysis_3155[[#Headers],[LOSE]]))</f>
        <v>1</v>
      </c>
      <c r="E20" s="46">
        <f>SUM(SUMIF(Games_2154[ATHLETE 2],Analysis_3155[[#This Row],[Atheletes ]],Games_2154[SALDO 12]),SUMIF(Games_2154[ATHLETE 4],Analysis_3155[[#This Row],[Atheletes ]],Games_2154[SALDO 34]))</f>
        <v>13</v>
      </c>
      <c r="F20" s="46">
        <f>SUM(SUMIF(Games_2154[ATHLETE 2],Analysis_3155[[#This Row],[Atheletes ]],Games_2154[PM 12]),SUMIF(Games_2154[ATHLETE 4],Analysis_3155[[#This Row],[Atheletes ]],Games_2154[PM 34]))</f>
        <v>49</v>
      </c>
      <c r="G20" s="430" t="str">
        <f>IF(COUNTBLANK(Games_2154[[SCORE 1]:[SCORE 2]])=0,IF(RANK(H20,$H$17:$H$20)=1,RANK(H20,$H$17:$H$20)&amp;"st",IF(RANK(H20,$H$17:$H$20)=2,RANK(H20,$H$17:$H$20)&amp;"nd",IF(RANK(H20,$H$17:$H$20)=3,RANK(H20,$H$17:$H$20)&amp;"rd",RANK(H20,$H$17:$H$20)&amp;"th"))),"")</f>
        <v>1st</v>
      </c>
      <c r="H20" s="51">
        <f>Analysis_3155[[#This Row],[WIN]]*1000000+Analysis_3155[[#This Row],[Saldo]]*1000+Analysis_3155[[#This Row],[PM]]</f>
        <v>2013049</v>
      </c>
      <c r="I20" s="51">
        <f t="shared" si="0"/>
        <v>2013049</v>
      </c>
      <c r="J20" s="2" t="str">
        <f>IF(COUNTBLANK(Games_2154[[SCORE 1]:[SCORE 2]])=0,IF(RANK(I20,$I$17:$I$24)=1,RANK(I20,$I$17:$I$24)&amp;"st",IF(RANK(I20,$I$17:$I$24)=2,RANK(I20,$I$17:$I$24)&amp;"nd",IF(RANK(I20,$I$17:$I$24)=3,RANK(I20,$I$17:$I$24)&amp;"rd",RANK(I20,$I$17:$I$24)&amp;"th"))),"")</f>
        <v>3rd</v>
      </c>
      <c r="K20" s="51" t="str">
        <f>Analysis_3155[[#This Row],[Atheletes ]]</f>
        <v>Larissa</v>
      </c>
      <c r="L20" s="2" t="str">
        <f t="shared" si="1"/>
        <v>3rd</v>
      </c>
    </row>
    <row r="21" spans="1:19" ht="30" customHeight="1">
      <c r="A21" s="2" t="s">
        <v>278</v>
      </c>
      <c r="B21" s="113" t="s">
        <v>278</v>
      </c>
      <c r="C21" s="11" t="s">
        <v>249</v>
      </c>
      <c r="D21" s="11" t="s">
        <v>249</v>
      </c>
      <c r="E21" s="11" t="s">
        <v>249</v>
      </c>
      <c r="F21" s="11" t="s">
        <v>249</v>
      </c>
      <c r="G21" s="11" t="s">
        <v>249</v>
      </c>
      <c r="H21" s="51" t="s">
        <v>249</v>
      </c>
      <c r="I21" s="51">
        <f>H25</f>
        <v>983035</v>
      </c>
      <c r="J21" s="2" t="str">
        <f>IF(COUNTBLANK(Games_2154[[SCORE 1]:[SCORE 2]])=0,IF(RANK(I21,$I$17:$I$24)=1,RANK(I21,$I$17:$I$24)&amp;"st",IF(RANK(I21,$I$17:$I$24)=2,RANK(I21,$I$17:$I$24)&amp;"nd",IF(RANK(I21,$I$17:$I$24)=3,RANK(I21,$I$17:$I$24)&amp;"rd",RANK(I21,$I$17:$I$24)&amp;"th"))),"")</f>
        <v>8th</v>
      </c>
      <c r="K21" s="51" t="str">
        <f>B25</f>
        <v>Bruna</v>
      </c>
      <c r="M21" s="548" t="s">
        <v>200</v>
      </c>
      <c r="N21" s="549"/>
      <c r="O21" s="549"/>
      <c r="P21" s="549"/>
      <c r="Q21" s="549"/>
      <c r="R21" s="549"/>
    </row>
    <row r="22" spans="1:19" ht="28.5" customHeight="1">
      <c r="A22" s="2" t="s">
        <v>279</v>
      </c>
      <c r="B22" s="113" t="s">
        <v>279</v>
      </c>
      <c r="C22" s="11" t="s">
        <v>249</v>
      </c>
      <c r="D22" s="11" t="s">
        <v>249</v>
      </c>
      <c r="E22" s="11" t="s">
        <v>249</v>
      </c>
      <c r="F22" s="11" t="s">
        <v>249</v>
      </c>
      <c r="G22" s="11" t="s">
        <v>249</v>
      </c>
      <c r="H22" s="51" t="s">
        <v>249</v>
      </c>
      <c r="I22" s="51">
        <f t="shared" ref="I22:I24" si="2">H26</f>
        <v>989041</v>
      </c>
      <c r="J22" s="2" t="str">
        <f>IF(COUNTBLANK(Games_2154[[SCORE 1]:[SCORE 2]])=0,IF(RANK(I22,$I$17:$I$24)=1,RANK(I22,$I$17:$I$24)&amp;"st",IF(RANK(I22,$I$17:$I$24)=2,RANK(I22,$I$17:$I$24)&amp;"nd",IF(RANK(I22,$I$17:$I$24)=3,RANK(I22,$I$17:$I$24)&amp;"rd",RANK(I22,$I$17:$I$24)&amp;"th"))),"")</f>
        <v>6th</v>
      </c>
      <c r="K22" s="51" t="str">
        <f t="shared" ref="K22:K24" si="3">B26</f>
        <v>Bia</v>
      </c>
      <c r="M22" s="424" t="s">
        <v>193</v>
      </c>
      <c r="N22" s="424" t="s">
        <v>194</v>
      </c>
      <c r="O22" s="552" t="s">
        <v>195</v>
      </c>
      <c r="P22" s="553"/>
      <c r="Q22" s="424" t="s">
        <v>196</v>
      </c>
      <c r="R22" s="424" t="s">
        <v>197</v>
      </c>
    </row>
    <row r="23" spans="1:19">
      <c r="I23" s="51">
        <f t="shared" si="2"/>
        <v>2013050</v>
      </c>
      <c r="J23" s="2" t="str">
        <f>IF(COUNTBLANK(Games_2154[[SCORE 1]:[SCORE 2]])=0,IF(RANK(I23,$I$17:$I$24)=1,RANK(I23,$I$17:$I$24)&amp;"st",IF(RANK(I23,$I$17:$I$24)=2,RANK(I23,$I$17:$I$24)&amp;"nd",IF(RANK(I23,$I$17:$I$24)=3,RANK(I23,$I$17:$I$24)&amp;"rd",RANK(I23,$I$17:$I$24)&amp;"th"))),"")</f>
        <v>2nd</v>
      </c>
      <c r="K23" s="51" t="str">
        <f t="shared" si="3"/>
        <v>Alex</v>
      </c>
      <c r="M23" s="432" t="str">
        <f>IF(OR($O$17="",$P$17=""),"",IF($O$18="WIN",$M$17,$Q$17))</f>
        <v>Kiki</v>
      </c>
      <c r="N23" s="115" t="str">
        <f>B19</f>
        <v>Fabiola</v>
      </c>
      <c r="O23" s="99">
        <v>18</v>
      </c>
      <c r="P23" s="98">
        <v>11</v>
      </c>
      <c r="Q23" s="432" t="str">
        <f>IF(OR($O$17="",$P$17=""),"",IF($O$18="WIN",$N$17,$R$17))</f>
        <v>Alex</v>
      </c>
      <c r="R23" s="115" t="str">
        <f>B20</f>
        <v>Larissa</v>
      </c>
    </row>
    <row r="24" spans="1:19" ht="15.95">
      <c r="A24" s="110" t="s">
        <v>246</v>
      </c>
      <c r="B24" s="43" t="s">
        <v>185</v>
      </c>
      <c r="C24" s="43" t="s">
        <v>186</v>
      </c>
      <c r="D24" s="43" t="s">
        <v>187</v>
      </c>
      <c r="E24" s="43" t="s">
        <v>188</v>
      </c>
      <c r="F24" s="43" t="s">
        <v>189</v>
      </c>
      <c r="G24" s="419" t="s">
        <v>8</v>
      </c>
      <c r="H24" s="419" t="s">
        <v>204</v>
      </c>
      <c r="I24" s="51">
        <f t="shared" si="2"/>
        <v>2015052</v>
      </c>
      <c r="J24" s="2" t="str">
        <f>IF(COUNTBLANK(Games_2154[[SCORE 1]:[SCORE 2]])=0,IF(RANK(I24,$I$17:$I$24)=1,RANK(I24,$I$17:$I$24)&amp;"st",IF(RANK(I24,$I$17:$I$24)=2,RANK(I24,$I$17:$I$24)&amp;"nd",IF(RANK(I24,$I$17:$I$24)=3,RANK(I24,$I$17:$I$24)&amp;"rd",RANK(I24,$I$17:$I$24)&amp;"th"))),"")</f>
        <v>1st</v>
      </c>
      <c r="K24" s="51" t="str">
        <f t="shared" si="3"/>
        <v>Kiki</v>
      </c>
      <c r="L24" s="425" t="s">
        <v>277</v>
      </c>
      <c r="M24" s="50" t="str">
        <f>IF(OR($O$23="",$P$23=""),"",IF($O$24="win",$U$3,$U$4))</f>
        <v>1st</v>
      </c>
      <c r="O24" s="2" t="str">
        <f>IF(OR(O23="",P23=""),"",IF((O23&gt;P23),"WIN","LOSE"))</f>
        <v>WIN</v>
      </c>
      <c r="P24" s="2" t="str">
        <f>IF(OR(O23="",P23=""),"",IF((O23&lt;P23),"WIN","LOSE"))</f>
        <v>LOSE</v>
      </c>
      <c r="Q24" s="50" t="str">
        <f>IF(OR($O$23="",$P$23=""),"",IF($P$24="win",$U$3,$U$4))</f>
        <v>2nd</v>
      </c>
    </row>
    <row r="25" spans="1:19">
      <c r="A25" s="96" t="s">
        <v>209</v>
      </c>
      <c r="B25" s="102" t="s">
        <v>143</v>
      </c>
      <c r="C25" s="14">
        <f>SUM(COUNTIFS(Games_2154[ATHLETE 2],Analysis_4157[[#This Row],[Atheletes ]],Games_2154[RESULT 12],Analysis_3155[[#Headers],[WIN]]),COUNTIFS(Games_2154[ATHLETE 4],Analysis_4157[[#This Row],[Atheletes ]],Games_2154[RESULT 34],Analysis_3155[[#Headers],[WIN]]))</f>
        <v>1</v>
      </c>
      <c r="D25" s="14">
        <f>SUM(COUNTIFS(Games_2154[ATHLETE 2],Analysis_4157[[#This Row],[Atheletes ]],Games_2154[RESULT 12],Analysis_3155[[#Headers],[LOSE]]),COUNTIFS(Games_2154[ATHLETE 4],Analysis_4157[[#This Row],[Atheletes ]],Games_2154[RESULT 34],Analysis_3155[[#Headers],[LOSE]]))</f>
        <v>2</v>
      </c>
      <c r="E25" s="46">
        <f>SUM(SUMIF(Games_2154[ATHLETE 2],Analysis_4157[[#This Row],[Atheletes ]],Games_2154[SALDO 12]),SUMIF(Games_2154[ATHLETE 4],Analysis_4157[[#This Row],[Atheletes ]],Games_2154[SALDO 34]))</f>
        <v>-17</v>
      </c>
      <c r="F25" s="46">
        <f>SUM(SUMIF(Games_2154[ATHLETE 2],Analysis_4157[[#This Row],[Atheletes ]],Games_2154[PM 12]),SUMIF(Games_2154[ATHLETE 4],Analysis_4157[[#This Row],[Atheletes ]],Games_2154[PM 34]))</f>
        <v>35</v>
      </c>
      <c r="G25" s="430" t="str">
        <f>IF(COUNTBLANK(Games_2154[[SCORE 1]:[SCORE 2]])=0,IF(RANK(H25,$H$25:$H$28)=1,RANK(H25,$H$25:$H$28)&amp;"st",IF(RANK(H25,$H$25:$H$28)=2,RANK(H25,$H$25:$H$28)&amp;"nd",IF(RANK(H25,$H$25:$H$28)=3,RANK(H25,$H$25:$H$28)&amp;"rd",RANK(H25,$H$25:$H$28)&amp;"th"))),"")</f>
        <v>4th</v>
      </c>
      <c r="H25" s="51">
        <f>Analysis_4157[[#This Row],[WIN]]*1000000+Analysis_4157[[#This Row],[Saldo]]*1000+Analysis_4157[[#This Row],[PM]]</f>
        <v>983035</v>
      </c>
      <c r="L25" s="2" t="str">
        <f>J21</f>
        <v>8th</v>
      </c>
    </row>
    <row r="26" spans="1:19">
      <c r="A26" s="430" t="s">
        <v>210</v>
      </c>
      <c r="B26" s="102" t="s">
        <v>141</v>
      </c>
      <c r="C26" s="14">
        <f>SUM(COUNTIFS(Games_2154[ATHLETE 2],Analysis_4157[[#This Row],[Atheletes ]],Games_2154[RESULT 12],Analysis_3155[[#Headers],[WIN]]),COUNTIFS(Games_2154[ATHLETE 4],Analysis_4157[[#This Row],[Atheletes ]],Games_2154[RESULT 34],Analysis_3155[[#Headers],[WIN]]))</f>
        <v>1</v>
      </c>
      <c r="D26" s="14">
        <f>SUM(COUNTIFS(Games_2154[ATHLETE 2],Analysis_4157[[#This Row],[Atheletes ]],Games_2154[RESULT 12],Analysis_3155[[#Headers],[LOSE]]),COUNTIFS(Games_2154[ATHLETE 4],Analysis_4157[[#This Row],[Atheletes ]],Games_2154[RESULT 34],Analysis_3155[[#Headers],[LOSE]]))</f>
        <v>2</v>
      </c>
      <c r="E26" s="46">
        <f>SUM(SUMIF(Games_2154[ATHLETE 2],Analysis_4157[[#This Row],[Atheletes ]],Games_2154[SALDO 12]),SUMIF(Games_2154[ATHLETE 4],Analysis_4157[[#This Row],[Atheletes ]],Games_2154[SALDO 34]))</f>
        <v>-11</v>
      </c>
      <c r="F26" s="46">
        <f>SUM(SUMIF(Games_2154[ATHLETE 2],Analysis_4157[[#This Row],[Atheletes ]],Games_2154[PM 12]),SUMIF(Games_2154[ATHLETE 4],Analysis_4157[[#This Row],[Atheletes ]],Games_2154[PM 34]))</f>
        <v>41</v>
      </c>
      <c r="G26" s="430" t="str">
        <f>IF(COUNTBLANK(Games_2154[[SCORE 1]:[SCORE 2]])=0,IF(RANK(H26,$H$25:$H$28)=1,RANK(H26,$H$25:$H$28)&amp;"st",IF(RANK(H26,$H$25:$H$28)=2,RANK(H26,$H$25:$H$28)&amp;"nd",IF(RANK(H26,$H$25:$H$28)=3,RANK(H26,$H$25:$H$28)&amp;"rd",RANK(H26,$H$25:$H$28)&amp;"th"))),"")</f>
        <v>3rd</v>
      </c>
      <c r="H26" s="51">
        <f>Analysis_4157[[#This Row],[WIN]]*1000000+Analysis_4157[[#This Row],[Saldo]]*1000+Analysis_4157[[#This Row],[PM]]</f>
        <v>989041</v>
      </c>
      <c r="L26" s="2" t="str">
        <f t="shared" ref="L26:L28" si="4">J22</f>
        <v>6th</v>
      </c>
    </row>
    <row r="27" spans="1:19">
      <c r="A27" s="96" t="s">
        <v>211</v>
      </c>
      <c r="B27" s="102" t="s">
        <v>125</v>
      </c>
      <c r="C27" s="14">
        <f>SUM(COUNTIFS(Games_2154[ATHLETE 2],Analysis_4157[[#This Row],[Atheletes ]],Games_2154[RESULT 12],Analysis_3155[[#Headers],[WIN]]),COUNTIFS(Games_2154[ATHLETE 4],Analysis_4157[[#This Row],[Atheletes ]],Games_2154[RESULT 34],Analysis_3155[[#Headers],[WIN]]))</f>
        <v>2</v>
      </c>
      <c r="D27" s="14">
        <f>SUM(COUNTIFS(Games_2154[ATHLETE 2],Analysis_4157[[#This Row],[Atheletes ]],Games_2154[RESULT 12],Analysis_3155[[#Headers],[LOSE]]),COUNTIFS(Games_2154[ATHLETE 4],Analysis_4157[[#This Row],[Atheletes ]],Games_2154[RESULT 34],Analysis_3155[[#Headers],[LOSE]]))</f>
        <v>1</v>
      </c>
      <c r="E27" s="46">
        <f>SUM(SUMIF(Games_2154[ATHLETE 2],Analysis_4157[[#This Row],[Atheletes ]],Games_2154[SALDO 12]),SUMIF(Games_2154[ATHLETE 4],Analysis_4157[[#This Row],[Atheletes ]],Games_2154[SALDO 34]))</f>
        <v>13</v>
      </c>
      <c r="F27" s="46">
        <f>SUM(SUMIF(Games_2154[ATHLETE 2],Analysis_4157[[#This Row],[Atheletes ]],Games_2154[PM 12]),SUMIF(Games_2154[ATHLETE 4],Analysis_4157[[#This Row],[Atheletes ]],Games_2154[PM 34]))</f>
        <v>50</v>
      </c>
      <c r="G27" s="430" t="str">
        <f>IF(COUNTBLANK(Games_2154[[SCORE 1]:[SCORE 2]])=0,IF(RANK(H27,$H$25:$H$28)=1,RANK(H27,$H$25:$H$28)&amp;"st",IF(RANK(H27,$H$25:$H$28)=2,RANK(H27,$H$25:$H$28)&amp;"nd",IF(RANK(H27,$H$25:$H$28)=3,RANK(H27,$H$25:$H$28)&amp;"rd",RANK(H27,$H$25:$H$28)&amp;"th"))),"")</f>
        <v>2nd</v>
      </c>
      <c r="H27" s="51">
        <f>Analysis_4157[[#This Row],[WIN]]*1000000+Analysis_4157[[#This Row],[Saldo]]*1000+Analysis_4157[[#This Row],[PM]]</f>
        <v>2013050</v>
      </c>
      <c r="L27" s="2" t="str">
        <f t="shared" si="4"/>
        <v>2nd</v>
      </c>
    </row>
    <row r="28" spans="1:19">
      <c r="A28" s="430" t="s">
        <v>212</v>
      </c>
      <c r="B28" s="102" t="s">
        <v>137</v>
      </c>
      <c r="C28" s="14">
        <f>SUM(COUNTIFS(Games_2154[ATHLETE 2],Analysis_4157[[#This Row],[Atheletes ]],Games_2154[RESULT 12],Analysis_3155[[#Headers],[WIN]]),COUNTIFS(Games_2154[ATHLETE 4],Analysis_4157[[#This Row],[Atheletes ]],Games_2154[RESULT 34],Analysis_3155[[#Headers],[WIN]]))</f>
        <v>2</v>
      </c>
      <c r="D28" s="14">
        <f>SUM(COUNTIFS(Games_2154[ATHLETE 2],Analysis_4157[[#This Row],[Atheletes ]],Games_2154[RESULT 12],Analysis_3155[[#Headers],[LOSE]]),COUNTIFS(Games_2154[ATHLETE 4],Analysis_4157[[#This Row],[Atheletes ]],Games_2154[RESULT 34],Analysis_3155[[#Headers],[LOSE]]))</f>
        <v>1</v>
      </c>
      <c r="E28" s="46">
        <f>SUM(SUMIF(Games_2154[ATHLETE 2],Analysis_4157[[#This Row],[Atheletes ]],Games_2154[SALDO 12]),SUMIF(Games_2154[ATHLETE 4],Analysis_4157[[#This Row],[Atheletes ]],Games_2154[SALDO 34]))</f>
        <v>15</v>
      </c>
      <c r="F28" s="46">
        <f>SUM(SUMIF(Games_2154[ATHLETE 2],Analysis_4157[[#This Row],[Atheletes ]],Games_2154[PM 12]),SUMIF(Games_2154[ATHLETE 4],Analysis_4157[[#This Row],[Atheletes ]],Games_2154[PM 34]))</f>
        <v>52</v>
      </c>
      <c r="G28" s="430" t="str">
        <f>IF(COUNTBLANK(Games_2154[[SCORE 1]:[SCORE 2]])=0,IF(RANK(H28,$H$25:$H$28)=1,RANK(H28,$H$25:$H$28)&amp;"st",IF(RANK(H28,$H$25:$H$28)=2,RANK(H28,$H$25:$H$28)&amp;"nd",IF(RANK(H28,$H$25:$H$28)=3,RANK(H28,$H$25:$H$28)&amp;"rd",RANK(H28,$H$25:$H$28)&amp;"th"))),"")</f>
        <v>1st</v>
      </c>
      <c r="H28" s="51">
        <f>Analysis_4157[[#This Row],[WIN]]*1000000+Analysis_4157[[#This Row],[Saldo]]*1000+Analysis_4157[[#This Row],[PM]]</f>
        <v>2015052</v>
      </c>
      <c r="L28" s="2" t="str">
        <f t="shared" si="4"/>
        <v>1st</v>
      </c>
    </row>
    <row r="29" spans="1:19">
      <c r="A29" s="96" t="s">
        <v>280</v>
      </c>
      <c r="B29" s="102" t="s">
        <v>280</v>
      </c>
      <c r="C29" s="109" t="s">
        <v>249</v>
      </c>
      <c r="D29" s="109" t="s">
        <v>249</v>
      </c>
      <c r="E29" s="109" t="s">
        <v>249</v>
      </c>
      <c r="F29" s="109" t="s">
        <v>249</v>
      </c>
      <c r="G29" s="109" t="s">
        <v>249</v>
      </c>
      <c r="H29" s="2" t="s">
        <v>249</v>
      </c>
    </row>
    <row r="30" spans="1:19">
      <c r="A30" s="430" t="s">
        <v>281</v>
      </c>
      <c r="B30" s="114" t="s">
        <v>281</v>
      </c>
      <c r="C30" s="109" t="s">
        <v>249</v>
      </c>
      <c r="D30" s="109" t="s">
        <v>249</v>
      </c>
      <c r="E30" s="109" t="s">
        <v>249</v>
      </c>
      <c r="F30" s="109" t="s">
        <v>249</v>
      </c>
      <c r="G30" s="109" t="s">
        <v>249</v>
      </c>
      <c r="H30" s="2" t="s">
        <v>249</v>
      </c>
    </row>
    <row r="31" spans="1:19" ht="15.95" thickBot="1"/>
    <row r="32" spans="1:19" ht="15.95" thickBot="1">
      <c r="A32" s="123" t="s">
        <v>218</v>
      </c>
      <c r="B32" s="124">
        <v>45814</v>
      </c>
      <c r="C32" s="44" t="s">
        <v>256</v>
      </c>
    </row>
  </sheetData>
  <sheetProtection algorithmName="SHA-512" hashValue="O0nTIReUAFdBlpJs/ntsAmDRUbp/PpvAeF6nD2G32t3YRAxxCny/wYTEPkcn6mcmq9R0Vv+dkDusRCIpcyoyUA==" saltValue="QYgRel0XYYi84TWHbUZkeA==" spinCount="100000" sheet="1" objects="1" scenarios="1"/>
  <mergeCells count="7">
    <mergeCell ref="O22:P22"/>
    <mergeCell ref="A1:A13"/>
    <mergeCell ref="T1:U1"/>
    <mergeCell ref="A15:G15"/>
    <mergeCell ref="M15:R15"/>
    <mergeCell ref="O16:P16"/>
    <mergeCell ref="M21:R21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E97C-796B-A44C-8DA1-0EF83D24F3CB}">
  <sheetPr codeName="Sheet14"/>
  <dimension ref="A1:X35"/>
  <sheetViews>
    <sheetView topLeftCell="M1" workbookViewId="0">
      <selection sqref="A1:I1"/>
    </sheetView>
    <sheetView workbookViewId="1">
      <selection sqref="A1:A13"/>
    </sheetView>
  </sheetViews>
  <sheetFormatPr defaultColWidth="8.85546875" defaultRowHeight="15"/>
  <cols>
    <col min="1" max="1" width="10.7109375" style="44" customWidth="1"/>
    <col min="2" max="4" width="20" style="44" customWidth="1"/>
    <col min="5" max="6" width="10.7109375" style="44" customWidth="1"/>
    <col min="7" max="7" width="14.140625" style="44" bestFit="1" customWidth="1"/>
    <col min="8" max="8" width="11.28515625" style="44" hidden="1" customWidth="1"/>
    <col min="9" max="9" width="12" style="44" hidden="1" customWidth="1"/>
    <col min="10" max="10" width="10.7109375" style="44" hidden="1" customWidth="1"/>
    <col min="11" max="11" width="8" style="44" hidden="1" customWidth="1"/>
    <col min="12" max="12" width="14.140625" style="44" bestFit="1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 ht="15" customHeight="1">
      <c r="A1" s="550" t="s">
        <v>282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283</v>
      </c>
      <c r="U1" s="545"/>
      <c r="W1" s="44" t="s">
        <v>205</v>
      </c>
      <c r="X1" s="44">
        <f>COUNTIF(Games_2107[[ATHLETE 1]:[ATHLETE 4]],W1)</f>
        <v>0</v>
      </c>
    </row>
    <row r="2" spans="1:24" ht="15" customHeight="1">
      <c r="A2" s="550"/>
      <c r="B2" s="430" t="s">
        <v>178</v>
      </c>
      <c r="C2" s="2" t="str">
        <f>$B$21</f>
        <v>HA1</v>
      </c>
      <c r="D2" s="38" t="str">
        <f>B17</f>
        <v>Amilcar</v>
      </c>
      <c r="E2" s="100">
        <v>17</v>
      </c>
      <c r="F2" s="101">
        <v>19</v>
      </c>
      <c r="G2" s="41" t="str">
        <f>$B$22</f>
        <v>HA2</v>
      </c>
      <c r="H2" s="41"/>
      <c r="I2" s="41"/>
      <c r="J2" s="41"/>
      <c r="K2" s="41"/>
      <c r="L2" s="2" t="str">
        <f>B18</f>
        <v>Ian</v>
      </c>
      <c r="M2" s="430">
        <f>IF(OR(Games_2107[[#This Row],[SCORE 1]]="",Games_2107[[#This Row],[SCORE 2]]=""),"",Games_2107[[#This Row],[SCORE 1]]-Games_2107[[#This Row],[SCORE 2]])</f>
        <v>-2</v>
      </c>
      <c r="N2" s="430">
        <f>IF(OR(Games_2107[[#This Row],[SCORE 1]]="",Games_2107[[#This Row],[SCORE 2]]=""),"",Games_2107[[#This Row],[SCORE 2]]-Games_2107[[#This Row],[SCORE 1]])</f>
        <v>2</v>
      </c>
      <c r="O2" s="430">
        <f>IF(Games_2107[[#This Row],[SCORE 1]]="","",Games_2107[[#This Row],[SCORE 1]])</f>
        <v>17</v>
      </c>
      <c r="P2" s="430">
        <f>IF(Games_2107[[#This Row],[SCORE 2]]="","",Games_2107[[#This Row],[SCORE 2]])</f>
        <v>19</v>
      </c>
      <c r="Q2" s="430" t="str">
        <f>IF(OR(Games_2107[[#This Row],[SCORE 1]]="",Games_2107[[#This Row],[SCORE 2]]=""),"",IF(Games_2107[[#This Row],[SALDO 12]]&gt;0, "WIN","LOSE"))</f>
        <v>LOSE</v>
      </c>
      <c r="R2" s="430" t="str">
        <f>IF(OR(Games_2107[[#This Row],[SCORE 2]]="",Games_2107[[#This Row],[SCORE 1]]=""),"",IF(Games_2107[[#This Row],[SALDO 34]]&gt;0, "WIN","LOSE"))</f>
        <v>WIN</v>
      </c>
      <c r="T2" s="35" t="s">
        <v>179</v>
      </c>
      <c r="U2" s="35" t="s">
        <v>8</v>
      </c>
      <c r="W2" s="44" t="s">
        <v>206</v>
      </c>
      <c r="X2" s="44">
        <f>COUNTIF(Games_2107[[ATHLETE 1]:[ATHLETE 4]],W2)</f>
        <v>0</v>
      </c>
    </row>
    <row r="3" spans="1:24">
      <c r="A3" s="550"/>
      <c r="B3" s="430" t="s">
        <v>180</v>
      </c>
      <c r="C3" s="2" t="str">
        <f>$B$29</f>
        <v>HB1</v>
      </c>
      <c r="D3" s="38" t="str">
        <f>B25</f>
        <v>Shiv</v>
      </c>
      <c r="E3" s="100">
        <v>12</v>
      </c>
      <c r="F3" s="101">
        <v>18</v>
      </c>
      <c r="G3" s="41" t="str">
        <f>$B$30</f>
        <v>HB2</v>
      </c>
      <c r="H3" s="41"/>
      <c r="I3" s="41"/>
      <c r="J3" s="41"/>
      <c r="K3" s="41"/>
      <c r="L3" s="2" t="str">
        <f>B26</f>
        <v>Thor</v>
      </c>
      <c r="M3" s="430">
        <f>IF(OR(Games_2107[[#This Row],[SCORE 1]]="",Games_2107[[#This Row],[SCORE 2]]=""),"",Games_2107[[#This Row],[SCORE 1]]-Games_2107[[#This Row],[SCORE 2]])</f>
        <v>-6</v>
      </c>
      <c r="N3" s="430">
        <f>IF(OR(Games_2107[[#This Row],[SCORE 1]]="",Games_2107[[#This Row],[SCORE 2]]=""),"",Games_2107[[#This Row],[SCORE 2]]-Games_2107[[#This Row],[SCORE 1]])</f>
        <v>6</v>
      </c>
      <c r="O3" s="430">
        <f>IF(Games_2107[[#This Row],[SCORE 1]]="","",Games_2107[[#This Row],[SCORE 1]])</f>
        <v>12</v>
      </c>
      <c r="P3" s="430">
        <f>IF(Games_2107[[#This Row],[SCORE 2]]="","",Games_2107[[#This Row],[SCORE 2]])</f>
        <v>18</v>
      </c>
      <c r="Q3" s="430" t="str">
        <f>IF(OR(Games_2107[[#This Row],[SCORE 1]]="",Games_2107[[#This Row],[SCORE 2]]=""),"",IF(Games_2107[[#This Row],[SALDO 12]]&gt;0, "WIN","LOSE"))</f>
        <v>LOSE</v>
      </c>
      <c r="R3" s="430" t="str">
        <f>IF(OR(Games_2107[[#This Row],[SCORE 2]]="",Games_2107[[#This Row],[SCORE 1]]=""),"",IF(Games_2107[[#This Row],[SALDO 34]]&gt;0, "WIN","LOSE"))</f>
        <v>WIN</v>
      </c>
      <c r="T3" s="2" t="str">
        <f>IFERROR(_xlfn.XLOOKUP(Table157223544789133510114[[#This Row],[Rank]],$M$35:$R$35,$M$34:$R$34),"")</f>
        <v>Ricardo</v>
      </c>
      <c r="U3" s="2" t="s">
        <v>19</v>
      </c>
      <c r="W3" s="44" t="s">
        <v>207</v>
      </c>
      <c r="X3" s="44">
        <f>COUNTIF(Games_2107[[ATHLETE 1]:[ATHLETE 4]],W3)</f>
        <v>0</v>
      </c>
    </row>
    <row r="4" spans="1:24">
      <c r="A4" s="550"/>
      <c r="B4" s="430" t="s">
        <v>178</v>
      </c>
      <c r="C4" s="2" t="str">
        <f>$B$21</f>
        <v>HA1</v>
      </c>
      <c r="D4" s="38" t="str">
        <f>B19</f>
        <v>Jorge</v>
      </c>
      <c r="E4" s="100">
        <v>16</v>
      </c>
      <c r="F4" s="101">
        <v>18</v>
      </c>
      <c r="G4" s="41" t="str">
        <f>$B$22</f>
        <v>HA2</v>
      </c>
      <c r="H4" s="41"/>
      <c r="I4" s="41"/>
      <c r="J4" s="41"/>
      <c r="K4" s="41"/>
      <c r="L4" s="2" t="str">
        <f>B20</f>
        <v>Ricardo</v>
      </c>
      <c r="M4" s="430">
        <f>IF(OR(Games_2107[[#This Row],[SCORE 1]]="",Games_2107[[#This Row],[SCORE 2]]=""),"",Games_2107[[#This Row],[SCORE 1]]-Games_2107[[#This Row],[SCORE 2]])</f>
        <v>-2</v>
      </c>
      <c r="N4" s="430">
        <f>IF(OR(Games_2107[[#This Row],[SCORE 1]]="",Games_2107[[#This Row],[SCORE 2]]=""),"",Games_2107[[#This Row],[SCORE 2]]-Games_2107[[#This Row],[SCORE 1]])</f>
        <v>2</v>
      </c>
      <c r="O4" s="430">
        <f>IF(Games_2107[[#This Row],[SCORE 1]]="","",Games_2107[[#This Row],[SCORE 1]])</f>
        <v>16</v>
      </c>
      <c r="P4" s="430">
        <f>IF(Games_2107[[#This Row],[SCORE 2]]="","",Games_2107[[#This Row],[SCORE 2]])</f>
        <v>18</v>
      </c>
      <c r="Q4" s="430" t="str">
        <f>IF(OR(Games_2107[[#This Row],[SCORE 1]]="",Games_2107[[#This Row],[SCORE 2]]=""),"",IF(Games_2107[[#This Row],[SALDO 12]]&gt;0, "WIN","LOSE"))</f>
        <v>LOSE</v>
      </c>
      <c r="R4" s="430" t="str">
        <f>IF(OR(Games_2107[[#This Row],[SCORE 2]]="",Games_2107[[#This Row],[SCORE 1]]=""),"",IF(Games_2107[[#This Row],[SALDO 34]]&gt;0, "WIN","LOSE"))</f>
        <v>WIN</v>
      </c>
      <c r="T4" s="2" t="str">
        <f>IFERROR(_xlfn.XLOOKUP(Table157223544789133510114[[#This Row],[Rank]],$M$35:$R$35,$M$34:$R$34),"")</f>
        <v>Shiv</v>
      </c>
      <c r="U4" s="2" t="s">
        <v>22</v>
      </c>
      <c r="W4" s="44" t="s">
        <v>208</v>
      </c>
      <c r="X4" s="44">
        <f>COUNTIF(Games_2107[[ATHLETE 1]:[ATHLETE 4]],W4)</f>
        <v>0</v>
      </c>
    </row>
    <row r="5" spans="1:24">
      <c r="A5" s="550"/>
      <c r="B5" s="430" t="s">
        <v>180</v>
      </c>
      <c r="C5" s="2" t="str">
        <f>$B$29</f>
        <v>HB1</v>
      </c>
      <c r="D5" s="38" t="str">
        <f>B27</f>
        <v>Walter</v>
      </c>
      <c r="E5" s="100">
        <v>18</v>
      </c>
      <c r="F5" s="101">
        <v>15</v>
      </c>
      <c r="G5" s="41" t="str">
        <f>$B$30</f>
        <v>HB2</v>
      </c>
      <c r="H5" s="41"/>
      <c r="I5" s="41"/>
      <c r="J5" s="41"/>
      <c r="K5" s="41"/>
      <c r="L5" s="2" t="str">
        <f>B28</f>
        <v>Ozzy</v>
      </c>
      <c r="M5" s="11">
        <f>IF(OR(Games_2107[[#This Row],[SCORE 1]]="",Games_2107[[#This Row],[SCORE 2]]=""),"",Games_2107[[#This Row],[SCORE 1]]-Games_2107[[#This Row],[SCORE 2]])</f>
        <v>3</v>
      </c>
      <c r="N5" s="430">
        <f>IF(OR(Games_2107[[#This Row],[SCORE 1]]="",Games_2107[[#This Row],[SCORE 2]]=""),"",Games_2107[[#This Row],[SCORE 2]]-Games_2107[[#This Row],[SCORE 1]])</f>
        <v>-3</v>
      </c>
      <c r="O5" s="430">
        <f>IF(Games_2107[[#This Row],[SCORE 1]]="","",Games_2107[[#This Row],[SCORE 1]])</f>
        <v>18</v>
      </c>
      <c r="P5" s="430">
        <f>IF(Games_2107[[#This Row],[SCORE 2]]="","",Games_2107[[#This Row],[SCORE 2]])</f>
        <v>15</v>
      </c>
      <c r="Q5" s="430" t="str">
        <f>IF(OR(Games_2107[[#This Row],[SCORE 1]]="",Games_2107[[#This Row],[SCORE 2]]=""),"",IF(Games_2107[[#This Row],[SALDO 12]]&gt;0, "WIN","LOSE"))</f>
        <v>WIN</v>
      </c>
      <c r="R5" s="430" t="str">
        <f>IF(OR(Games_2107[[#This Row],[SCORE 2]]="",Games_2107[[#This Row],[SCORE 1]]=""),"",IF(Games_2107[[#This Row],[SALDO 34]]&gt;0, "WIN","LOSE"))</f>
        <v>LOSE</v>
      </c>
      <c r="T5" s="2" t="str">
        <f>IFERROR(_xlfn.XLOOKUP(Table157223544789133510114[[#This Row],[Rank]],$M$29:$R$29,$M$28:$R$28),"")</f>
        <v>Walter</v>
      </c>
      <c r="U5" s="2" t="s">
        <v>25</v>
      </c>
      <c r="W5" s="44" t="s">
        <v>230</v>
      </c>
      <c r="X5" s="44">
        <f>COUNTIF(Games_2107[[ATHLETE 1]:[ATHLETE 4]],W5)</f>
        <v>0</v>
      </c>
    </row>
    <row r="6" spans="1:24">
      <c r="A6" s="550"/>
      <c r="B6" s="430" t="s">
        <v>178</v>
      </c>
      <c r="C6" s="2" t="str">
        <f>$B$21</f>
        <v>HA1</v>
      </c>
      <c r="D6" s="38" t="str">
        <f>B17</f>
        <v>Amilcar</v>
      </c>
      <c r="E6" s="100">
        <v>18</v>
      </c>
      <c r="F6" s="101">
        <v>12</v>
      </c>
      <c r="G6" s="41" t="str">
        <f>$B$22</f>
        <v>HA2</v>
      </c>
      <c r="H6" s="41"/>
      <c r="I6" s="41"/>
      <c r="J6" s="41"/>
      <c r="K6" s="41"/>
      <c r="L6" s="2" t="str">
        <f>B19</f>
        <v>Jorge</v>
      </c>
      <c r="M6" s="2">
        <f>IF(OR(Games_2107[[#This Row],[SCORE 1]]="",Games_2107[[#This Row],[SCORE 2]]=""),"",Games_2107[[#This Row],[SCORE 1]]-Games_2107[[#This Row],[SCORE 2]])</f>
        <v>6</v>
      </c>
      <c r="N6" s="430">
        <f>IF(OR(Games_2107[[#This Row],[SCORE 1]]="",Games_2107[[#This Row],[SCORE 2]]=""),"",Games_2107[[#This Row],[SCORE 2]]-Games_2107[[#This Row],[SCORE 1]])</f>
        <v>-6</v>
      </c>
      <c r="O6" s="430">
        <f>IF(Games_2107[[#This Row],[SCORE 1]]="","",Games_2107[[#This Row],[SCORE 1]])</f>
        <v>18</v>
      </c>
      <c r="P6" s="430">
        <f>IF(Games_2107[[#This Row],[SCORE 2]]="","",Games_2107[[#This Row],[SCORE 2]])</f>
        <v>12</v>
      </c>
      <c r="Q6" s="430" t="str">
        <f>IF(OR(Games_2107[[#This Row],[SCORE 1]]="",Games_2107[[#This Row],[SCORE 2]]=""),"",IF(Games_2107[[#This Row],[SALDO 12]]&gt;0, "WIN","LOSE"))</f>
        <v>WIN</v>
      </c>
      <c r="R6" s="430" t="str">
        <f>IF(OR(Games_2107[[#This Row],[SCORE 2]]="",Games_2107[[#This Row],[SCORE 1]]=""),"",IF(Games_2107[[#This Row],[SALDO 34]]&gt;0, "WIN","LOSE"))</f>
        <v>LOSE</v>
      </c>
      <c r="T6" s="2" t="str">
        <f>IFERROR(_xlfn.XLOOKUP(Table157223544789133510114[[#This Row],[Rank]],$M$29:$R$29,$M$28:$R$28),"")</f>
        <v>Jorge</v>
      </c>
      <c r="U6" s="2" t="s">
        <v>28</v>
      </c>
      <c r="W6" s="44" t="s">
        <v>245</v>
      </c>
      <c r="X6" s="44">
        <f>COUNTIF(Games_2107[[ATHLETE 1]:[ATHLETE 4]],W6)</f>
        <v>0</v>
      </c>
    </row>
    <row r="7" spans="1:24">
      <c r="A7" s="550"/>
      <c r="B7" s="430" t="s">
        <v>180</v>
      </c>
      <c r="C7" s="2" t="str">
        <f>$B$29</f>
        <v>HB1</v>
      </c>
      <c r="D7" s="38" t="str">
        <f>B25</f>
        <v>Shiv</v>
      </c>
      <c r="E7" s="100">
        <v>18</v>
      </c>
      <c r="F7" s="101">
        <v>16</v>
      </c>
      <c r="G7" s="41" t="str">
        <f>$B$30</f>
        <v>HB2</v>
      </c>
      <c r="H7" s="41"/>
      <c r="I7" s="41"/>
      <c r="J7" s="41"/>
      <c r="K7" s="41"/>
      <c r="L7" s="2" t="str">
        <f>B27</f>
        <v>Walter</v>
      </c>
      <c r="M7" s="2">
        <f>IF(OR(Games_2107[[#This Row],[SCORE 1]]="",Games_2107[[#This Row],[SCORE 2]]=""),"",Games_2107[[#This Row],[SCORE 1]]-Games_2107[[#This Row],[SCORE 2]])</f>
        <v>2</v>
      </c>
      <c r="N7" s="430">
        <f>IF(OR(Games_2107[[#This Row],[SCORE 1]]="",Games_2107[[#This Row],[SCORE 2]]=""),"",Games_2107[[#This Row],[SCORE 2]]-Games_2107[[#This Row],[SCORE 1]])</f>
        <v>-2</v>
      </c>
      <c r="O7" s="430">
        <f>IF(Games_2107[[#This Row],[SCORE 1]]="","",Games_2107[[#This Row],[SCORE 1]])</f>
        <v>18</v>
      </c>
      <c r="P7" s="430">
        <f>IF(Games_2107[[#This Row],[SCORE 2]]="","",Games_2107[[#This Row],[SCORE 2]])</f>
        <v>16</v>
      </c>
      <c r="Q7" s="430" t="str">
        <f>IF(OR(Games_2107[[#This Row],[SCORE 1]]="",Games_2107[[#This Row],[SCORE 2]]=""),"",IF(Games_2107[[#This Row],[SALDO 12]]&gt;0, "WIN","LOSE"))</f>
        <v>WIN</v>
      </c>
      <c r="R7" s="430" t="str">
        <f>IF(OR(Games_2107[[#This Row],[SCORE 2]]="",Games_2107[[#This Row],[SCORE 1]]=""),"",IF(Games_2107[[#This Row],[SALDO 34]]&gt;0, "WIN","LOSE"))</f>
        <v>LOSE</v>
      </c>
      <c r="T7" s="2" t="str">
        <f>IFERROR(IF($O$18="lose",$M$17,_xlfn.XLOOKUP(Table157223544789133510114[[#This Row],[Rank]],$M$23:$R$23,$M$22:$R$22)),"")</f>
        <v>Ian</v>
      </c>
      <c r="U7" s="2" t="s">
        <v>31</v>
      </c>
    </row>
    <row r="8" spans="1:24">
      <c r="A8" s="550"/>
      <c r="B8" s="430" t="s">
        <v>178</v>
      </c>
      <c r="C8" s="2" t="str">
        <f>$B$21</f>
        <v>HA1</v>
      </c>
      <c r="D8" s="38" t="str">
        <f>B18</f>
        <v>Ian</v>
      </c>
      <c r="E8" s="100">
        <v>18</v>
      </c>
      <c r="F8" s="101">
        <v>12</v>
      </c>
      <c r="G8" s="41" t="str">
        <f>$B$22</f>
        <v>HA2</v>
      </c>
      <c r="H8" s="41"/>
      <c r="I8" s="41"/>
      <c r="J8" s="41"/>
      <c r="K8" s="41"/>
      <c r="L8" s="2" t="str">
        <f>B20</f>
        <v>Ricardo</v>
      </c>
      <c r="M8" s="2">
        <f>IF(OR(Games_2107[[#This Row],[SCORE 1]]="",Games_2107[[#This Row],[SCORE 2]]=""),"",Games_2107[[#This Row],[SCORE 1]]-Games_2107[[#This Row],[SCORE 2]])</f>
        <v>6</v>
      </c>
      <c r="N8" s="430">
        <f>IF(OR(Games_2107[[#This Row],[SCORE 1]]="",Games_2107[[#This Row],[SCORE 2]]=""),"",Games_2107[[#This Row],[SCORE 2]]-Games_2107[[#This Row],[SCORE 1]])</f>
        <v>-6</v>
      </c>
      <c r="O8" s="430">
        <f>IF(Games_2107[[#This Row],[SCORE 1]]="","",Games_2107[[#This Row],[SCORE 1]])</f>
        <v>18</v>
      </c>
      <c r="P8" s="430">
        <f>IF(Games_2107[[#This Row],[SCORE 2]]="","",Games_2107[[#This Row],[SCORE 2]])</f>
        <v>12</v>
      </c>
      <c r="Q8" s="430" t="str">
        <f>IF(OR(Games_2107[[#This Row],[SCORE 1]]="",Games_2107[[#This Row],[SCORE 2]]=""),"",IF(Games_2107[[#This Row],[SALDO 12]]&gt;0, "WIN","LOSE"))</f>
        <v>WIN</v>
      </c>
      <c r="R8" s="430" t="str">
        <f>IF(OR(Games_2107[[#This Row],[SCORE 2]]="",Games_2107[[#This Row],[SCORE 1]]=""),"",IF(Games_2107[[#This Row],[SALDO 34]]&gt;0, "WIN","LOSE"))</f>
        <v>LOSE</v>
      </c>
      <c r="T8" s="2" t="str">
        <f>IFERROR(IF($O$18="lose",$N$17,_xlfn.XLOOKUP(Table157223544789133510114[[#This Row],[Rank]],$M$23:$R$23,$M$22:$R$22)),"")</f>
        <v>Thor</v>
      </c>
      <c r="U8" s="2" t="s">
        <v>34</v>
      </c>
    </row>
    <row r="9" spans="1:24">
      <c r="A9" s="550"/>
      <c r="B9" s="430" t="s">
        <v>180</v>
      </c>
      <c r="C9" s="2" t="str">
        <f>$B$29</f>
        <v>HB1</v>
      </c>
      <c r="D9" s="38" t="str">
        <f>B26</f>
        <v>Thor</v>
      </c>
      <c r="E9" s="100">
        <v>8</v>
      </c>
      <c r="F9" s="101">
        <v>18</v>
      </c>
      <c r="G9" s="41" t="str">
        <f>$B$30</f>
        <v>HB2</v>
      </c>
      <c r="H9" s="41"/>
      <c r="I9" s="41"/>
      <c r="J9" s="41"/>
      <c r="K9" s="41"/>
      <c r="L9" s="2" t="str">
        <f>B28</f>
        <v>Ozzy</v>
      </c>
      <c r="M9" s="2">
        <f>IF(OR(Games_2107[[#This Row],[SCORE 1]]="",Games_2107[[#This Row],[SCORE 2]]=""),"",Games_2107[[#This Row],[SCORE 1]]-Games_2107[[#This Row],[SCORE 2]])</f>
        <v>-10</v>
      </c>
      <c r="N9" s="430">
        <f>IF(OR(Games_2107[[#This Row],[SCORE 1]]="",Games_2107[[#This Row],[SCORE 2]]=""),"",Games_2107[[#This Row],[SCORE 2]]-Games_2107[[#This Row],[SCORE 1]])</f>
        <v>10</v>
      </c>
      <c r="O9" s="430">
        <f>IF(Games_2107[[#This Row],[SCORE 1]]="","",Games_2107[[#This Row],[SCORE 1]])</f>
        <v>8</v>
      </c>
      <c r="P9" s="430">
        <f>IF(Games_2107[[#This Row],[SCORE 2]]="","",Games_2107[[#This Row],[SCORE 2]])</f>
        <v>18</v>
      </c>
      <c r="Q9" s="430" t="str">
        <f>IF(OR(Games_2107[[#This Row],[SCORE 1]]="",Games_2107[[#This Row],[SCORE 2]]=""),"",IF(Games_2107[[#This Row],[SALDO 12]]&gt;0, "WIN","LOSE"))</f>
        <v>LOSE</v>
      </c>
      <c r="R9" s="430" t="str">
        <f>IF(OR(Games_2107[[#This Row],[SCORE 2]]="",Games_2107[[#This Row],[SCORE 1]]=""),"",IF(Games_2107[[#This Row],[SALDO 34]]&gt;0, "WIN","LOSE"))</f>
        <v>WIN</v>
      </c>
      <c r="T9" s="2" t="str">
        <f>IFERROR(IF($P$18="lose",$Q$17,_xlfn.XLOOKUP(Table157223544789133510114[[#This Row],[Rank]],$M$23:$R$23,$M$22:$R$22)),"")</f>
        <v>Amilcar</v>
      </c>
      <c r="U9" s="2" t="s">
        <v>37</v>
      </c>
    </row>
    <row r="10" spans="1:24">
      <c r="A10" s="550"/>
      <c r="B10" s="430" t="s">
        <v>178</v>
      </c>
      <c r="C10" s="2" t="str">
        <f>$B$21</f>
        <v>HA1</v>
      </c>
      <c r="D10" s="38" t="str">
        <f>B20</f>
        <v>Ricardo</v>
      </c>
      <c r="E10" s="100">
        <v>18</v>
      </c>
      <c r="F10" s="101">
        <v>15</v>
      </c>
      <c r="G10" s="41" t="str">
        <f>$B$22</f>
        <v>HA2</v>
      </c>
      <c r="H10" s="41"/>
      <c r="I10" s="41"/>
      <c r="J10" s="41"/>
      <c r="K10" s="41"/>
      <c r="L10" s="2" t="str">
        <f>B17</f>
        <v>Amilcar</v>
      </c>
      <c r="M10" s="2">
        <f>IF(OR(Games_2107[[#This Row],[SCORE 1]]="",Games_2107[[#This Row],[SCORE 2]]=""),"",Games_2107[[#This Row],[SCORE 1]]-Games_2107[[#This Row],[SCORE 2]])</f>
        <v>3</v>
      </c>
      <c r="N10" s="430">
        <f>IF(OR(Games_2107[[#This Row],[SCORE 1]]="",Games_2107[[#This Row],[SCORE 2]]=""),"",Games_2107[[#This Row],[SCORE 2]]-Games_2107[[#This Row],[SCORE 1]])</f>
        <v>-3</v>
      </c>
      <c r="O10" s="430">
        <f>IF(Games_2107[[#This Row],[SCORE 1]]="","",Games_2107[[#This Row],[SCORE 1]])</f>
        <v>18</v>
      </c>
      <c r="P10" s="430">
        <f>IF(Games_2107[[#This Row],[SCORE 2]]="","",Games_2107[[#This Row],[SCORE 2]])</f>
        <v>15</v>
      </c>
      <c r="Q10" s="430" t="str">
        <f>IF(OR(Games_2107[[#This Row],[SCORE 1]]="",Games_2107[[#This Row],[SCORE 2]]=""),"",IF(Games_2107[[#This Row],[SALDO 12]]&gt;0, "WIN","LOSE"))</f>
        <v>WIN</v>
      </c>
      <c r="R10" s="430" t="str">
        <f>IF(OR(Games_2107[[#This Row],[SCORE 2]]="",Games_2107[[#This Row],[SCORE 1]]=""),"",IF(Games_2107[[#This Row],[SALDO 34]]&gt;0, "WIN","LOSE"))</f>
        <v>LOSE</v>
      </c>
      <c r="T10" s="2" t="str">
        <f>IFERROR(IF($P$18="lose",$R$17,_xlfn.XLOOKUP(Table157223544789133510114[[#This Row],[Rank]],$M$23:$R$23,$M$22:$R$22)),"")</f>
        <v>Ozzy</v>
      </c>
      <c r="U10" s="2" t="s">
        <v>41</v>
      </c>
    </row>
    <row r="11" spans="1:24">
      <c r="A11" s="550"/>
      <c r="B11" s="11" t="s">
        <v>180</v>
      </c>
      <c r="C11" s="2" t="str">
        <f>$B$29</f>
        <v>HB1</v>
      </c>
      <c r="D11" s="38" t="str">
        <f>B28</f>
        <v>Ozzy</v>
      </c>
      <c r="E11" s="111">
        <v>11</v>
      </c>
      <c r="F11" s="112">
        <v>18</v>
      </c>
      <c r="G11" s="41" t="str">
        <f>$B$30</f>
        <v>HB2</v>
      </c>
      <c r="H11" s="97"/>
      <c r="I11" s="97"/>
      <c r="J11" s="97"/>
      <c r="K11" s="97"/>
      <c r="L11" s="2" t="str">
        <f>B25</f>
        <v>Shiv</v>
      </c>
      <c r="M11" s="2">
        <f>IF(OR(Games_2107[[#This Row],[SCORE 1]]="",Games_2107[[#This Row],[SCORE 2]]=""),"",Games_2107[[#This Row],[SCORE 1]]-Games_2107[[#This Row],[SCORE 2]])</f>
        <v>-7</v>
      </c>
      <c r="N11" s="11">
        <f>IF(OR(Games_2107[[#This Row],[SCORE 1]]="",Games_2107[[#This Row],[SCORE 2]]=""),"",Games_2107[[#This Row],[SCORE 2]]-Games_2107[[#This Row],[SCORE 1]])</f>
        <v>7</v>
      </c>
      <c r="O11" s="11">
        <f>IF(Games_2107[[#This Row],[SCORE 1]]="","",Games_2107[[#This Row],[SCORE 1]])</f>
        <v>11</v>
      </c>
      <c r="P11" s="11">
        <f>IF(Games_2107[[#This Row],[SCORE 2]]="","",Games_2107[[#This Row],[SCORE 2]])</f>
        <v>18</v>
      </c>
      <c r="Q11" s="11" t="str">
        <f>IF(OR(Games_2107[[#This Row],[SCORE 1]]="",Games_2107[[#This Row],[SCORE 2]]=""),"",IF(Games_2107[[#This Row],[SALDO 12]]&gt;0, "WIN","LOSE"))</f>
        <v>LOSE</v>
      </c>
      <c r="R11" s="11" t="str">
        <f>IF(OR(Games_2107[[#This Row],[SCORE 2]]="",Games_2107[[#This Row],[SCORE 1]]=""),"",IF(Games_2107[[#This Row],[SALDO 34]]&gt;0, "WIN","LOSE"))</f>
        <v>WIN</v>
      </c>
    </row>
    <row r="12" spans="1:24">
      <c r="A12" s="550"/>
      <c r="B12" s="11" t="s">
        <v>178</v>
      </c>
      <c r="C12" s="2" t="str">
        <f>$B$21</f>
        <v>HA1</v>
      </c>
      <c r="D12" s="38" t="str">
        <f>B18</f>
        <v>Ian</v>
      </c>
      <c r="E12" s="111">
        <v>18</v>
      </c>
      <c r="F12" s="112">
        <v>2</v>
      </c>
      <c r="G12" s="41" t="str">
        <f>$B$22</f>
        <v>HA2</v>
      </c>
      <c r="H12" s="97"/>
      <c r="I12" s="97"/>
      <c r="J12" s="97"/>
      <c r="K12" s="97"/>
      <c r="L12" s="2" t="str">
        <f>B19</f>
        <v>Jorge</v>
      </c>
      <c r="M12" s="2">
        <f>IF(OR(Games_2107[[#This Row],[SCORE 1]]="",Games_2107[[#This Row],[SCORE 2]]=""),"",Games_2107[[#This Row],[SCORE 1]]-Games_2107[[#This Row],[SCORE 2]])</f>
        <v>16</v>
      </c>
      <c r="N12" s="11">
        <f>IF(OR(Games_2107[[#This Row],[SCORE 1]]="",Games_2107[[#This Row],[SCORE 2]]=""),"",Games_2107[[#This Row],[SCORE 2]]-Games_2107[[#This Row],[SCORE 1]])</f>
        <v>-16</v>
      </c>
      <c r="O12" s="11">
        <f>IF(Games_2107[[#This Row],[SCORE 1]]="","",Games_2107[[#This Row],[SCORE 1]])</f>
        <v>18</v>
      </c>
      <c r="P12" s="11">
        <f>IF(Games_2107[[#This Row],[SCORE 2]]="","",Games_2107[[#This Row],[SCORE 2]])</f>
        <v>2</v>
      </c>
      <c r="Q12" s="11" t="str">
        <f>IF(OR(Games_2107[[#This Row],[SCORE 1]]="",Games_2107[[#This Row],[SCORE 2]]=""),"",IF(Games_2107[[#This Row],[SALDO 12]]&gt;0, "WIN","LOSE"))</f>
        <v>WIN</v>
      </c>
      <c r="R12" s="11" t="str">
        <f>IF(OR(Games_2107[[#This Row],[SCORE 2]]="",Games_2107[[#This Row],[SCORE 1]]=""),"",IF(Games_2107[[#This Row],[SALDO 34]]&gt;0, "WIN","LOSE"))</f>
        <v>LOSE</v>
      </c>
    </row>
    <row r="13" spans="1:24">
      <c r="A13" s="550"/>
      <c r="B13" s="11" t="s">
        <v>180</v>
      </c>
      <c r="C13" s="2" t="str">
        <f>$B$29</f>
        <v>HB1</v>
      </c>
      <c r="D13" s="38" t="str">
        <f>B26</f>
        <v>Thor</v>
      </c>
      <c r="E13" s="111">
        <v>18</v>
      </c>
      <c r="F13" s="112">
        <v>1</v>
      </c>
      <c r="G13" s="41" t="str">
        <f>$B$30</f>
        <v>HB2</v>
      </c>
      <c r="H13" s="97"/>
      <c r="I13" s="97"/>
      <c r="J13" s="97"/>
      <c r="K13" s="97"/>
      <c r="L13" s="2" t="str">
        <f>B27</f>
        <v>Walter</v>
      </c>
      <c r="M13" s="2">
        <f>IF(OR(Games_2107[[#This Row],[SCORE 1]]="",Games_2107[[#This Row],[SCORE 2]]=""),"",Games_2107[[#This Row],[SCORE 1]]-Games_2107[[#This Row],[SCORE 2]])</f>
        <v>17</v>
      </c>
      <c r="N13" s="11">
        <f>IF(OR(Games_2107[[#This Row],[SCORE 1]]="",Games_2107[[#This Row],[SCORE 2]]=""),"",Games_2107[[#This Row],[SCORE 2]]-Games_2107[[#This Row],[SCORE 1]])</f>
        <v>-17</v>
      </c>
      <c r="O13" s="11">
        <f>IF(Games_2107[[#This Row],[SCORE 1]]="","",Games_2107[[#This Row],[SCORE 1]])</f>
        <v>18</v>
      </c>
      <c r="P13" s="11">
        <f>IF(Games_2107[[#This Row],[SCORE 2]]="","",Games_2107[[#This Row],[SCORE 2]])</f>
        <v>1</v>
      </c>
      <c r="Q13" s="11" t="str">
        <f>IF(OR(Games_2107[[#This Row],[SCORE 1]]="",Games_2107[[#This Row],[SCORE 2]]=""),"",IF(Games_2107[[#This Row],[SALDO 12]]&gt;0, "WIN","LOSE"))</f>
        <v>WIN</v>
      </c>
      <c r="R13" s="11" t="str">
        <f>IF(OR(Games_2107[[#This Row],[SCORE 2]]="",Games_2107[[#This Row],[SCORE 1]]=""),"",IF(Games_2107[[#This Row],[SALDO 34]]&gt;0, "WIN","LOSE"))</f>
        <v>LOSE</v>
      </c>
    </row>
    <row r="14" spans="1:24" ht="30" customHeight="1"/>
    <row r="15" spans="1:24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47" t="s">
        <v>183</v>
      </c>
      <c r="N15" s="547"/>
      <c r="O15" s="547"/>
      <c r="P15" s="547"/>
      <c r="Q15" s="547"/>
      <c r="R15" s="547"/>
    </row>
    <row r="16" spans="1:24" ht="15.95">
      <c r="A16" s="6" t="s">
        <v>246</v>
      </c>
      <c r="B16" s="43" t="s">
        <v>185</v>
      </c>
      <c r="C16" s="43" t="s">
        <v>186</v>
      </c>
      <c r="D16" s="43" t="s">
        <v>187</v>
      </c>
      <c r="E16" s="43" t="s">
        <v>188</v>
      </c>
      <c r="F16" s="43" t="s">
        <v>189</v>
      </c>
      <c r="G16" s="43" t="s">
        <v>8</v>
      </c>
      <c r="H16" s="425" t="s">
        <v>204</v>
      </c>
      <c r="I16" s="425" t="s">
        <v>191</v>
      </c>
      <c r="J16" s="425" t="s">
        <v>192</v>
      </c>
      <c r="K16" s="425" t="s">
        <v>1</v>
      </c>
      <c r="L16" s="425" t="s">
        <v>192</v>
      </c>
      <c r="M16" s="426" t="s">
        <v>193</v>
      </c>
      <c r="N16" s="426" t="s">
        <v>194</v>
      </c>
      <c r="O16" s="558" t="s">
        <v>195</v>
      </c>
      <c r="P16" s="558"/>
      <c r="Q16" s="426" t="s">
        <v>196</v>
      </c>
      <c r="R16" s="426" t="s">
        <v>197</v>
      </c>
    </row>
    <row r="17" spans="1:19">
      <c r="A17" s="3" t="s">
        <v>205</v>
      </c>
      <c r="B17" s="102" t="s">
        <v>150</v>
      </c>
      <c r="C17" s="14">
        <f>SUM(COUNTIFS(Games_2107[ATHLETE 2],Analysis_3108[[#This Row],[Atheletes ]],Games_2107[RESULT 12],Analysis_3108[[#Headers],[WIN]]),COUNTIFS(Games_2107[ATHLETE 4],Analysis_3108[[#This Row],[Atheletes ]],Games_2107[RESULT 34],Analysis_3108[[#Headers],[WIN]]))</f>
        <v>1</v>
      </c>
      <c r="D17" s="14">
        <f>SUM(COUNTIFS(Games_2107[ATHLETE 2],Analysis_3108[[#This Row],[Atheletes ]],Games_2107[RESULT 12],Analysis_3108[[#Headers],[LOSE]]),COUNTIFS(Games_2107[ATHLETE 4],Analysis_3108[[#This Row],[Atheletes ]],Games_2107[RESULT 34],Analysis_3108[[#Headers],[LOSE]]))</f>
        <v>2</v>
      </c>
      <c r="E17" s="46">
        <f>SUM(SUMIF(Games_2107[ATHLETE 2],Analysis_3108[[#This Row],[Atheletes ]],Games_2107[SALDO 12]),SUMIF(Games_2107[ATHLETE 4],Analysis_3108[[#This Row],[Atheletes ]],Games_2107[SALDO 34]))</f>
        <v>1</v>
      </c>
      <c r="F17" s="46">
        <f>SUM(SUMIF(Games_2107[ATHLETE 2],Analysis_3108[[#This Row],[Atheletes ]],Games_2107[PM 12]),SUMIF(Games_2107[ATHLETE 4],Analysis_3108[[#This Row],[Atheletes ]],Games_2107[PM 34]))</f>
        <v>50</v>
      </c>
      <c r="G17" s="430" t="str">
        <f>IF(COUNTBLANK(Games_2107[[SCORE 1]:[SCORE 2]])=0,IF(RANK(H17,$H$17:$H$20)=1,RANK(H17,$H$17:$H$20)&amp;"st",IF(RANK(H17,$H$17:$H$20)=2,RANK(H17,$H$17:$H$20)&amp;"nd",IF(RANK(H17,$H$17:$H$20)=3,RANK(H17,$H$17:$H$20)&amp;"rd",RANK(H17,$H$17:$H$20)&amp;"th"))),"")</f>
        <v>3rd</v>
      </c>
      <c r="H17" s="51">
        <f>Analysis_3108[[#This Row],[WIN]]*1000000+Analysis_3108[[#This Row],[Saldo]]*1000+Analysis_3108[[#This Row],[PM]]</f>
        <v>1001050</v>
      </c>
      <c r="I17" s="51">
        <f>H17</f>
        <v>1001050</v>
      </c>
      <c r="J17" s="2" t="str">
        <f>IF(COUNTBLANK(Games_2107[[SCORE 1]:[SCORE 2]])=0,IF(RANK(I17,$I$17:$I$24)=1,RANK(I17,$I$17:$I$24)&amp;"st",IF(RANK(I17,$I$17:$I$24)=2,RANK(I17,$I$17:$I$24)&amp;"nd",IF(RANK(I17,$I$17:$I$24)=3,RANK(I17,$I$17:$I$24)&amp;"rd",RANK(I17,$I$17:$I$24)&amp;"th"))),"")</f>
        <v>5th</v>
      </c>
      <c r="K17" s="51" t="str">
        <f>Analysis_3108[[#This Row],[Atheletes ]]</f>
        <v>Amilcar</v>
      </c>
      <c r="L17" s="2" t="str">
        <f>J17</f>
        <v>5th</v>
      </c>
      <c r="M17" s="156" t="str" cm="1">
        <f t="array" ref="M17">_xlfn.TEXTJOIN(", ", TRUE, _xlfn._xlws.FILTER($K$17:$K$25, $J$17:$J$25=$U$3, ""))</f>
        <v>Ian</v>
      </c>
      <c r="N17" s="156" t="str" cm="1">
        <f t="array" ref="N17">_xlfn.TEXTJOIN(", ", TRUE, _xlfn._xlws.FILTER($K$17:$K$25, $J$17:$J$25=$U$4, ""))</f>
        <v>Thor</v>
      </c>
      <c r="O17" s="157">
        <v>19</v>
      </c>
      <c r="P17" s="158">
        <v>21</v>
      </c>
      <c r="Q17" s="156" t="str" cm="1">
        <f t="array" ref="Q17">_xlfn.TEXTJOIN(", ", TRUE, _xlfn._xlws.FILTER($K$17:$K$25, $J$17:$J$25=$U$9, ""))</f>
        <v>Walter</v>
      </c>
      <c r="R17" s="156" t="str" cm="1">
        <f t="array" ref="R17">_xlfn.TEXTJOIN(", ", TRUE, _xlfn._xlws.FILTER($K$14:$K$25, $J$14:$J$25=$U$10, ""))</f>
        <v>Jorge</v>
      </c>
    </row>
    <row r="18" spans="1:19">
      <c r="A18" s="3" t="s">
        <v>206</v>
      </c>
      <c r="B18" s="102" t="s">
        <v>155</v>
      </c>
      <c r="C18" s="14">
        <f>SUM(COUNTIFS(Games_2107[ATHLETE 2],Analysis_3108[[#This Row],[Atheletes ]],Games_2107[RESULT 12],Analysis_3108[[#Headers],[WIN]]),COUNTIFS(Games_2107[ATHLETE 4],Analysis_3108[[#This Row],[Atheletes ]],Games_2107[RESULT 34],Analysis_3108[[#Headers],[WIN]]))</f>
        <v>3</v>
      </c>
      <c r="D18" s="14">
        <f>SUM(COUNTIFS(Games_2107[ATHLETE 2],Analysis_3108[[#This Row],[Atheletes ]],Games_2107[RESULT 12],Analysis_3108[[#Headers],[LOSE]]),COUNTIFS(Games_2107[ATHLETE 4],Analysis_3108[[#This Row],[Atheletes ]],Games_2107[RESULT 34],Analysis_3108[[#Headers],[LOSE]]))</f>
        <v>0</v>
      </c>
      <c r="E18" s="46">
        <f>SUM(SUMIF(Games_2107[ATHLETE 2],Analysis_3108[[#This Row],[Atheletes ]],Games_2107[SALDO 12]),SUMIF(Games_2107[ATHLETE 4],Analysis_3108[[#This Row],[Atheletes ]],Games_2107[SALDO 34]))</f>
        <v>24</v>
      </c>
      <c r="F18" s="46">
        <f>SUM(SUMIF(Games_2107[ATHLETE 2],Analysis_3108[[#This Row],[Atheletes ]],Games_2107[PM 12]),SUMIF(Games_2107[ATHLETE 4],Analysis_3108[[#This Row],[Atheletes ]],Games_2107[PM 34]))</f>
        <v>55</v>
      </c>
      <c r="G18" s="430" t="str">
        <f>IF(COUNTBLANK(Games_2107[[SCORE 1]:[SCORE 2]])=0,IF(RANK(H18,$H$17:$H$20)=1,RANK(H18,$H$17:$H$20)&amp;"st",IF(RANK(H18,$H$17:$H$20)=2,RANK(H18,$H$17:$H$20)&amp;"nd",IF(RANK(H18,$H$17:$H$20)=3,RANK(H18,$H$17:$H$20)&amp;"rd",RANK(H18,$H$17:$H$20)&amp;"th"))),"")</f>
        <v>1st</v>
      </c>
      <c r="H18" s="51">
        <f>Analysis_3108[[#This Row],[WIN]]*1000000+Analysis_3108[[#This Row],[Saldo]]*1000+Analysis_3108[[#This Row],[PM]]</f>
        <v>3024055</v>
      </c>
      <c r="I18" s="51">
        <f t="shared" ref="I18:I20" si="0">H18</f>
        <v>3024055</v>
      </c>
      <c r="J18" s="2" t="str">
        <f>IF(COUNTBLANK(Games_2107[[SCORE 1]:[SCORE 2]])=0,IF(RANK(I18,$I$17:$I$24)=1,RANK(I18,$I$17:$I$24)&amp;"st",IF(RANK(I18,$I$17:$I$24)=2,RANK(I18,$I$17:$I$24)&amp;"nd",IF(RANK(I18,$I$17:$I$24)=3,RANK(I18,$I$17:$I$24)&amp;"rd",RANK(I18,$I$17:$I$24)&amp;"th"))),"")</f>
        <v>1st</v>
      </c>
      <c r="K18" s="51" t="str">
        <f>Analysis_3108[[#This Row],[Atheletes ]]</f>
        <v>Ian</v>
      </c>
      <c r="L18" s="2" t="str">
        <f t="shared" ref="L18:L20" si="1">J18</f>
        <v>1st</v>
      </c>
      <c r="M18" s="127" t="str">
        <f>IF($O$18="lose",$U$7,"")</f>
        <v>5th</v>
      </c>
      <c r="N18" s="127" t="str">
        <f>IF($O$18="lose",$U$8,"")</f>
        <v>6th</v>
      </c>
      <c r="O18" s="2" t="str">
        <f>IF(OR(O17="",P17=""),"",IF((O17&gt;P17),"WIN","LOSE"))</f>
        <v>LOSE</v>
      </c>
      <c r="P18" s="2" t="str">
        <f>IF(OR(O17="",P17=""),"",IF((O17&lt;P17),"WIN","LOSE"))</f>
        <v>WIN</v>
      </c>
      <c r="Q18" s="127" t="str">
        <f>IF($P$18="lose",$U$9,"")</f>
        <v/>
      </c>
      <c r="R18" s="127" t="str">
        <f>IF($P$18="lose",$U$10,"")</f>
        <v/>
      </c>
      <c r="S18" s="47"/>
    </row>
    <row r="19" spans="1:19" ht="15.95">
      <c r="A19" s="5" t="s">
        <v>207</v>
      </c>
      <c r="B19" s="102" t="s">
        <v>152</v>
      </c>
      <c r="C19" s="14">
        <f>SUM(COUNTIFS(Games_2107[ATHLETE 2],Analysis_3108[[#This Row],[Atheletes ]],Games_2107[RESULT 12],Analysis_3108[[#Headers],[WIN]]),COUNTIFS(Games_2107[ATHLETE 4],Analysis_3108[[#This Row],[Atheletes ]],Games_2107[RESULT 34],Analysis_3108[[#Headers],[WIN]]))</f>
        <v>0</v>
      </c>
      <c r="D19" s="14">
        <f>SUM(COUNTIFS(Games_2107[ATHLETE 2],Analysis_3108[[#This Row],[Atheletes ]],Games_2107[RESULT 12],Analysis_3108[[#Headers],[LOSE]]),COUNTIFS(Games_2107[ATHLETE 4],Analysis_3108[[#This Row],[Atheletes ]],Games_2107[RESULT 34],Analysis_3108[[#Headers],[LOSE]]))</f>
        <v>3</v>
      </c>
      <c r="E19" s="46">
        <f>SUM(SUMIF(Games_2107[ATHLETE 2],Analysis_3108[[#This Row],[Atheletes ]],Games_2107[SALDO 12]),SUMIF(Games_2107[ATHLETE 4],Analysis_3108[[#This Row],[Atheletes ]],Games_2107[SALDO 34]))</f>
        <v>-24</v>
      </c>
      <c r="F19" s="46">
        <f>SUM(SUMIF(Games_2107[ATHLETE 2],Analysis_3108[[#This Row],[Atheletes ]],Games_2107[PM 12]),SUMIF(Games_2107[ATHLETE 4],Analysis_3108[[#This Row],[Atheletes ]],Games_2107[PM 34]))</f>
        <v>30</v>
      </c>
      <c r="G19" s="430" t="str">
        <f>IF(COUNTBLANK(Games_2107[[SCORE 1]:[SCORE 2]])=0,IF(RANK(H19,$H$17:$H$20)=1,RANK(H19,$H$17:$H$20)&amp;"st",IF(RANK(H19,$H$17:$H$20)=2,RANK(H19,$H$17:$H$20)&amp;"nd",IF(RANK(H19,$H$17:$H$20)=3,RANK(H19,$H$17:$H$20)&amp;"rd",RANK(H19,$H$17:$H$20)&amp;"th"))),"")</f>
        <v>4th</v>
      </c>
      <c r="H19" s="51">
        <f>Analysis_3108[[#This Row],[WIN]]*1000000+Analysis_3108[[#This Row],[Saldo]]*1000+Analysis_3108[[#This Row],[PM]]</f>
        <v>-23970</v>
      </c>
      <c r="I19" s="51">
        <f t="shared" si="0"/>
        <v>-23970</v>
      </c>
      <c r="J19" s="2" t="str">
        <f>IF(COUNTBLANK(Games_2107[[SCORE 1]:[SCORE 2]])=0,IF(RANK(I19,$I$17:$I$24)=1,RANK(I19,$I$17:$I$24)&amp;"st",IF(RANK(I19,$I$17:$I$24)=2,RANK(I19,$I$17:$I$24)&amp;"nd",IF(RANK(I19,$I$17:$I$24)=3,RANK(I19,$I$17:$I$24)&amp;"rd",RANK(I19,$I$17:$I$24)&amp;"th"))),"")</f>
        <v>8th</v>
      </c>
      <c r="K19" s="51" t="str">
        <f>Analysis_3108[[#This Row],[Atheletes ]]</f>
        <v>Jorge</v>
      </c>
      <c r="L19" s="2" t="str">
        <f t="shared" si="1"/>
        <v>8th</v>
      </c>
      <c r="M19" s="90">
        <v>1</v>
      </c>
      <c r="N19" s="90">
        <v>2</v>
      </c>
      <c r="O19" s="90"/>
      <c r="P19" s="90"/>
      <c r="Q19" s="90">
        <v>7</v>
      </c>
      <c r="R19" s="90">
        <v>8</v>
      </c>
    </row>
    <row r="20" spans="1:19">
      <c r="A20" s="3" t="s">
        <v>208</v>
      </c>
      <c r="B20" s="102" t="s">
        <v>147</v>
      </c>
      <c r="C20" s="14">
        <f>SUM(COUNTIFS(Games_2107[ATHLETE 2],Analysis_3108[[#This Row],[Atheletes ]],Games_2107[RESULT 12],Analysis_3108[[#Headers],[WIN]]),COUNTIFS(Games_2107[ATHLETE 4],Analysis_3108[[#This Row],[Atheletes ]],Games_2107[RESULT 34],Analysis_3108[[#Headers],[WIN]]))</f>
        <v>2</v>
      </c>
      <c r="D20" s="14">
        <f>SUM(COUNTIFS(Games_2107[ATHLETE 2],Analysis_3108[[#This Row],[Atheletes ]],Games_2107[RESULT 12],Analysis_3108[[#Headers],[LOSE]]),COUNTIFS(Games_2107[ATHLETE 4],Analysis_3108[[#This Row],[Atheletes ]],Games_2107[RESULT 34],Analysis_3108[[#Headers],[LOSE]]))</f>
        <v>1</v>
      </c>
      <c r="E20" s="46">
        <f>SUM(SUMIF(Games_2107[ATHLETE 2],Analysis_3108[[#This Row],[Atheletes ]],Games_2107[SALDO 12]),SUMIF(Games_2107[ATHLETE 4],Analysis_3108[[#This Row],[Atheletes ]],Games_2107[SALDO 34]))</f>
        <v>-1</v>
      </c>
      <c r="F20" s="46">
        <f>SUM(SUMIF(Games_2107[ATHLETE 2],Analysis_3108[[#This Row],[Atheletes ]],Games_2107[PM 12]),SUMIF(Games_2107[ATHLETE 4],Analysis_3108[[#This Row],[Atheletes ]],Games_2107[PM 34]))</f>
        <v>48</v>
      </c>
      <c r="G20" s="430" t="str">
        <f>IF(COUNTBLANK(Games_2107[[SCORE 1]:[SCORE 2]])=0,IF(RANK(H20,$H$17:$H$20)=1,RANK(H20,$H$17:$H$20)&amp;"st",IF(RANK(H20,$H$17:$H$20)=2,RANK(H20,$H$17:$H$20)&amp;"nd",IF(RANK(H20,$H$17:$H$20)=3,RANK(H20,$H$17:$H$20)&amp;"rd",RANK(H20,$H$17:$H$20)&amp;"th"))),"")</f>
        <v>2nd</v>
      </c>
      <c r="H20" s="51">
        <f>Analysis_3108[[#This Row],[WIN]]*1000000+Analysis_3108[[#This Row],[Saldo]]*1000+Analysis_3108[[#This Row],[PM]]</f>
        <v>1999048</v>
      </c>
      <c r="I20" s="51">
        <f t="shared" si="0"/>
        <v>1999048</v>
      </c>
      <c r="J20" s="2" t="str">
        <f>IF(COUNTBLANK(Games_2107[[SCORE 1]:[SCORE 2]])=0,IF(RANK(I20,$I$17:$I$24)=1,RANK(I20,$I$17:$I$24)&amp;"st",IF(RANK(I20,$I$17:$I$24)=2,RANK(I20,$I$17:$I$24)&amp;"nd",IF(RANK(I20,$I$17:$I$24)=3,RANK(I20,$I$17:$I$24)&amp;"rd",RANK(I20,$I$17:$I$24)&amp;"th"))),"")</f>
        <v>4th</v>
      </c>
      <c r="K20" s="51" t="str">
        <f>Analysis_3108[[#This Row],[Atheletes ]]</f>
        <v>Ricardo</v>
      </c>
      <c r="L20" s="2" t="str">
        <f t="shared" si="1"/>
        <v>4th</v>
      </c>
      <c r="M20" s="90"/>
      <c r="N20" s="90"/>
      <c r="O20" s="90"/>
      <c r="P20" s="90"/>
      <c r="Q20" s="90"/>
      <c r="R20" s="90"/>
    </row>
    <row r="21" spans="1:19">
      <c r="A21" s="2" t="s">
        <v>247</v>
      </c>
      <c r="B21" s="113" t="s">
        <v>278</v>
      </c>
      <c r="C21" s="11" t="s">
        <v>249</v>
      </c>
      <c r="D21" s="11" t="s">
        <v>249</v>
      </c>
      <c r="E21" s="11" t="s">
        <v>249</v>
      </c>
      <c r="F21" s="11" t="s">
        <v>249</v>
      </c>
      <c r="G21" s="11" t="s">
        <v>249</v>
      </c>
      <c r="H21" s="51" t="s">
        <v>249</v>
      </c>
      <c r="I21" s="51">
        <f>H25</f>
        <v>2003048</v>
      </c>
      <c r="J21" s="2" t="str">
        <f>IF(COUNTBLANK(Games_2107[[SCORE 1]:[SCORE 2]])=0,IF(RANK(I21,$I$17:$I$24)=1,RANK(I21,$I$17:$I$24)&amp;"st",IF(RANK(I21,$I$17:$I$24)=2,RANK(I21,$I$17:$I$24)&amp;"nd",IF(RANK(I21,$I$17:$I$24)=3,RANK(I21,$I$17:$I$24)&amp;"rd",RANK(I21,$I$17:$I$24)&amp;"th"))),"")</f>
        <v>3rd</v>
      </c>
      <c r="K21" s="51" t="str">
        <f>B25</f>
        <v>Shiv</v>
      </c>
      <c r="M21" s="426" t="s">
        <v>193</v>
      </c>
      <c r="N21" s="426" t="s">
        <v>194</v>
      </c>
      <c r="O21" s="558" t="s">
        <v>195</v>
      </c>
      <c r="P21" s="558"/>
      <c r="Q21" s="426" t="s">
        <v>196</v>
      </c>
      <c r="R21" s="426" t="s">
        <v>197</v>
      </c>
    </row>
    <row r="22" spans="1:19" ht="28.5" customHeight="1">
      <c r="A22" s="2" t="s">
        <v>250</v>
      </c>
      <c r="B22" s="113" t="s">
        <v>279</v>
      </c>
      <c r="C22" s="11" t="s">
        <v>249</v>
      </c>
      <c r="D22" s="11" t="s">
        <v>249</v>
      </c>
      <c r="E22" s="11" t="s">
        <v>249</v>
      </c>
      <c r="F22" s="11" t="s">
        <v>249</v>
      </c>
      <c r="G22" s="11" t="s">
        <v>249</v>
      </c>
      <c r="H22" s="51" t="s">
        <v>249</v>
      </c>
      <c r="I22" s="51">
        <f t="shared" ref="I22:I24" si="2">H26</f>
        <v>2013044</v>
      </c>
      <c r="J22" s="2" t="str">
        <f>IF(COUNTBLANK(Games_2107[[SCORE 1]:[SCORE 2]])=0,IF(RANK(I22,$I$17:$I$24)=1,RANK(I22,$I$17:$I$24)&amp;"st",IF(RANK(I22,$I$17:$I$24)=2,RANK(I22,$I$17:$I$24)&amp;"nd",IF(RANK(I22,$I$17:$I$24)=3,RANK(I22,$I$17:$I$24)&amp;"rd",RANK(I22,$I$17:$I$24)&amp;"th"))),"")</f>
        <v>2nd</v>
      </c>
      <c r="K22" s="51" t="str">
        <f t="shared" ref="K22:K24" si="3">B26</f>
        <v>Thor</v>
      </c>
      <c r="M22" s="159" t="str" cm="1">
        <f t="array" ref="M22">_xlfn.TEXTJOIN(", ", TRUE, _xlfn._xlws.FILTER($K$17:$K$25, $J$17:$J$25=$U$5, ""))</f>
        <v>Shiv</v>
      </c>
      <c r="N22" s="159" t="str" cm="1">
        <f t="array" ref="N22">_xlfn.TEXTJOIN(", ", TRUE, _xlfn._xlws.FILTER($K$17:$K$25, $J$17:$J$25=$U$6, ""))</f>
        <v>Ricardo</v>
      </c>
      <c r="O22" s="157">
        <v>18</v>
      </c>
      <c r="P22" s="157">
        <v>14</v>
      </c>
      <c r="Q22" s="159" t="str" cm="1">
        <f t="array" ref="Q22">_xlfn.TEXTJOIN(", ", TRUE, _xlfn._xlws.FILTER($K$17:$K$25, $J$17:$J$25=$U$7, ""))</f>
        <v>Amilcar</v>
      </c>
      <c r="R22" s="156" t="str" cm="1">
        <f t="array" ref="R22">_xlfn.TEXTJOIN(", ", TRUE, _xlfn._xlws.FILTER($K$14:$K$25, $J$14:$J$25=$U$8, ""))</f>
        <v>Ozzy</v>
      </c>
    </row>
    <row r="23" spans="1:19">
      <c r="I23" s="51">
        <f t="shared" si="2"/>
        <v>984035</v>
      </c>
      <c r="J23" s="2" t="str">
        <f>IF(COUNTBLANK(Games_2107[[SCORE 1]:[SCORE 2]])=0,IF(RANK(I23,$I$17:$I$24)=1,RANK(I23,$I$17:$I$24)&amp;"st",IF(RANK(I23,$I$17:$I$24)=2,RANK(I23,$I$17:$I$24)&amp;"nd",IF(RANK(I23,$I$17:$I$24)=3,RANK(I23,$I$17:$I$24)&amp;"rd",RANK(I23,$I$17:$I$24)&amp;"th"))),"")</f>
        <v>7th</v>
      </c>
      <c r="K23" s="51" t="str">
        <f t="shared" si="3"/>
        <v>Walter</v>
      </c>
      <c r="M23" s="127" t="str">
        <f>IF(AND($O$23="lose",$O$18="lose"),$U$9,IF($O$23="lose",$U$7,""))</f>
        <v/>
      </c>
      <c r="N23" s="127" t="str">
        <f>IF(AND($O$23="lose",$O$18="lose"),$U$10,IF($O$23="lose",$U$8,""))</f>
        <v/>
      </c>
      <c r="O23" s="2" t="str">
        <f>IF(OR(O22="",P22=""),"",IF((O22&gt;P22),"WIN","LOSE"))</f>
        <v>WIN</v>
      </c>
      <c r="P23" s="2" t="str">
        <f>IF(OR(O22="",P22=""),"",IF((O22&lt;P22),"WIN","LOSE"))</f>
        <v>LOSE</v>
      </c>
      <c r="Q23" s="127" t="str">
        <f>IF(AND($P$23="lose",$O$18="lose"),$U$9,IF($P$23="lose",$U$7,""))</f>
        <v>7th</v>
      </c>
      <c r="R23" s="127" t="str">
        <f>IF(AND($P$23="lose",$O$18="lose"),$U$10,IF($P$23="lose",$U$8,""))</f>
        <v>8th</v>
      </c>
    </row>
    <row r="24" spans="1:19" ht="15.95">
      <c r="A24" s="110" t="s">
        <v>246</v>
      </c>
      <c r="B24" s="43" t="s">
        <v>185</v>
      </c>
      <c r="C24" s="43" t="s">
        <v>186</v>
      </c>
      <c r="D24" s="43" t="s">
        <v>187</v>
      </c>
      <c r="E24" s="43" t="s">
        <v>188</v>
      </c>
      <c r="F24" s="43" t="s">
        <v>189</v>
      </c>
      <c r="G24" s="419" t="s">
        <v>8</v>
      </c>
      <c r="H24" s="419" t="s">
        <v>204</v>
      </c>
      <c r="I24" s="51">
        <f t="shared" si="2"/>
        <v>1000044</v>
      </c>
      <c r="J24" s="2" t="str">
        <f>IF(COUNTBLANK(Games_2107[[SCORE 1]:[SCORE 2]])=0,IF(RANK(I24,$I$17:$I$24)=1,RANK(I24,$I$17:$I$24)&amp;"st",IF(RANK(I24,$I$17:$I$24)=2,RANK(I24,$I$17:$I$24)&amp;"nd",IF(RANK(I24,$I$17:$I$24)=3,RANK(I24,$I$17:$I$24)&amp;"rd",RANK(I24,$I$17:$I$24)&amp;"th"))),"")</f>
        <v>6th</v>
      </c>
      <c r="K24" s="51" t="str">
        <f t="shared" si="3"/>
        <v>Ozzy</v>
      </c>
      <c r="L24" s="425" t="s">
        <v>192</v>
      </c>
      <c r="M24" s="90">
        <v>3</v>
      </c>
      <c r="N24" s="90">
        <v>4</v>
      </c>
      <c r="O24" s="90"/>
      <c r="P24" s="90"/>
      <c r="Q24" s="90">
        <v>5</v>
      </c>
      <c r="R24" s="90">
        <v>6</v>
      </c>
    </row>
    <row r="25" spans="1:19">
      <c r="A25" s="96" t="s">
        <v>209</v>
      </c>
      <c r="B25" s="102" t="s">
        <v>148</v>
      </c>
      <c r="C25" s="14">
        <f>SUM(COUNTIFS(Games_2107[ATHLETE 2],Analysis_4115[[#This Row],[Atheletes ]],Games_2107[RESULT 12],Analysis_3108[[#Headers],[WIN]]),COUNTIFS(Games_2107[ATHLETE 4],Analysis_4115[[#This Row],[Atheletes ]],Games_2107[RESULT 34],Analysis_3108[[#Headers],[WIN]]))</f>
        <v>2</v>
      </c>
      <c r="D25" s="14">
        <f>SUM(COUNTIFS(Games_2107[ATHLETE 2],Analysis_4115[[#This Row],[Atheletes ]],Games_2107[RESULT 12],Analysis_3108[[#Headers],[LOSE]]),COUNTIFS(Games_2107[ATHLETE 4],Analysis_4115[[#This Row],[Atheletes ]],Games_2107[RESULT 34],Analysis_3108[[#Headers],[LOSE]]))</f>
        <v>1</v>
      </c>
      <c r="E25" s="46">
        <f>SUM(SUMIF(Games_2107[ATHLETE 2],Analysis_4115[[#This Row],[Atheletes ]],Games_2107[SALDO 12]),SUMIF(Games_2107[ATHLETE 4],Analysis_4115[[#This Row],[Atheletes ]],Games_2107[SALDO 34]))</f>
        <v>3</v>
      </c>
      <c r="F25" s="46">
        <f>SUM(SUMIF(Games_2107[ATHLETE 2],Analysis_4115[[#This Row],[Atheletes ]],Games_2107[PM 12]),SUMIF(Games_2107[ATHLETE 4],Analysis_4115[[#This Row],[Atheletes ]],Games_2107[PM 34]))</f>
        <v>48</v>
      </c>
      <c r="G25" s="430" t="str">
        <f>IF(COUNTBLANK(Games_2107[[SCORE 1]:[SCORE 2]])=0,IF(RANK(H25,$H$25:$H$28)=1,RANK(H25,$H$25:$H$28)&amp;"st",IF(RANK(H25,$H$25:$H$28)=2,RANK(H25,$H$25:$H$28)&amp;"nd",IF(RANK(H25,$H$25:$H$28)=3,RANK(H25,$H$25:$H$28)&amp;"rd",RANK(H25,$H$25:$H$28)&amp;"th"))),"")</f>
        <v>2nd</v>
      </c>
      <c r="H25" s="51">
        <f>Analysis_4115[[#This Row],[WIN]]*1000000+Analysis_4115[[#This Row],[Saldo]]*1000+Analysis_4115[[#This Row],[PM]]</f>
        <v>2003048</v>
      </c>
      <c r="L25" s="2" t="str">
        <f>J21</f>
        <v>3rd</v>
      </c>
      <c r="M25" s="90"/>
      <c r="N25" s="90"/>
      <c r="O25" s="90"/>
      <c r="P25" s="90"/>
      <c r="Q25" s="90"/>
      <c r="R25" s="90"/>
    </row>
    <row r="26" spans="1:19" ht="29.1">
      <c r="A26" s="430" t="s">
        <v>210</v>
      </c>
      <c r="B26" s="102" t="s">
        <v>146</v>
      </c>
      <c r="C26" s="14">
        <f>SUM(COUNTIFS(Games_2107[ATHLETE 2],Analysis_4115[[#This Row],[Atheletes ]],Games_2107[RESULT 12],Analysis_3108[[#Headers],[WIN]]),COUNTIFS(Games_2107[ATHLETE 4],Analysis_4115[[#This Row],[Atheletes ]],Games_2107[RESULT 34],Analysis_3108[[#Headers],[WIN]]))</f>
        <v>2</v>
      </c>
      <c r="D26" s="14">
        <f>SUM(COUNTIFS(Games_2107[ATHLETE 2],Analysis_4115[[#This Row],[Atheletes ]],Games_2107[RESULT 12],Analysis_3108[[#Headers],[LOSE]]),COUNTIFS(Games_2107[ATHLETE 4],Analysis_4115[[#This Row],[Atheletes ]],Games_2107[RESULT 34],Analysis_3108[[#Headers],[LOSE]]))</f>
        <v>1</v>
      </c>
      <c r="E26" s="46">
        <f>SUM(SUMIF(Games_2107[ATHLETE 2],Analysis_4115[[#This Row],[Atheletes ]],Games_2107[SALDO 12]),SUMIF(Games_2107[ATHLETE 4],Analysis_4115[[#This Row],[Atheletes ]],Games_2107[SALDO 34]))</f>
        <v>13</v>
      </c>
      <c r="F26" s="46">
        <f>SUM(SUMIF(Games_2107[ATHLETE 2],Analysis_4115[[#This Row],[Atheletes ]],Games_2107[PM 12]),SUMIF(Games_2107[ATHLETE 4],Analysis_4115[[#This Row],[Atheletes ]],Games_2107[PM 34]))</f>
        <v>44</v>
      </c>
      <c r="G26" s="430" t="str">
        <f>IF(COUNTBLANK(Games_2107[[SCORE 1]:[SCORE 2]])=0,IF(RANK(H26,$H$25:$H$28)=1,RANK(H26,$H$25:$H$28)&amp;"st",IF(RANK(H26,$H$25:$H$28)=2,RANK(H26,$H$25:$H$28)&amp;"nd",IF(RANK(H26,$H$25:$H$28)=3,RANK(H26,$H$25:$H$28)&amp;"rd",RANK(H26,$H$25:$H$28)&amp;"th"))),"")</f>
        <v>1st</v>
      </c>
      <c r="H26" s="51">
        <f>Analysis_4115[[#This Row],[WIN]]*1000000+Analysis_4115[[#This Row],[Saldo]]*1000+Analysis_4115[[#This Row],[PM]]</f>
        <v>2013044</v>
      </c>
      <c r="L26" s="2" t="str">
        <f>J22</f>
        <v>2nd</v>
      </c>
      <c r="M26" s="547" t="s">
        <v>199</v>
      </c>
      <c r="N26" s="547"/>
      <c r="O26" s="547"/>
      <c r="P26" s="547"/>
      <c r="Q26" s="547"/>
      <c r="R26" s="547"/>
    </row>
    <row r="27" spans="1:19">
      <c r="A27" s="96" t="s">
        <v>211</v>
      </c>
      <c r="B27" s="102" t="s">
        <v>145</v>
      </c>
      <c r="C27" s="14">
        <f>SUM(COUNTIFS(Games_2107[ATHLETE 2],Analysis_4115[[#This Row],[Atheletes ]],Games_2107[RESULT 12],Analysis_3108[[#Headers],[WIN]]),COUNTIFS(Games_2107[ATHLETE 4],Analysis_4115[[#This Row],[Atheletes ]],Games_2107[RESULT 34],Analysis_3108[[#Headers],[WIN]]))</f>
        <v>1</v>
      </c>
      <c r="D27" s="14">
        <f>SUM(COUNTIFS(Games_2107[ATHLETE 2],Analysis_4115[[#This Row],[Atheletes ]],Games_2107[RESULT 12],Analysis_3108[[#Headers],[LOSE]]),COUNTIFS(Games_2107[ATHLETE 4],Analysis_4115[[#This Row],[Atheletes ]],Games_2107[RESULT 34],Analysis_3108[[#Headers],[LOSE]]))</f>
        <v>2</v>
      </c>
      <c r="E27" s="46">
        <f>SUM(SUMIF(Games_2107[ATHLETE 2],Analysis_4115[[#This Row],[Atheletes ]],Games_2107[SALDO 12]),SUMIF(Games_2107[ATHLETE 4],Analysis_4115[[#This Row],[Atheletes ]],Games_2107[SALDO 34]))</f>
        <v>-16</v>
      </c>
      <c r="F27" s="46">
        <f>SUM(SUMIF(Games_2107[ATHLETE 2],Analysis_4115[[#This Row],[Atheletes ]],Games_2107[PM 12]),SUMIF(Games_2107[ATHLETE 4],Analysis_4115[[#This Row],[Atheletes ]],Games_2107[PM 34]))</f>
        <v>35</v>
      </c>
      <c r="G27" s="430" t="str">
        <f>IF(COUNTBLANK(Games_2107[[SCORE 1]:[SCORE 2]])=0,IF(RANK(H27,$H$25:$H$28)=1,RANK(H27,$H$25:$H$28)&amp;"st",IF(RANK(H27,$H$25:$H$28)=2,RANK(H27,$H$25:$H$28)&amp;"nd",IF(RANK(H27,$H$25:$H$28)=3,RANK(H27,$H$25:$H$28)&amp;"rd",RANK(H27,$H$25:$H$28)&amp;"th"))),"")</f>
        <v>4th</v>
      </c>
      <c r="H27" s="51">
        <f>Analysis_4115[[#This Row],[WIN]]*1000000+Analysis_4115[[#This Row],[Saldo]]*1000+Analysis_4115[[#This Row],[PM]]</f>
        <v>984035</v>
      </c>
      <c r="L27" s="2" t="str">
        <f>J23</f>
        <v>7th</v>
      </c>
      <c r="M27" s="426" t="s">
        <v>193</v>
      </c>
      <c r="N27" s="426" t="s">
        <v>194</v>
      </c>
      <c r="O27" s="558" t="s">
        <v>195</v>
      </c>
      <c r="P27" s="558"/>
      <c r="Q27" s="426" t="s">
        <v>196</v>
      </c>
      <c r="R27" s="426" t="s">
        <v>197</v>
      </c>
    </row>
    <row r="28" spans="1:19">
      <c r="A28" s="430" t="s">
        <v>212</v>
      </c>
      <c r="B28" s="102" t="s">
        <v>151</v>
      </c>
      <c r="C28" s="14">
        <f>SUM(COUNTIFS(Games_2107[ATHLETE 2],Analysis_4115[[#This Row],[Atheletes ]],Games_2107[RESULT 12],Analysis_3108[[#Headers],[WIN]]),COUNTIFS(Games_2107[ATHLETE 4],Analysis_4115[[#This Row],[Atheletes ]],Games_2107[RESULT 34],Analysis_3108[[#Headers],[WIN]]))</f>
        <v>1</v>
      </c>
      <c r="D28" s="14">
        <f>SUM(COUNTIFS(Games_2107[ATHLETE 2],Analysis_4115[[#This Row],[Atheletes ]],Games_2107[RESULT 12],Analysis_3108[[#Headers],[LOSE]]),COUNTIFS(Games_2107[ATHLETE 4],Analysis_4115[[#This Row],[Atheletes ]],Games_2107[RESULT 34],Analysis_3108[[#Headers],[LOSE]]))</f>
        <v>2</v>
      </c>
      <c r="E28" s="46">
        <f>SUM(SUMIF(Games_2107[ATHLETE 2],Analysis_4115[[#This Row],[Atheletes ]],Games_2107[SALDO 12]),SUMIF(Games_2107[ATHLETE 4],Analysis_4115[[#This Row],[Atheletes ]],Games_2107[SALDO 34]))</f>
        <v>0</v>
      </c>
      <c r="F28" s="46">
        <f>SUM(SUMIF(Games_2107[ATHLETE 2],Analysis_4115[[#This Row],[Atheletes ]],Games_2107[PM 12]),SUMIF(Games_2107[ATHLETE 4],Analysis_4115[[#This Row],[Atheletes ]],Games_2107[PM 34]))</f>
        <v>44</v>
      </c>
      <c r="G28" s="430" t="str">
        <f>IF(COUNTBLANK(Games_2107[[SCORE 1]:[SCORE 2]])=0,IF(RANK(H28,$H$25:$H$28)=1,RANK(H28,$H$25:$H$28)&amp;"st",IF(RANK(H28,$H$25:$H$28)=2,RANK(H28,$H$25:$H$28)&amp;"nd",IF(RANK(H28,$H$25:$H$28)=3,RANK(H28,$H$25:$H$28)&amp;"rd",RANK(H28,$H$25:$H$28)&amp;"th"))),"")</f>
        <v>3rd</v>
      </c>
      <c r="H28" s="51">
        <f>Analysis_4115[[#This Row],[WIN]]*1000000+Analysis_4115[[#This Row],[Saldo]]*1000+Analysis_4115[[#This Row],[PM]]</f>
        <v>1000044</v>
      </c>
      <c r="L28" s="2" t="str">
        <f>J24</f>
        <v>6th</v>
      </c>
      <c r="M28" s="160" t="str">
        <f>IF(COUNTBLANK($O$17:$P$17)=0,IF($O$18="lose",$Q$17,$M$17),"")</f>
        <v>Walter</v>
      </c>
      <c r="N28" s="160" t="str">
        <f>IF(COUNTBLANK($O$17:$P$17)=0,IF($O$18="lose",$R$17,$N$17),"")</f>
        <v>Jorge</v>
      </c>
      <c r="O28" s="157">
        <v>11</v>
      </c>
      <c r="P28" s="158">
        <v>18</v>
      </c>
      <c r="Q28" s="160" t="str">
        <f>IF(COUNTBLANK($O$22:$P$22)=0,IF($O$23="lose",$Q$22,$M$22),"")</f>
        <v>Shiv</v>
      </c>
      <c r="R28" s="160" t="str">
        <f>IF(COUNTBLANK($O$22:$P$22)=0,IF($O$23="lose",$R$22,$N$22),"")</f>
        <v>Ricardo</v>
      </c>
    </row>
    <row r="29" spans="1:19">
      <c r="A29" s="96" t="s">
        <v>252</v>
      </c>
      <c r="B29" s="102" t="s">
        <v>280</v>
      </c>
      <c r="C29" s="109" t="s">
        <v>249</v>
      </c>
      <c r="D29" s="109" t="s">
        <v>249</v>
      </c>
      <c r="E29" s="109" t="s">
        <v>249</v>
      </c>
      <c r="F29" s="109" t="s">
        <v>249</v>
      </c>
      <c r="G29" s="109" t="s">
        <v>249</v>
      </c>
      <c r="H29" s="2" t="s">
        <v>249</v>
      </c>
      <c r="M29" s="62" t="str">
        <f>IF($O$29="lose",$U$5,"")</f>
        <v>3rd</v>
      </c>
      <c r="N29" s="62" t="str">
        <f>IF($O$29="lose",$U$6,"")</f>
        <v>4th</v>
      </c>
      <c r="O29" s="2" t="str">
        <f>IF(OR(O28="",P28=""),"",IF((O28&gt;P28),"WIN","LOSE"))</f>
        <v>LOSE</v>
      </c>
      <c r="P29" s="2" t="str">
        <f>IF(OR(O28="",P28=""),"",IF((O28&lt;P28),"WIN","LOSE"))</f>
        <v>WIN</v>
      </c>
      <c r="Q29" s="62" t="str">
        <f>IF($P$29="lose",$U$5,"")</f>
        <v/>
      </c>
      <c r="R29" s="62" t="str">
        <f>IF($P$29="lose",$U$6,"")</f>
        <v/>
      </c>
    </row>
    <row r="30" spans="1:19">
      <c r="A30" s="430" t="s">
        <v>254</v>
      </c>
      <c r="B30" s="114" t="s">
        <v>281</v>
      </c>
      <c r="C30" s="109" t="s">
        <v>249</v>
      </c>
      <c r="D30" s="109" t="s">
        <v>249</v>
      </c>
      <c r="E30" s="109" t="s">
        <v>249</v>
      </c>
      <c r="F30" s="109" t="s">
        <v>249</v>
      </c>
      <c r="G30" s="109" t="s">
        <v>249</v>
      </c>
      <c r="H30" s="2" t="s">
        <v>249</v>
      </c>
      <c r="M30" s="61">
        <f>IF(M28="","",_xlfn.XLOOKUP(M28,$K$14:$K$25,$I$14:$I$25))</f>
        <v>984035</v>
      </c>
      <c r="N30" s="61">
        <f>IF(N28="","",_xlfn.XLOOKUP(N28,$K$14:$K$25,$I$14:$I$25))</f>
        <v>-23970</v>
      </c>
      <c r="O30"/>
      <c r="P30"/>
      <c r="Q30" s="61">
        <f>IF(Q28="","",_xlfn.XLOOKUP(Q28,$K$14:$K$25,$I$14:$I$25))</f>
        <v>2003048</v>
      </c>
      <c r="R30" s="61">
        <f>IF(R28="","",_xlfn.XLOOKUP(R28,$K$14:$K$25,$I$14:$I$25))</f>
        <v>1999048</v>
      </c>
    </row>
    <row r="31" spans="1:19" ht="15.95" thickBot="1">
      <c r="M31"/>
      <c r="N31"/>
      <c r="O31"/>
      <c r="P31"/>
      <c r="Q31"/>
      <c r="R31"/>
    </row>
    <row r="32" spans="1:19" ht="30" thickBot="1">
      <c r="A32" s="123" t="s">
        <v>218</v>
      </c>
      <c r="B32" s="124">
        <v>45787</v>
      </c>
      <c r="C32" s="44" t="s">
        <v>256</v>
      </c>
      <c r="M32" s="556" t="s">
        <v>200</v>
      </c>
      <c r="N32" s="557"/>
      <c r="O32" s="557"/>
      <c r="P32" s="557"/>
      <c r="Q32" s="557"/>
      <c r="R32" s="557"/>
    </row>
    <row r="33" spans="13:18">
      <c r="M33" s="424" t="s">
        <v>193</v>
      </c>
      <c r="N33" s="424" t="s">
        <v>194</v>
      </c>
      <c r="O33" s="552" t="s">
        <v>195</v>
      </c>
      <c r="P33" s="553"/>
      <c r="Q33" s="424" t="s">
        <v>196</v>
      </c>
      <c r="R33" s="424" t="s">
        <v>197</v>
      </c>
    </row>
    <row r="34" spans="13:18">
      <c r="M34" s="432" t="str">
        <f>IF(COUNTBLANK($O$28:$P$28)=0,IF($O$29="lose",$Q$28,$M$28),"")</f>
        <v>Shiv</v>
      </c>
      <c r="N34" s="115" t="s">
        <v>151</v>
      </c>
      <c r="O34" s="99">
        <v>15</v>
      </c>
      <c r="P34" s="98">
        <v>18</v>
      </c>
      <c r="Q34" s="432" t="str">
        <f>IF(COUNTBLANK($O$28:$P$28)=0,IF($O$29="lose",$R$28,$N$28),"")</f>
        <v>Ricardo</v>
      </c>
      <c r="R34" s="115" t="s">
        <v>155</v>
      </c>
    </row>
    <row r="35" spans="13:18">
      <c r="M35" s="50" t="str">
        <f>IF(OR($O$34="",$P$34=""),"",IF($O$35="win",$U$3,$U$4))</f>
        <v>2nd</v>
      </c>
      <c r="O35" s="2" t="str">
        <f>IF(OR(O34="",P34=""),"",IF((O34&gt;P34),"WIN","LOSE"))</f>
        <v>LOSE</v>
      </c>
      <c r="P35" s="2" t="str">
        <f>IF(OR(O34="",P34=""),"",IF((O34&lt;P34),"WIN","LOSE"))</f>
        <v>WIN</v>
      </c>
      <c r="Q35" s="50" t="str">
        <f>IF(OR($O$34="",$P$34=""),"",IF($P$35="win",$U$3,$U$4))</f>
        <v>1st</v>
      </c>
    </row>
  </sheetData>
  <sheetProtection algorithmName="SHA-512" hashValue="hNJtcseNLljUysDxzLCjChw4vCHgQrrHc0hVXbWWn0ipIZLvNFKZL59ECrqQEji1nh0bZLeFUBDfvzgYTQC35A==" saltValue="NZ6RTEwU5b3DMrAjaDAZQQ==" spinCount="100000" sheet="1" objects="1" scenarios="1"/>
  <mergeCells count="10">
    <mergeCell ref="A1:A13"/>
    <mergeCell ref="T1:U1"/>
    <mergeCell ref="A15:G15"/>
    <mergeCell ref="M32:R32"/>
    <mergeCell ref="O33:P33"/>
    <mergeCell ref="M15:R15"/>
    <mergeCell ref="O16:P16"/>
    <mergeCell ref="O21:P21"/>
    <mergeCell ref="M26:R26"/>
    <mergeCell ref="O27:P27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51EF-7C00-6B4B-A6C4-865D7AB59452}">
  <sheetPr codeName="Sheet15"/>
  <dimension ref="A1:X32"/>
  <sheetViews>
    <sheetView workbookViewId="0">
      <selection sqref="A1:I1"/>
    </sheetView>
    <sheetView workbookViewId="1">
      <selection sqref="A1:A13"/>
    </sheetView>
  </sheetViews>
  <sheetFormatPr defaultColWidth="8.85546875" defaultRowHeight="15"/>
  <cols>
    <col min="1" max="1" width="10.7109375" style="44" customWidth="1"/>
    <col min="2" max="4" width="20" style="44" customWidth="1"/>
    <col min="5" max="6" width="10.7109375" style="44" customWidth="1"/>
    <col min="7" max="7" width="20" style="44" customWidth="1"/>
    <col min="8" max="8" width="11.28515625" style="44" hidden="1" customWidth="1"/>
    <col min="9" max="9" width="12" style="44" hidden="1" customWidth="1"/>
    <col min="10" max="10" width="10.7109375" style="44" hidden="1" customWidth="1"/>
    <col min="11" max="11" width="8" style="44" hidden="1" customWidth="1"/>
    <col min="12" max="12" width="20" style="44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 ht="15" customHeight="1">
      <c r="A1" s="550" t="s">
        <v>284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285</v>
      </c>
      <c r="U1" s="545"/>
      <c r="W1" s="44" t="s">
        <v>205</v>
      </c>
      <c r="X1" s="44">
        <f>COUNTIF(Games_2126[[ATHLETE 1]:[ATHLETE 4]],W1)</f>
        <v>0</v>
      </c>
    </row>
    <row r="2" spans="1:24" ht="15" customHeight="1">
      <c r="A2" s="550"/>
      <c r="B2" s="430" t="s">
        <v>178</v>
      </c>
      <c r="C2" s="2" t="str">
        <f>$B$21</f>
        <v>HA1</v>
      </c>
      <c r="D2" s="38" t="str">
        <f>B17</f>
        <v>Pedro</v>
      </c>
      <c r="E2" s="100">
        <v>18</v>
      </c>
      <c r="F2" s="101">
        <v>20</v>
      </c>
      <c r="G2" s="41" t="str">
        <f>$B$22</f>
        <v>HA2</v>
      </c>
      <c r="H2" s="41"/>
      <c r="I2" s="41"/>
      <c r="J2" s="41"/>
      <c r="K2" s="41"/>
      <c r="L2" s="2" t="str">
        <f>B18</f>
        <v>Thor</v>
      </c>
      <c r="M2" s="430">
        <f>IF(OR(Games_2126[[#This Row],[SCORE 1]]="",Games_2126[[#This Row],[SCORE 2]]=""),"",Games_2126[[#This Row],[SCORE 1]]-Games_2126[[#This Row],[SCORE 2]])</f>
        <v>-2</v>
      </c>
      <c r="N2" s="430">
        <f>IF(OR(Games_2126[[#This Row],[SCORE 1]]="",Games_2126[[#This Row],[SCORE 2]]=""),"",Games_2126[[#This Row],[SCORE 2]]-Games_2126[[#This Row],[SCORE 1]])</f>
        <v>2</v>
      </c>
      <c r="O2" s="430">
        <f>IF(Games_2126[[#This Row],[SCORE 1]]="","",Games_2126[[#This Row],[SCORE 1]])</f>
        <v>18</v>
      </c>
      <c r="P2" s="430">
        <f>IF(Games_2126[[#This Row],[SCORE 2]]="","",Games_2126[[#This Row],[SCORE 2]])</f>
        <v>20</v>
      </c>
      <c r="Q2" s="430" t="str">
        <f>IF(OR(Games_2126[[#This Row],[SCORE 1]]="",Games_2126[[#This Row],[SCORE 2]]=""),"",IF(Games_2126[[#This Row],[SALDO 12]]&gt;0, "WIN","LOSE"))</f>
        <v>LOSE</v>
      </c>
      <c r="R2" s="430" t="str">
        <f>IF(OR(Games_2126[[#This Row],[SCORE 2]]="",Games_2126[[#This Row],[SCORE 1]]=""),"",IF(Games_2126[[#This Row],[SALDO 34]]&gt;0, "WIN","LOSE"))</f>
        <v>WIN</v>
      </c>
      <c r="T2" s="35" t="s">
        <v>179</v>
      </c>
      <c r="U2" s="35" t="s">
        <v>8</v>
      </c>
      <c r="W2" s="44" t="s">
        <v>206</v>
      </c>
      <c r="X2" s="44">
        <f>COUNTIF(Games_2126[[ATHLETE 1]:[ATHLETE 4]],W2)</f>
        <v>0</v>
      </c>
    </row>
    <row r="3" spans="1:24">
      <c r="A3" s="550"/>
      <c r="B3" s="430" t="s">
        <v>180</v>
      </c>
      <c r="C3" s="2" t="str">
        <f>$B$29</f>
        <v>HB1</v>
      </c>
      <c r="D3" s="38" t="str">
        <f>B25</f>
        <v>Amilcar</v>
      </c>
      <c r="E3" s="100">
        <v>14</v>
      </c>
      <c r="F3" s="101">
        <v>18</v>
      </c>
      <c r="G3" s="41" t="str">
        <f>$B$30</f>
        <v>HB2</v>
      </c>
      <c r="H3" s="41"/>
      <c r="I3" s="41"/>
      <c r="J3" s="41"/>
      <c r="K3" s="41"/>
      <c r="L3" s="2" t="str">
        <f>B26</f>
        <v>Ryan</v>
      </c>
      <c r="M3" s="430">
        <f>IF(OR(Games_2126[[#This Row],[SCORE 1]]="",Games_2126[[#This Row],[SCORE 2]]=""),"",Games_2126[[#This Row],[SCORE 1]]-Games_2126[[#This Row],[SCORE 2]])</f>
        <v>-4</v>
      </c>
      <c r="N3" s="430">
        <f>IF(OR(Games_2126[[#This Row],[SCORE 1]]="",Games_2126[[#This Row],[SCORE 2]]=""),"",Games_2126[[#This Row],[SCORE 2]]-Games_2126[[#This Row],[SCORE 1]])</f>
        <v>4</v>
      </c>
      <c r="O3" s="430">
        <f>IF(Games_2126[[#This Row],[SCORE 1]]="","",Games_2126[[#This Row],[SCORE 1]])</f>
        <v>14</v>
      </c>
      <c r="P3" s="430">
        <f>IF(Games_2126[[#This Row],[SCORE 2]]="","",Games_2126[[#This Row],[SCORE 2]])</f>
        <v>18</v>
      </c>
      <c r="Q3" s="430" t="str">
        <f>IF(OR(Games_2126[[#This Row],[SCORE 1]]="",Games_2126[[#This Row],[SCORE 2]]=""),"",IF(Games_2126[[#This Row],[SALDO 12]]&gt;0, "WIN","LOSE"))</f>
        <v>LOSE</v>
      </c>
      <c r="R3" s="430" t="str">
        <f>IF(OR(Games_2126[[#This Row],[SCORE 2]]="",Games_2126[[#This Row],[SCORE 1]]=""),"",IF(Games_2126[[#This Row],[SALDO 34]]&gt;0, "WIN","LOSE"))</f>
        <v>WIN</v>
      </c>
      <c r="T3" s="2" t="str">
        <f>IFERROR(_xlfn.XLOOKUP(Table157223544789133510128[[#This Row],[Rank]],$M$24:$R$24,$M$23:$R$23),"")</f>
        <v>Ricardo</v>
      </c>
      <c r="U3" s="2" t="s">
        <v>19</v>
      </c>
      <c r="W3" s="44" t="s">
        <v>207</v>
      </c>
      <c r="X3" s="44">
        <f>COUNTIF(Games_2126[[ATHLETE 1]:[ATHLETE 4]],W3)</f>
        <v>0</v>
      </c>
    </row>
    <row r="4" spans="1:24">
      <c r="A4" s="550"/>
      <c r="B4" s="430" t="s">
        <v>178</v>
      </c>
      <c r="C4" s="2" t="str">
        <f>$B$21</f>
        <v>HA1</v>
      </c>
      <c r="D4" s="38" t="str">
        <f>B19</f>
        <v>Jorge</v>
      </c>
      <c r="E4" s="100">
        <v>10</v>
      </c>
      <c r="F4" s="101">
        <v>18</v>
      </c>
      <c r="G4" s="41" t="str">
        <f>$B$22</f>
        <v>HA2</v>
      </c>
      <c r="H4" s="41"/>
      <c r="I4" s="41"/>
      <c r="J4" s="41"/>
      <c r="K4" s="41"/>
      <c r="L4" s="2" t="str">
        <f>B20</f>
        <v>Ricardo</v>
      </c>
      <c r="M4" s="430">
        <f>IF(OR(Games_2126[[#This Row],[SCORE 1]]="",Games_2126[[#This Row],[SCORE 2]]=""),"",Games_2126[[#This Row],[SCORE 1]]-Games_2126[[#This Row],[SCORE 2]])</f>
        <v>-8</v>
      </c>
      <c r="N4" s="430">
        <f>IF(OR(Games_2126[[#This Row],[SCORE 1]]="",Games_2126[[#This Row],[SCORE 2]]=""),"",Games_2126[[#This Row],[SCORE 2]]-Games_2126[[#This Row],[SCORE 1]])</f>
        <v>8</v>
      </c>
      <c r="O4" s="430">
        <f>IF(Games_2126[[#This Row],[SCORE 1]]="","",Games_2126[[#This Row],[SCORE 1]])</f>
        <v>10</v>
      </c>
      <c r="P4" s="430">
        <f>IF(Games_2126[[#This Row],[SCORE 2]]="","",Games_2126[[#This Row],[SCORE 2]])</f>
        <v>18</v>
      </c>
      <c r="Q4" s="430" t="str">
        <f>IF(OR(Games_2126[[#This Row],[SCORE 1]]="",Games_2126[[#This Row],[SCORE 2]]=""),"",IF(Games_2126[[#This Row],[SALDO 12]]&gt;0, "WIN","LOSE"))</f>
        <v>LOSE</v>
      </c>
      <c r="R4" s="430" t="str">
        <f>IF(OR(Games_2126[[#This Row],[SCORE 2]]="",Games_2126[[#This Row],[SCORE 1]]=""),"",IF(Games_2126[[#This Row],[SALDO 34]]&gt;0, "WIN","LOSE"))</f>
        <v>WIN</v>
      </c>
      <c r="T4" s="2" t="str">
        <f>IFERROR(_xlfn.XLOOKUP(Table157223544789133510128[[#This Row],[Rank]],$M$24:$R$24,$M$23:$R$23),"")</f>
        <v>Walter</v>
      </c>
      <c r="U4" s="2" t="s">
        <v>22</v>
      </c>
      <c r="W4" s="44" t="s">
        <v>208</v>
      </c>
      <c r="X4" s="44">
        <f>COUNTIF(Games_2126[[ATHLETE 1]:[ATHLETE 4]],W4)</f>
        <v>0</v>
      </c>
    </row>
    <row r="5" spans="1:24">
      <c r="A5" s="550"/>
      <c r="B5" s="430" t="s">
        <v>180</v>
      </c>
      <c r="C5" s="2" t="str">
        <f>$B$29</f>
        <v>HB1</v>
      </c>
      <c r="D5" s="38" t="str">
        <f>B27</f>
        <v>Shiv</v>
      </c>
      <c r="E5" s="100">
        <v>8</v>
      </c>
      <c r="F5" s="101">
        <v>18</v>
      </c>
      <c r="G5" s="41" t="str">
        <f>$B$30</f>
        <v>HB2</v>
      </c>
      <c r="H5" s="41"/>
      <c r="I5" s="41"/>
      <c r="J5" s="41"/>
      <c r="K5" s="41"/>
      <c r="L5" s="2" t="str">
        <f>B28</f>
        <v>Walter</v>
      </c>
      <c r="M5" s="11">
        <f>IF(OR(Games_2126[[#This Row],[SCORE 1]]="",Games_2126[[#This Row],[SCORE 2]]=""),"",Games_2126[[#This Row],[SCORE 1]]-Games_2126[[#This Row],[SCORE 2]])</f>
        <v>-10</v>
      </c>
      <c r="N5" s="430">
        <f>IF(OR(Games_2126[[#This Row],[SCORE 1]]="",Games_2126[[#This Row],[SCORE 2]]=""),"",Games_2126[[#This Row],[SCORE 2]]-Games_2126[[#This Row],[SCORE 1]])</f>
        <v>10</v>
      </c>
      <c r="O5" s="430">
        <f>IF(Games_2126[[#This Row],[SCORE 1]]="","",Games_2126[[#This Row],[SCORE 1]])</f>
        <v>8</v>
      </c>
      <c r="P5" s="430">
        <f>IF(Games_2126[[#This Row],[SCORE 2]]="","",Games_2126[[#This Row],[SCORE 2]])</f>
        <v>18</v>
      </c>
      <c r="Q5" s="430" t="str">
        <f>IF(OR(Games_2126[[#This Row],[SCORE 1]]="",Games_2126[[#This Row],[SCORE 2]]=""),"",IF(Games_2126[[#This Row],[SALDO 12]]&gt;0, "WIN","LOSE"))</f>
        <v>LOSE</v>
      </c>
      <c r="R5" s="430" t="str">
        <f>IF(OR(Games_2126[[#This Row],[SCORE 2]]="",Games_2126[[#This Row],[SCORE 1]]=""),"",IF(Games_2126[[#This Row],[SALDO 34]]&gt;0, "WIN","LOSE"))</f>
        <v>WIN</v>
      </c>
      <c r="T5" s="2" t="str">
        <f>IFERROR(_xlfn.XLOOKUP(Table157223544789133510128[[#This Row],[Rank]],$M$18:$R$18,$M$17:$R$17),"")</f>
        <v>Ryan</v>
      </c>
      <c r="U5" s="2" t="s">
        <v>25</v>
      </c>
      <c r="W5" s="44" t="s">
        <v>230</v>
      </c>
      <c r="X5" s="44">
        <f>COUNTIF(Games_2126[[ATHLETE 1]:[ATHLETE 4]],W5)</f>
        <v>0</v>
      </c>
    </row>
    <row r="6" spans="1:24">
      <c r="A6" s="550"/>
      <c r="B6" s="430" t="s">
        <v>178</v>
      </c>
      <c r="C6" s="2" t="str">
        <f>$B$21</f>
        <v>HA1</v>
      </c>
      <c r="D6" s="38" t="str">
        <f>B17</f>
        <v>Pedro</v>
      </c>
      <c r="E6" s="100">
        <v>19</v>
      </c>
      <c r="F6" s="101">
        <v>17</v>
      </c>
      <c r="G6" s="41" t="str">
        <f>$B$22</f>
        <v>HA2</v>
      </c>
      <c r="H6" s="41"/>
      <c r="I6" s="41"/>
      <c r="J6" s="41"/>
      <c r="K6" s="41"/>
      <c r="L6" s="2" t="str">
        <f>B19</f>
        <v>Jorge</v>
      </c>
      <c r="M6" s="2">
        <f>IF(OR(Games_2126[[#This Row],[SCORE 1]]="",Games_2126[[#This Row],[SCORE 2]]=""),"",Games_2126[[#This Row],[SCORE 1]]-Games_2126[[#This Row],[SCORE 2]])</f>
        <v>2</v>
      </c>
      <c r="N6" s="430">
        <f>IF(OR(Games_2126[[#This Row],[SCORE 1]]="",Games_2126[[#This Row],[SCORE 2]]=""),"",Games_2126[[#This Row],[SCORE 2]]-Games_2126[[#This Row],[SCORE 1]])</f>
        <v>-2</v>
      </c>
      <c r="O6" s="430">
        <f>IF(Games_2126[[#This Row],[SCORE 1]]="","",Games_2126[[#This Row],[SCORE 1]])</f>
        <v>19</v>
      </c>
      <c r="P6" s="430">
        <f>IF(Games_2126[[#This Row],[SCORE 2]]="","",Games_2126[[#This Row],[SCORE 2]])</f>
        <v>17</v>
      </c>
      <c r="Q6" s="430" t="str">
        <f>IF(OR(Games_2126[[#This Row],[SCORE 1]]="",Games_2126[[#This Row],[SCORE 2]]=""),"",IF(Games_2126[[#This Row],[SALDO 12]]&gt;0, "WIN","LOSE"))</f>
        <v>WIN</v>
      </c>
      <c r="R6" s="430" t="str">
        <f>IF(OR(Games_2126[[#This Row],[SCORE 2]]="",Games_2126[[#This Row],[SCORE 1]]=""),"",IF(Games_2126[[#This Row],[SALDO 34]]&gt;0, "WIN","LOSE"))</f>
        <v>LOSE</v>
      </c>
      <c r="T6" s="2" t="str">
        <f>IFERROR(_xlfn.XLOOKUP(Table157223544789133510128[[#This Row],[Rank]],$M$18:$R$18,$M$17:$R$17),"")</f>
        <v>Thor</v>
      </c>
      <c r="U6" s="2" t="s">
        <v>28</v>
      </c>
      <c r="W6" s="44" t="s">
        <v>245</v>
      </c>
      <c r="X6" s="44">
        <f>COUNTIF(Games_2126[[ATHLETE 1]:[ATHLETE 4]],W6)</f>
        <v>0</v>
      </c>
    </row>
    <row r="7" spans="1:24">
      <c r="A7" s="550"/>
      <c r="B7" s="430" t="s">
        <v>180</v>
      </c>
      <c r="C7" s="2" t="str">
        <f>$B$29</f>
        <v>HB1</v>
      </c>
      <c r="D7" s="38" t="str">
        <f>B25</f>
        <v>Amilcar</v>
      </c>
      <c r="E7" s="100">
        <v>10</v>
      </c>
      <c r="F7" s="101">
        <v>18</v>
      </c>
      <c r="G7" s="41" t="str">
        <f>$B$30</f>
        <v>HB2</v>
      </c>
      <c r="H7" s="41"/>
      <c r="I7" s="41"/>
      <c r="J7" s="41"/>
      <c r="K7" s="41"/>
      <c r="L7" s="2" t="str">
        <f>B27</f>
        <v>Shiv</v>
      </c>
      <c r="M7" s="2">
        <f>IF(OR(Games_2126[[#This Row],[SCORE 1]]="",Games_2126[[#This Row],[SCORE 2]]=""),"",Games_2126[[#This Row],[SCORE 1]]-Games_2126[[#This Row],[SCORE 2]])</f>
        <v>-8</v>
      </c>
      <c r="N7" s="430">
        <f>IF(OR(Games_2126[[#This Row],[SCORE 1]]="",Games_2126[[#This Row],[SCORE 2]]=""),"",Games_2126[[#This Row],[SCORE 2]]-Games_2126[[#This Row],[SCORE 1]])</f>
        <v>8</v>
      </c>
      <c r="O7" s="430">
        <f>IF(Games_2126[[#This Row],[SCORE 1]]="","",Games_2126[[#This Row],[SCORE 1]])</f>
        <v>10</v>
      </c>
      <c r="P7" s="430">
        <f>IF(Games_2126[[#This Row],[SCORE 2]]="","",Games_2126[[#This Row],[SCORE 2]])</f>
        <v>18</v>
      </c>
      <c r="Q7" s="430" t="str">
        <f>IF(OR(Games_2126[[#This Row],[SCORE 1]]="",Games_2126[[#This Row],[SCORE 2]]=""),"",IF(Games_2126[[#This Row],[SALDO 12]]&gt;0, "WIN","LOSE"))</f>
        <v>LOSE</v>
      </c>
      <c r="R7" s="430" t="str">
        <f>IF(OR(Games_2126[[#This Row],[SCORE 2]]="",Games_2126[[#This Row],[SCORE 1]]=""),"",IF(Games_2126[[#This Row],[SALDO 34]]&gt;0, "WIN","LOSE"))</f>
        <v>WIN</v>
      </c>
      <c r="T7" s="2" t="str" cm="1">
        <f t="array" ref="T7">_xlfn.TEXTJOIN(", ", TRUE, _xlfn._xlws.FILTER($K$17:$K$24, $J$17:$J$24=U7,""))</f>
        <v>Pedro</v>
      </c>
      <c r="U7" s="2" t="s">
        <v>31</v>
      </c>
    </row>
    <row r="8" spans="1:24">
      <c r="A8" s="550"/>
      <c r="B8" s="430" t="s">
        <v>178</v>
      </c>
      <c r="C8" s="2" t="str">
        <f>$B$21</f>
        <v>HA1</v>
      </c>
      <c r="D8" s="38" t="str">
        <f>B18</f>
        <v>Thor</v>
      </c>
      <c r="E8" s="100">
        <v>18</v>
      </c>
      <c r="F8" s="101">
        <v>16</v>
      </c>
      <c r="G8" s="41" t="str">
        <f>$B$22</f>
        <v>HA2</v>
      </c>
      <c r="H8" s="41"/>
      <c r="I8" s="41"/>
      <c r="J8" s="41"/>
      <c r="K8" s="41"/>
      <c r="L8" s="2" t="str">
        <f>B20</f>
        <v>Ricardo</v>
      </c>
      <c r="M8" s="2">
        <f>IF(OR(Games_2126[[#This Row],[SCORE 1]]="",Games_2126[[#This Row],[SCORE 2]]=""),"",Games_2126[[#This Row],[SCORE 1]]-Games_2126[[#This Row],[SCORE 2]])</f>
        <v>2</v>
      </c>
      <c r="N8" s="430">
        <f>IF(OR(Games_2126[[#This Row],[SCORE 1]]="",Games_2126[[#This Row],[SCORE 2]]=""),"",Games_2126[[#This Row],[SCORE 2]]-Games_2126[[#This Row],[SCORE 1]])</f>
        <v>-2</v>
      </c>
      <c r="O8" s="430">
        <f>IF(Games_2126[[#This Row],[SCORE 1]]="","",Games_2126[[#This Row],[SCORE 1]])</f>
        <v>18</v>
      </c>
      <c r="P8" s="430">
        <f>IF(Games_2126[[#This Row],[SCORE 2]]="","",Games_2126[[#This Row],[SCORE 2]])</f>
        <v>16</v>
      </c>
      <c r="Q8" s="430" t="str">
        <f>IF(OR(Games_2126[[#This Row],[SCORE 1]]="",Games_2126[[#This Row],[SCORE 2]]=""),"",IF(Games_2126[[#This Row],[SALDO 12]]&gt;0, "WIN","LOSE"))</f>
        <v>WIN</v>
      </c>
      <c r="R8" s="430" t="str">
        <f>IF(OR(Games_2126[[#This Row],[SCORE 2]]="",Games_2126[[#This Row],[SCORE 1]]=""),"",IF(Games_2126[[#This Row],[SALDO 34]]&gt;0, "WIN","LOSE"))</f>
        <v>LOSE</v>
      </c>
      <c r="T8" s="2" t="str" cm="1">
        <f t="array" ref="T8">_xlfn.TEXTJOIN(", ", TRUE, _xlfn._xlws.FILTER($K$17:$K$24, $J$17:$J$24=U8,""))</f>
        <v>Shiv</v>
      </c>
      <c r="U8" s="2" t="s">
        <v>34</v>
      </c>
    </row>
    <row r="9" spans="1:24">
      <c r="A9" s="550"/>
      <c r="B9" s="430" t="s">
        <v>180</v>
      </c>
      <c r="C9" s="2" t="str">
        <f>$B$29</f>
        <v>HB1</v>
      </c>
      <c r="D9" s="38" t="str">
        <f>B26</f>
        <v>Ryan</v>
      </c>
      <c r="E9" s="100">
        <v>18</v>
      </c>
      <c r="F9" s="101">
        <v>16</v>
      </c>
      <c r="G9" s="41" t="str">
        <f>$B$30</f>
        <v>HB2</v>
      </c>
      <c r="H9" s="41"/>
      <c r="I9" s="41"/>
      <c r="J9" s="41"/>
      <c r="K9" s="41"/>
      <c r="L9" s="2" t="str">
        <f>B28</f>
        <v>Walter</v>
      </c>
      <c r="M9" s="2">
        <f>IF(OR(Games_2126[[#This Row],[SCORE 1]]="",Games_2126[[#This Row],[SCORE 2]]=""),"",Games_2126[[#This Row],[SCORE 1]]-Games_2126[[#This Row],[SCORE 2]])</f>
        <v>2</v>
      </c>
      <c r="N9" s="430">
        <f>IF(OR(Games_2126[[#This Row],[SCORE 1]]="",Games_2126[[#This Row],[SCORE 2]]=""),"",Games_2126[[#This Row],[SCORE 2]]-Games_2126[[#This Row],[SCORE 1]])</f>
        <v>-2</v>
      </c>
      <c r="O9" s="430">
        <f>IF(Games_2126[[#This Row],[SCORE 1]]="","",Games_2126[[#This Row],[SCORE 1]])</f>
        <v>18</v>
      </c>
      <c r="P9" s="430">
        <f>IF(Games_2126[[#This Row],[SCORE 2]]="","",Games_2126[[#This Row],[SCORE 2]])</f>
        <v>16</v>
      </c>
      <c r="Q9" s="430" t="str">
        <f>IF(OR(Games_2126[[#This Row],[SCORE 1]]="",Games_2126[[#This Row],[SCORE 2]]=""),"",IF(Games_2126[[#This Row],[SALDO 12]]&gt;0, "WIN","LOSE"))</f>
        <v>WIN</v>
      </c>
      <c r="R9" s="430" t="str">
        <f>IF(OR(Games_2126[[#This Row],[SCORE 2]]="",Games_2126[[#This Row],[SCORE 1]]=""),"",IF(Games_2126[[#This Row],[SALDO 34]]&gt;0, "WIN","LOSE"))</f>
        <v>LOSE</v>
      </c>
      <c r="T9" s="2" t="str" cm="1">
        <f t="array" ref="T9">_xlfn.TEXTJOIN(", ", TRUE, _xlfn._xlws.FILTER($K$17:$K$24, $J$17:$J$24=U9,""))</f>
        <v>Jorge</v>
      </c>
      <c r="U9" s="2" t="s">
        <v>37</v>
      </c>
    </row>
    <row r="10" spans="1:24">
      <c r="A10" s="550"/>
      <c r="B10" s="430" t="s">
        <v>178</v>
      </c>
      <c r="C10" s="2" t="str">
        <f>$B$21</f>
        <v>HA1</v>
      </c>
      <c r="D10" s="38" t="str">
        <f>B20</f>
        <v>Ricardo</v>
      </c>
      <c r="E10" s="100">
        <v>19</v>
      </c>
      <c r="F10" s="101">
        <v>17</v>
      </c>
      <c r="G10" s="41" t="str">
        <f>$B$22</f>
        <v>HA2</v>
      </c>
      <c r="H10" s="41"/>
      <c r="I10" s="41"/>
      <c r="J10" s="41"/>
      <c r="K10" s="41"/>
      <c r="L10" s="2" t="str">
        <f>B17</f>
        <v>Pedro</v>
      </c>
      <c r="M10" s="2">
        <f>IF(OR(Games_2126[[#This Row],[SCORE 1]]="",Games_2126[[#This Row],[SCORE 2]]=""),"",Games_2126[[#This Row],[SCORE 1]]-Games_2126[[#This Row],[SCORE 2]])</f>
        <v>2</v>
      </c>
      <c r="N10" s="430">
        <f>IF(OR(Games_2126[[#This Row],[SCORE 1]]="",Games_2126[[#This Row],[SCORE 2]]=""),"",Games_2126[[#This Row],[SCORE 2]]-Games_2126[[#This Row],[SCORE 1]])</f>
        <v>-2</v>
      </c>
      <c r="O10" s="430">
        <f>IF(Games_2126[[#This Row],[SCORE 1]]="","",Games_2126[[#This Row],[SCORE 1]])</f>
        <v>19</v>
      </c>
      <c r="P10" s="430">
        <f>IF(Games_2126[[#This Row],[SCORE 2]]="","",Games_2126[[#This Row],[SCORE 2]])</f>
        <v>17</v>
      </c>
      <c r="Q10" s="430" t="str">
        <f>IF(OR(Games_2126[[#This Row],[SCORE 1]]="",Games_2126[[#This Row],[SCORE 2]]=""),"",IF(Games_2126[[#This Row],[SALDO 12]]&gt;0, "WIN","LOSE"))</f>
        <v>WIN</v>
      </c>
      <c r="R10" s="430" t="str">
        <f>IF(OR(Games_2126[[#This Row],[SCORE 2]]="",Games_2126[[#This Row],[SCORE 1]]=""),"",IF(Games_2126[[#This Row],[SALDO 34]]&gt;0, "WIN","LOSE"))</f>
        <v>LOSE</v>
      </c>
      <c r="T10" s="2" t="str" cm="1">
        <f t="array" ref="T10">_xlfn.TEXTJOIN(", ", TRUE, _xlfn._xlws.FILTER($K$17:$K$24, $J$17:$J$24=U10,""))</f>
        <v>Amilcar</v>
      </c>
      <c r="U10" s="2" t="s">
        <v>41</v>
      </c>
    </row>
    <row r="11" spans="1:24">
      <c r="A11" s="550"/>
      <c r="B11" s="11" t="s">
        <v>180</v>
      </c>
      <c r="C11" s="2" t="str">
        <f>$B$29</f>
        <v>HB1</v>
      </c>
      <c r="D11" s="38" t="str">
        <f>B28</f>
        <v>Walter</v>
      </c>
      <c r="E11" s="111">
        <v>18</v>
      </c>
      <c r="F11" s="112">
        <v>10</v>
      </c>
      <c r="G11" s="41" t="str">
        <f>$B$30</f>
        <v>HB2</v>
      </c>
      <c r="H11" s="97"/>
      <c r="I11" s="97"/>
      <c r="J11" s="97"/>
      <c r="K11" s="97"/>
      <c r="L11" s="2" t="str">
        <f>B25</f>
        <v>Amilcar</v>
      </c>
      <c r="M11" s="2">
        <f>IF(OR(Games_2126[[#This Row],[SCORE 1]]="",Games_2126[[#This Row],[SCORE 2]]=""),"",Games_2126[[#This Row],[SCORE 1]]-Games_2126[[#This Row],[SCORE 2]])</f>
        <v>8</v>
      </c>
      <c r="N11" s="11">
        <f>IF(OR(Games_2126[[#This Row],[SCORE 1]]="",Games_2126[[#This Row],[SCORE 2]]=""),"",Games_2126[[#This Row],[SCORE 2]]-Games_2126[[#This Row],[SCORE 1]])</f>
        <v>-8</v>
      </c>
      <c r="O11" s="11">
        <f>IF(Games_2126[[#This Row],[SCORE 1]]="","",Games_2126[[#This Row],[SCORE 1]])</f>
        <v>18</v>
      </c>
      <c r="P11" s="11">
        <f>IF(Games_2126[[#This Row],[SCORE 2]]="","",Games_2126[[#This Row],[SCORE 2]])</f>
        <v>10</v>
      </c>
      <c r="Q11" s="11" t="str">
        <f>IF(OR(Games_2126[[#This Row],[SCORE 1]]="",Games_2126[[#This Row],[SCORE 2]]=""),"",IF(Games_2126[[#This Row],[SALDO 12]]&gt;0, "WIN","LOSE"))</f>
        <v>WIN</v>
      </c>
      <c r="R11" s="11" t="str">
        <f>IF(OR(Games_2126[[#This Row],[SCORE 2]]="",Games_2126[[#This Row],[SCORE 1]]=""),"",IF(Games_2126[[#This Row],[SALDO 34]]&gt;0, "WIN","LOSE"))</f>
        <v>LOSE</v>
      </c>
    </row>
    <row r="12" spans="1:24">
      <c r="A12" s="550"/>
      <c r="B12" s="11" t="s">
        <v>178</v>
      </c>
      <c r="C12" s="2" t="str">
        <f>$B$21</f>
        <v>HA1</v>
      </c>
      <c r="D12" s="38" t="str">
        <f>B18</f>
        <v>Thor</v>
      </c>
      <c r="E12" s="111">
        <v>18</v>
      </c>
      <c r="F12" s="112">
        <v>17</v>
      </c>
      <c r="G12" s="41" t="str">
        <f>$B$22</f>
        <v>HA2</v>
      </c>
      <c r="H12" s="97"/>
      <c r="I12" s="97"/>
      <c r="J12" s="97"/>
      <c r="K12" s="97"/>
      <c r="L12" s="2" t="str">
        <f>B19</f>
        <v>Jorge</v>
      </c>
      <c r="M12" s="2">
        <f>IF(OR(Games_2126[[#This Row],[SCORE 1]]="",Games_2126[[#This Row],[SCORE 2]]=""),"",Games_2126[[#This Row],[SCORE 1]]-Games_2126[[#This Row],[SCORE 2]])</f>
        <v>1</v>
      </c>
      <c r="N12" s="11">
        <f>IF(OR(Games_2126[[#This Row],[SCORE 1]]="",Games_2126[[#This Row],[SCORE 2]]=""),"",Games_2126[[#This Row],[SCORE 2]]-Games_2126[[#This Row],[SCORE 1]])</f>
        <v>-1</v>
      </c>
      <c r="O12" s="11">
        <f>IF(Games_2126[[#This Row],[SCORE 1]]="","",Games_2126[[#This Row],[SCORE 1]])</f>
        <v>18</v>
      </c>
      <c r="P12" s="11">
        <f>IF(Games_2126[[#This Row],[SCORE 2]]="","",Games_2126[[#This Row],[SCORE 2]])</f>
        <v>17</v>
      </c>
      <c r="Q12" s="11" t="str">
        <f>IF(OR(Games_2126[[#This Row],[SCORE 1]]="",Games_2126[[#This Row],[SCORE 2]]=""),"",IF(Games_2126[[#This Row],[SALDO 12]]&gt;0, "WIN","LOSE"))</f>
        <v>WIN</v>
      </c>
      <c r="R12" s="11" t="str">
        <f>IF(OR(Games_2126[[#This Row],[SCORE 2]]="",Games_2126[[#This Row],[SCORE 1]]=""),"",IF(Games_2126[[#This Row],[SALDO 34]]&gt;0, "WIN","LOSE"))</f>
        <v>LOSE</v>
      </c>
    </row>
    <row r="13" spans="1:24">
      <c r="A13" s="550"/>
      <c r="B13" s="11" t="s">
        <v>180</v>
      </c>
      <c r="C13" s="2" t="str">
        <f>$B$29</f>
        <v>HB1</v>
      </c>
      <c r="D13" s="38" t="str">
        <f>B26</f>
        <v>Ryan</v>
      </c>
      <c r="E13" s="111">
        <v>18</v>
      </c>
      <c r="F13" s="112">
        <v>12</v>
      </c>
      <c r="G13" s="41" t="str">
        <f>$B$30</f>
        <v>HB2</v>
      </c>
      <c r="H13" s="97"/>
      <c r="I13" s="97"/>
      <c r="J13" s="97"/>
      <c r="K13" s="97"/>
      <c r="L13" s="2" t="str">
        <f>B27</f>
        <v>Shiv</v>
      </c>
      <c r="M13" s="2">
        <f>IF(OR(Games_2126[[#This Row],[SCORE 1]]="",Games_2126[[#This Row],[SCORE 2]]=""),"",Games_2126[[#This Row],[SCORE 1]]-Games_2126[[#This Row],[SCORE 2]])</f>
        <v>6</v>
      </c>
      <c r="N13" s="11">
        <f>IF(OR(Games_2126[[#This Row],[SCORE 1]]="",Games_2126[[#This Row],[SCORE 2]]=""),"",Games_2126[[#This Row],[SCORE 2]]-Games_2126[[#This Row],[SCORE 1]])</f>
        <v>-6</v>
      </c>
      <c r="O13" s="11">
        <f>IF(Games_2126[[#This Row],[SCORE 1]]="","",Games_2126[[#This Row],[SCORE 1]])</f>
        <v>18</v>
      </c>
      <c r="P13" s="11">
        <f>IF(Games_2126[[#This Row],[SCORE 2]]="","",Games_2126[[#This Row],[SCORE 2]])</f>
        <v>12</v>
      </c>
      <c r="Q13" s="11" t="str">
        <f>IF(OR(Games_2126[[#This Row],[SCORE 1]]="",Games_2126[[#This Row],[SCORE 2]]=""),"",IF(Games_2126[[#This Row],[SALDO 12]]&gt;0, "WIN","LOSE"))</f>
        <v>WIN</v>
      </c>
      <c r="R13" s="11" t="str">
        <f>IF(OR(Games_2126[[#This Row],[SCORE 2]]="",Games_2126[[#This Row],[SCORE 1]]=""),"",IF(Games_2126[[#This Row],[SALDO 34]]&gt;0, "WIN","LOSE"))</f>
        <v>LOSE</v>
      </c>
    </row>
    <row r="14" spans="1:24" ht="30" customHeight="1"/>
    <row r="15" spans="1:24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48" t="s">
        <v>199</v>
      </c>
      <c r="N15" s="549"/>
      <c r="O15" s="549"/>
      <c r="P15" s="549"/>
      <c r="Q15" s="549"/>
      <c r="R15" s="549"/>
    </row>
    <row r="16" spans="1:24" ht="15.95">
      <c r="A16" s="6" t="s">
        <v>246</v>
      </c>
      <c r="B16" s="43" t="s">
        <v>185</v>
      </c>
      <c r="C16" s="43" t="s">
        <v>186</v>
      </c>
      <c r="D16" s="43" t="s">
        <v>187</v>
      </c>
      <c r="E16" s="43" t="s">
        <v>188</v>
      </c>
      <c r="F16" s="43" t="s">
        <v>189</v>
      </c>
      <c r="G16" s="43" t="s">
        <v>8</v>
      </c>
      <c r="H16" s="425" t="s">
        <v>204</v>
      </c>
      <c r="I16" s="425" t="s">
        <v>191</v>
      </c>
      <c r="J16" s="425" t="s">
        <v>192</v>
      </c>
      <c r="K16" s="425" t="s">
        <v>1</v>
      </c>
      <c r="L16" s="425" t="s">
        <v>277</v>
      </c>
      <c r="M16" s="424" t="s">
        <v>193</v>
      </c>
      <c r="N16" s="424" t="s">
        <v>194</v>
      </c>
      <c r="O16" s="552" t="s">
        <v>195</v>
      </c>
      <c r="P16" s="553"/>
      <c r="Q16" s="424" t="s">
        <v>196</v>
      </c>
      <c r="R16" s="424" t="s">
        <v>197</v>
      </c>
    </row>
    <row r="17" spans="1:19">
      <c r="A17" s="3" t="s">
        <v>205</v>
      </c>
      <c r="B17" s="102" t="s">
        <v>132</v>
      </c>
      <c r="C17" s="14">
        <f>SUM(COUNTIFS(Games_2126[ATHLETE 2],Analysis_3127[[#This Row],[Atheletes ]],Games_2126[RESULT 12],Analysis_3127[[#Headers],[WIN]]),COUNTIFS(Games_2126[ATHLETE 4],Analysis_3127[[#This Row],[Atheletes ]],Games_2126[RESULT 34],Analysis_3127[[#Headers],[WIN]]))</f>
        <v>1</v>
      </c>
      <c r="D17" s="14">
        <f>SUM(COUNTIFS(Games_2126[ATHLETE 2],Analysis_3127[[#This Row],[Atheletes ]],Games_2126[RESULT 12],Analysis_3127[[#Headers],[LOSE]]),COUNTIFS(Games_2126[ATHLETE 4],Analysis_3127[[#This Row],[Atheletes ]],Games_2126[RESULT 34],Analysis_3127[[#Headers],[LOSE]]))</f>
        <v>2</v>
      </c>
      <c r="E17" s="46">
        <f>SUM(SUMIF(Games_2126[ATHLETE 2],Analysis_3127[[#This Row],[Atheletes ]],Games_2126[SALDO 12]),SUMIF(Games_2126[ATHLETE 4],Analysis_3127[[#This Row],[Atheletes ]],Games_2126[SALDO 34]))</f>
        <v>-2</v>
      </c>
      <c r="F17" s="46">
        <f>SUM(SUMIF(Games_2126[ATHLETE 2],Analysis_3127[[#This Row],[Atheletes ]],Games_2126[PM 12]),SUMIF(Games_2126[ATHLETE 4],Analysis_3127[[#This Row],[Atheletes ]],Games_2126[PM 34]))</f>
        <v>54</v>
      </c>
      <c r="G17" s="430" t="str">
        <f>IF(COUNTBLANK(Games_2126[[SCORE 1]:[SCORE 2]])=0,IF(RANK(H17,$H$17:$H$20)=1,RANK(H17,$H$17:$H$20)&amp;"st",IF(RANK(H17,$H$17:$H$20)=2,RANK(H17,$H$17:$H$20)&amp;"nd",IF(RANK(H17,$H$17:$H$20)=3,RANK(H17,$H$17:$H$20)&amp;"rd",RANK(H17,$H$17:$H$20)&amp;"th"))),"")</f>
        <v>3rd</v>
      </c>
      <c r="H17" s="51">
        <f>Analysis_3127[[#This Row],[WIN]]*1000000+Analysis_3127[[#This Row],[Saldo]]*1000+Analysis_3127[[#This Row],[PM]]</f>
        <v>998054</v>
      </c>
      <c r="I17" s="51">
        <f>H17</f>
        <v>998054</v>
      </c>
      <c r="J17" s="2" t="str">
        <f>IF(COUNTBLANK(Games_2126[[SCORE 1]:[SCORE 2]])=0,IF(RANK(I17,$I$17:$I$24)=1,RANK(I17,$I$17:$I$24)&amp;"st",IF(RANK(I17,$I$17:$I$24)=2,RANK(I17,$I$17:$I$24)&amp;"nd",IF(RANK(I17,$I$17:$I$24)=3,RANK(I17,$I$17:$I$24)&amp;"rd",RANK(I17,$I$17:$I$24)&amp;"th"))),"")</f>
        <v>5th</v>
      </c>
      <c r="K17" s="51" t="str">
        <f>Analysis_3127[[#This Row],[Atheletes ]]</f>
        <v>Pedro</v>
      </c>
      <c r="L17" s="2" t="str">
        <f>J17</f>
        <v>5th</v>
      </c>
      <c r="M17" s="432" t="str" cm="1">
        <f t="array" ref="M17">IF(COUNTBLANK(Games_2126[[SCORE 1]:[SCORE 2]])=0,_xlfn.TEXTJOIN(", ", TRUE, _xlfn._xlws.FILTER($K$17:$K$24, $J$17:$J$24=U3,"")),"")</f>
        <v>Ryan</v>
      </c>
      <c r="N17" s="432" t="str" cm="1">
        <f t="array" ref="N17">IF(COUNTBLANK(Games_2126[[SCORE 1]:[SCORE 2]])=0,_xlfn.TEXTJOIN(", ", TRUE, _xlfn._xlws.FILTER($K$17:$K$24, $J$17:$J$24=U4,"")),"")</f>
        <v>Thor</v>
      </c>
      <c r="O17" s="99">
        <v>3</v>
      </c>
      <c r="P17" s="98">
        <v>18</v>
      </c>
      <c r="Q17" s="432" t="str" cm="1">
        <f t="array" ref="Q17">IF(COUNTBLANK(Games_2126[[SCORE 1]:[SCORE 2]])=0,_xlfn.TEXTJOIN(", ", TRUE, _xlfn._xlws.FILTER($K$17:$K$24, $J$17:$J$24=U5,"")),"")</f>
        <v>Walter</v>
      </c>
      <c r="R17" s="432" t="str" cm="1">
        <f t="array" ref="R17">IF(COUNTBLANK(Games_2126[[SCORE 1]:[SCORE 2]])=0,_xlfn.TEXTJOIN(", ", TRUE, _xlfn._xlws.FILTER($K$17:$K$24, $J$17:$J$24=U6,"")),"")</f>
        <v>Ricardo</v>
      </c>
    </row>
    <row r="18" spans="1:19">
      <c r="A18" s="3" t="s">
        <v>206</v>
      </c>
      <c r="B18" s="102" t="s">
        <v>146</v>
      </c>
      <c r="C18" s="14">
        <f>SUM(COUNTIFS(Games_2126[ATHLETE 2],Analysis_3127[[#This Row],[Atheletes ]],Games_2126[RESULT 12],Analysis_3127[[#Headers],[WIN]]),COUNTIFS(Games_2126[ATHLETE 4],Analysis_3127[[#This Row],[Atheletes ]],Games_2126[RESULT 34],Analysis_3127[[#Headers],[WIN]]))</f>
        <v>3</v>
      </c>
      <c r="D18" s="14">
        <f>SUM(COUNTIFS(Games_2126[ATHLETE 2],Analysis_3127[[#This Row],[Atheletes ]],Games_2126[RESULT 12],Analysis_3127[[#Headers],[LOSE]]),COUNTIFS(Games_2126[ATHLETE 4],Analysis_3127[[#This Row],[Atheletes ]],Games_2126[RESULT 34],Analysis_3127[[#Headers],[LOSE]]))</f>
        <v>0</v>
      </c>
      <c r="E18" s="46">
        <f>SUM(SUMIF(Games_2126[ATHLETE 2],Analysis_3127[[#This Row],[Atheletes ]],Games_2126[SALDO 12]),SUMIF(Games_2126[ATHLETE 4],Analysis_3127[[#This Row],[Atheletes ]],Games_2126[SALDO 34]))</f>
        <v>5</v>
      </c>
      <c r="F18" s="46">
        <f>SUM(SUMIF(Games_2126[ATHLETE 2],Analysis_3127[[#This Row],[Atheletes ]],Games_2126[PM 12]),SUMIF(Games_2126[ATHLETE 4],Analysis_3127[[#This Row],[Atheletes ]],Games_2126[PM 34]))</f>
        <v>56</v>
      </c>
      <c r="G18" s="430" t="str">
        <f>IF(COUNTBLANK(Games_2126[[SCORE 1]:[SCORE 2]])=0,IF(RANK(H18,$H$17:$H$20)=1,RANK(H18,$H$17:$H$20)&amp;"st",IF(RANK(H18,$H$17:$H$20)=2,RANK(H18,$H$17:$H$20)&amp;"nd",IF(RANK(H18,$H$17:$H$20)=3,RANK(H18,$H$17:$H$20)&amp;"rd",RANK(H18,$H$17:$H$20)&amp;"th"))),"")</f>
        <v>1st</v>
      </c>
      <c r="H18" s="51">
        <f>Analysis_3127[[#This Row],[WIN]]*1000000+Analysis_3127[[#This Row],[Saldo]]*1000+Analysis_3127[[#This Row],[PM]]</f>
        <v>3005056</v>
      </c>
      <c r="I18" s="51">
        <f t="shared" ref="I18:I20" si="0">H18</f>
        <v>3005056</v>
      </c>
      <c r="J18" s="2" t="str">
        <f>IF(COUNTBLANK(Games_2126[[SCORE 1]:[SCORE 2]])=0,IF(RANK(I18,$I$17:$I$24)=1,RANK(I18,$I$17:$I$24)&amp;"st",IF(RANK(I18,$I$17:$I$24)=2,RANK(I18,$I$17:$I$24)&amp;"nd",IF(RANK(I18,$I$17:$I$24)=3,RANK(I18,$I$17:$I$24)&amp;"rd",RANK(I18,$I$17:$I$24)&amp;"th"))),"")</f>
        <v>2nd</v>
      </c>
      <c r="K18" s="51" t="str">
        <f>Analysis_3127[[#This Row],[Atheletes ]]</f>
        <v>Thor</v>
      </c>
      <c r="L18" s="2" t="str">
        <f t="shared" ref="L18:L20" si="1">J18</f>
        <v>2nd</v>
      </c>
      <c r="M18" s="50" t="str">
        <f>IF(OR($O$17="",$P$17=""),"",IF($O$18="lose",$U$5,""))</f>
        <v>3rd</v>
      </c>
      <c r="N18" s="50" t="str">
        <f>IF(OR($O$17="",$P$17=""),"",IF($O$18="lose",$U$6,""))</f>
        <v>4th</v>
      </c>
      <c r="O18" s="2" t="str">
        <f>IF(OR(O17="",P17=""),"",IF((O17&gt;P17),"WIN","LOSE"))</f>
        <v>LOSE</v>
      </c>
      <c r="P18" s="2" t="str">
        <f>IF(OR(O17="",P17=""),"",IF((O17&lt;P17),"WIN","LOSE"))</f>
        <v>WIN</v>
      </c>
      <c r="Q18" s="50" t="str">
        <f>IF(OR($O$17="",$P$17=""),"",IF($P$18="lose",$U$5,""))</f>
        <v/>
      </c>
      <c r="R18" s="50" t="str">
        <f>IF(OR($O$17="",$P$17=""),"",IF($P$18="lose",$U$6,""))</f>
        <v/>
      </c>
      <c r="S18" s="47"/>
    </row>
    <row r="19" spans="1:19" ht="15.95">
      <c r="A19" s="5" t="s">
        <v>207</v>
      </c>
      <c r="B19" s="102" t="s">
        <v>152</v>
      </c>
      <c r="C19" s="14">
        <f>SUM(COUNTIFS(Games_2126[ATHLETE 2],Analysis_3127[[#This Row],[Atheletes ]],Games_2126[RESULT 12],Analysis_3127[[#Headers],[WIN]]),COUNTIFS(Games_2126[ATHLETE 4],Analysis_3127[[#This Row],[Atheletes ]],Games_2126[RESULT 34],Analysis_3127[[#Headers],[WIN]]))</f>
        <v>0</v>
      </c>
      <c r="D19" s="14">
        <f>SUM(COUNTIFS(Games_2126[ATHLETE 2],Analysis_3127[[#This Row],[Atheletes ]],Games_2126[RESULT 12],Analysis_3127[[#Headers],[LOSE]]),COUNTIFS(Games_2126[ATHLETE 4],Analysis_3127[[#This Row],[Atheletes ]],Games_2126[RESULT 34],Analysis_3127[[#Headers],[LOSE]]))</f>
        <v>3</v>
      </c>
      <c r="E19" s="46">
        <f>SUM(SUMIF(Games_2126[ATHLETE 2],Analysis_3127[[#This Row],[Atheletes ]],Games_2126[SALDO 12]),SUMIF(Games_2126[ATHLETE 4],Analysis_3127[[#This Row],[Atheletes ]],Games_2126[SALDO 34]))</f>
        <v>-11</v>
      </c>
      <c r="F19" s="46">
        <f>SUM(SUMIF(Games_2126[ATHLETE 2],Analysis_3127[[#This Row],[Atheletes ]],Games_2126[PM 12]),SUMIF(Games_2126[ATHLETE 4],Analysis_3127[[#This Row],[Atheletes ]],Games_2126[PM 34]))</f>
        <v>44</v>
      </c>
      <c r="G19" s="430" t="str">
        <f>IF(COUNTBLANK(Games_2126[[SCORE 1]:[SCORE 2]])=0,IF(RANK(H19,$H$17:$H$20)=1,RANK(H19,$H$17:$H$20)&amp;"st",IF(RANK(H19,$H$17:$H$20)=2,RANK(H19,$H$17:$H$20)&amp;"nd",IF(RANK(H19,$H$17:$H$20)=3,RANK(H19,$H$17:$H$20)&amp;"rd",RANK(H19,$H$17:$H$20)&amp;"th"))),"")</f>
        <v>4th</v>
      </c>
      <c r="H19" s="51">
        <f>Analysis_3127[[#This Row],[WIN]]*1000000+Analysis_3127[[#This Row],[Saldo]]*1000+Analysis_3127[[#This Row],[PM]]</f>
        <v>-10956</v>
      </c>
      <c r="I19" s="51">
        <f t="shared" si="0"/>
        <v>-10956</v>
      </c>
      <c r="J19" s="2" t="str">
        <f>IF(COUNTBLANK(Games_2126[[SCORE 1]:[SCORE 2]])=0,IF(RANK(I19,$I$17:$I$24)=1,RANK(I19,$I$17:$I$24)&amp;"st",IF(RANK(I19,$I$17:$I$24)=2,RANK(I19,$I$17:$I$24)&amp;"nd",IF(RANK(I19,$I$17:$I$24)=3,RANK(I19,$I$17:$I$24)&amp;"rd",RANK(I19,$I$17:$I$24)&amp;"th"))),"")</f>
        <v>7th</v>
      </c>
      <c r="K19" s="51" t="str">
        <f>Analysis_3127[[#This Row],[Atheletes ]]</f>
        <v>Jorge</v>
      </c>
      <c r="L19" s="2" t="str">
        <f t="shared" si="1"/>
        <v>7th</v>
      </c>
      <c r="M19" s="173">
        <v>1</v>
      </c>
      <c r="N19" s="173">
        <v>2</v>
      </c>
      <c r="Q19" s="173">
        <v>3</v>
      </c>
      <c r="R19" s="173">
        <v>4</v>
      </c>
    </row>
    <row r="20" spans="1:19">
      <c r="A20" s="3" t="s">
        <v>208</v>
      </c>
      <c r="B20" s="102" t="s">
        <v>147</v>
      </c>
      <c r="C20" s="14">
        <f>SUM(COUNTIFS(Games_2126[ATHLETE 2],Analysis_3127[[#This Row],[Atheletes ]],Games_2126[RESULT 12],Analysis_3127[[#Headers],[WIN]]),COUNTIFS(Games_2126[ATHLETE 4],Analysis_3127[[#This Row],[Atheletes ]],Games_2126[RESULT 34],Analysis_3127[[#Headers],[WIN]]))</f>
        <v>2</v>
      </c>
      <c r="D20" s="14">
        <f>SUM(COUNTIFS(Games_2126[ATHLETE 2],Analysis_3127[[#This Row],[Atheletes ]],Games_2126[RESULT 12],Analysis_3127[[#Headers],[LOSE]]),COUNTIFS(Games_2126[ATHLETE 4],Analysis_3127[[#This Row],[Atheletes ]],Games_2126[RESULT 34],Analysis_3127[[#Headers],[LOSE]]))</f>
        <v>1</v>
      </c>
      <c r="E20" s="46">
        <f>SUM(SUMIF(Games_2126[ATHLETE 2],Analysis_3127[[#This Row],[Atheletes ]],Games_2126[SALDO 12]),SUMIF(Games_2126[ATHLETE 4],Analysis_3127[[#This Row],[Atheletes ]],Games_2126[SALDO 34]))</f>
        <v>8</v>
      </c>
      <c r="F20" s="46">
        <f>SUM(SUMIF(Games_2126[ATHLETE 2],Analysis_3127[[#This Row],[Atheletes ]],Games_2126[PM 12]),SUMIF(Games_2126[ATHLETE 4],Analysis_3127[[#This Row],[Atheletes ]],Games_2126[PM 34]))</f>
        <v>53</v>
      </c>
      <c r="G20" s="430" t="str">
        <f>IF(COUNTBLANK(Games_2126[[SCORE 1]:[SCORE 2]])=0,IF(RANK(H20,$H$17:$H$20)=1,RANK(H20,$H$17:$H$20)&amp;"st",IF(RANK(H20,$H$17:$H$20)=2,RANK(H20,$H$17:$H$20)&amp;"nd",IF(RANK(H20,$H$17:$H$20)=3,RANK(H20,$H$17:$H$20)&amp;"rd",RANK(H20,$H$17:$H$20)&amp;"th"))),"")</f>
        <v>2nd</v>
      </c>
      <c r="H20" s="51">
        <f>Analysis_3127[[#This Row],[WIN]]*1000000+Analysis_3127[[#This Row],[Saldo]]*1000+Analysis_3127[[#This Row],[PM]]</f>
        <v>2008053</v>
      </c>
      <c r="I20" s="51">
        <f t="shared" si="0"/>
        <v>2008053</v>
      </c>
      <c r="J20" s="2" t="str">
        <f>IF(COUNTBLANK(Games_2126[[SCORE 1]:[SCORE 2]])=0,IF(RANK(I20,$I$17:$I$24)=1,RANK(I20,$I$17:$I$24)&amp;"st",IF(RANK(I20,$I$17:$I$24)=2,RANK(I20,$I$17:$I$24)&amp;"nd",IF(RANK(I20,$I$17:$I$24)=3,RANK(I20,$I$17:$I$24)&amp;"rd",RANK(I20,$I$17:$I$24)&amp;"th"))),"")</f>
        <v>4th</v>
      </c>
      <c r="K20" s="51" t="str">
        <f>Analysis_3127[[#This Row],[Atheletes ]]</f>
        <v>Ricardo</v>
      </c>
      <c r="L20" s="2" t="str">
        <f t="shared" si="1"/>
        <v>4th</v>
      </c>
    </row>
    <row r="21" spans="1:19" ht="30" customHeight="1">
      <c r="A21" s="2" t="s">
        <v>278</v>
      </c>
      <c r="B21" s="113" t="s">
        <v>278</v>
      </c>
      <c r="C21" s="11" t="s">
        <v>249</v>
      </c>
      <c r="D21" s="11" t="s">
        <v>249</v>
      </c>
      <c r="E21" s="11" t="s">
        <v>249</v>
      </c>
      <c r="F21" s="11" t="s">
        <v>249</v>
      </c>
      <c r="G21" s="11" t="s">
        <v>249</v>
      </c>
      <c r="H21" s="51" t="s">
        <v>249</v>
      </c>
      <c r="I21" s="51">
        <f>H25</f>
        <v>-19966</v>
      </c>
      <c r="J21" s="2" t="str">
        <f>IF(COUNTBLANK(Games_2126[[SCORE 1]:[SCORE 2]])=0,IF(RANK(I21,$I$17:$I$24)=1,RANK(I21,$I$17:$I$24)&amp;"st",IF(RANK(I21,$I$17:$I$24)=2,RANK(I21,$I$17:$I$24)&amp;"nd",IF(RANK(I21,$I$17:$I$24)=3,RANK(I21,$I$17:$I$24)&amp;"rd",RANK(I21,$I$17:$I$24)&amp;"th"))),"")</f>
        <v>8th</v>
      </c>
      <c r="K21" s="51" t="str">
        <f>B25</f>
        <v>Amilcar</v>
      </c>
      <c r="M21" s="548" t="s">
        <v>200</v>
      </c>
      <c r="N21" s="549"/>
      <c r="O21" s="549"/>
      <c r="P21" s="549"/>
      <c r="Q21" s="549"/>
      <c r="R21" s="549"/>
    </row>
    <row r="22" spans="1:19" ht="28.5" customHeight="1">
      <c r="A22" s="2" t="s">
        <v>279</v>
      </c>
      <c r="B22" s="113" t="s">
        <v>279</v>
      </c>
      <c r="C22" s="11" t="s">
        <v>249</v>
      </c>
      <c r="D22" s="11" t="s">
        <v>249</v>
      </c>
      <c r="E22" s="11" t="s">
        <v>249</v>
      </c>
      <c r="F22" s="11" t="s">
        <v>249</v>
      </c>
      <c r="G22" s="11" t="s">
        <v>249</v>
      </c>
      <c r="H22" s="51" t="s">
        <v>249</v>
      </c>
      <c r="I22" s="51">
        <f t="shared" ref="I22:I24" si="2">H26</f>
        <v>3012054</v>
      </c>
      <c r="J22" s="2" t="str">
        <f>IF(COUNTBLANK(Games_2126[[SCORE 1]:[SCORE 2]])=0,IF(RANK(I22,$I$17:$I$24)=1,RANK(I22,$I$17:$I$24)&amp;"st",IF(RANK(I22,$I$17:$I$24)=2,RANK(I22,$I$17:$I$24)&amp;"nd",IF(RANK(I22,$I$17:$I$24)=3,RANK(I22,$I$17:$I$24)&amp;"rd",RANK(I22,$I$17:$I$24)&amp;"th"))),"")</f>
        <v>1st</v>
      </c>
      <c r="K22" s="51" t="str">
        <f t="shared" ref="K22:K24" si="3">B26</f>
        <v>Ryan</v>
      </c>
      <c r="M22" s="424" t="s">
        <v>193</v>
      </c>
      <c r="N22" s="424" t="s">
        <v>194</v>
      </c>
      <c r="O22" s="552" t="s">
        <v>195</v>
      </c>
      <c r="P22" s="553"/>
      <c r="Q22" s="424" t="s">
        <v>196</v>
      </c>
      <c r="R22" s="424" t="s">
        <v>197</v>
      </c>
    </row>
    <row r="23" spans="1:19">
      <c r="I23" s="51">
        <f t="shared" si="2"/>
        <v>992038</v>
      </c>
      <c r="J23" s="2" t="str">
        <f>IF(COUNTBLANK(Games_2126[[SCORE 1]:[SCORE 2]])=0,IF(RANK(I23,$I$17:$I$24)=1,RANK(I23,$I$17:$I$24)&amp;"st",IF(RANK(I23,$I$17:$I$24)=2,RANK(I23,$I$17:$I$24)&amp;"nd",IF(RANK(I23,$I$17:$I$24)=3,RANK(I23,$I$17:$I$24)&amp;"rd",RANK(I23,$I$17:$I$24)&amp;"th"))),"")</f>
        <v>6th</v>
      </c>
      <c r="K23" s="51" t="str">
        <f t="shared" si="3"/>
        <v>Shiv</v>
      </c>
      <c r="M23" s="432" t="str">
        <f>IF(OR($O$17="",$P$17=""),"",IF($O$18="WIN",$M$17,$Q$17))</f>
        <v>Walter</v>
      </c>
      <c r="N23" s="115" t="s">
        <v>149</v>
      </c>
      <c r="O23" s="99">
        <v>13</v>
      </c>
      <c r="P23" s="98">
        <v>18</v>
      </c>
      <c r="Q23" s="432" t="str">
        <f>IF(OR($O$17="",$P$17=""),"",IF($O$18="WIN",$N$17,$R$17))</f>
        <v>Ricardo</v>
      </c>
      <c r="R23" s="115" t="s">
        <v>148</v>
      </c>
    </row>
    <row r="24" spans="1:19" ht="15.95">
      <c r="A24" s="110" t="s">
        <v>246</v>
      </c>
      <c r="B24" s="43" t="s">
        <v>185</v>
      </c>
      <c r="C24" s="43" t="s">
        <v>186</v>
      </c>
      <c r="D24" s="43" t="s">
        <v>187</v>
      </c>
      <c r="E24" s="43" t="s">
        <v>188</v>
      </c>
      <c r="F24" s="43" t="s">
        <v>189</v>
      </c>
      <c r="G24" s="419" t="s">
        <v>8</v>
      </c>
      <c r="H24" s="419" t="s">
        <v>204</v>
      </c>
      <c r="I24" s="51">
        <f t="shared" si="2"/>
        <v>2016052</v>
      </c>
      <c r="J24" s="2" t="str">
        <f>IF(COUNTBLANK(Games_2126[[SCORE 1]:[SCORE 2]])=0,IF(RANK(I24,$I$17:$I$24)=1,RANK(I24,$I$17:$I$24)&amp;"st",IF(RANK(I24,$I$17:$I$24)=2,RANK(I24,$I$17:$I$24)&amp;"nd",IF(RANK(I24,$I$17:$I$24)=3,RANK(I24,$I$17:$I$24)&amp;"rd",RANK(I24,$I$17:$I$24)&amp;"th"))),"")</f>
        <v>3rd</v>
      </c>
      <c r="K24" s="51" t="str">
        <f t="shared" si="3"/>
        <v>Walter</v>
      </c>
      <c r="L24" s="425" t="s">
        <v>277</v>
      </c>
      <c r="M24" s="50" t="str">
        <f>IF(OR($O$23="",$P$23=""),"",IF($O$24="win",$U$3,$U$4))</f>
        <v>2nd</v>
      </c>
      <c r="O24" s="2" t="str">
        <f>IF(OR(O23="",P23=""),"",IF((O23&gt;P23),"WIN","LOSE"))</f>
        <v>LOSE</v>
      </c>
      <c r="P24" s="2" t="str">
        <f>IF(OR(O23="",P23=""),"",IF((O23&lt;P23),"WIN","LOSE"))</f>
        <v>WIN</v>
      </c>
      <c r="Q24" s="50" t="str">
        <f>IF(OR($O$23="",$P$23=""),"",IF($P$24="win",$U$3,$U$4))</f>
        <v>1st</v>
      </c>
    </row>
    <row r="25" spans="1:19">
      <c r="A25" s="96" t="s">
        <v>209</v>
      </c>
      <c r="B25" s="102" t="s">
        <v>150</v>
      </c>
      <c r="C25" s="14">
        <f>SUM(COUNTIFS(Games_2126[ATHLETE 2],Analysis_4132[[#This Row],[Atheletes ]],Games_2126[RESULT 12],Analysis_3127[[#Headers],[WIN]]),COUNTIFS(Games_2126[ATHLETE 4],Analysis_4132[[#This Row],[Atheletes ]],Games_2126[RESULT 34],Analysis_3127[[#Headers],[WIN]]))</f>
        <v>0</v>
      </c>
      <c r="D25" s="14">
        <f>SUM(COUNTIFS(Games_2126[ATHLETE 2],Analysis_4132[[#This Row],[Atheletes ]],Games_2126[RESULT 12],Analysis_3127[[#Headers],[LOSE]]),COUNTIFS(Games_2126[ATHLETE 4],Analysis_4132[[#This Row],[Atheletes ]],Games_2126[RESULT 34],Analysis_3127[[#Headers],[LOSE]]))</f>
        <v>3</v>
      </c>
      <c r="E25" s="46">
        <f>SUM(SUMIF(Games_2126[ATHLETE 2],Analysis_4132[[#This Row],[Atheletes ]],Games_2126[SALDO 12]),SUMIF(Games_2126[ATHLETE 4],Analysis_4132[[#This Row],[Atheletes ]],Games_2126[SALDO 34]))</f>
        <v>-20</v>
      </c>
      <c r="F25" s="46">
        <f>SUM(SUMIF(Games_2126[ATHLETE 2],Analysis_4132[[#This Row],[Atheletes ]],Games_2126[PM 12]),SUMIF(Games_2126[ATHLETE 4],Analysis_4132[[#This Row],[Atheletes ]],Games_2126[PM 34]))</f>
        <v>34</v>
      </c>
      <c r="G25" s="430" t="str">
        <f>IF(COUNTBLANK(Games_2126[[SCORE 1]:[SCORE 2]])=0,IF(RANK(H25,$H$25:$H$28)=1,RANK(H25,$H$25:$H$28)&amp;"st",IF(RANK(H25,$H$25:$H$28)=2,RANK(H25,$H$25:$H$28)&amp;"nd",IF(RANK(H25,$H$25:$H$28)=3,RANK(H25,$H$25:$H$28)&amp;"rd",RANK(H25,$H$25:$H$28)&amp;"th"))),"")</f>
        <v>4th</v>
      </c>
      <c r="H25" s="51">
        <f>Analysis_4132[[#This Row],[WIN]]*1000000+Analysis_4132[[#This Row],[Saldo]]*1000+Analysis_4132[[#This Row],[PM]]</f>
        <v>-19966</v>
      </c>
      <c r="L25" s="2" t="str">
        <f>J21</f>
        <v>8th</v>
      </c>
    </row>
    <row r="26" spans="1:19">
      <c r="A26" s="430" t="s">
        <v>210</v>
      </c>
      <c r="B26" s="102" t="s">
        <v>149</v>
      </c>
      <c r="C26" s="14">
        <f>SUM(COUNTIFS(Games_2126[ATHLETE 2],Analysis_4132[[#This Row],[Atheletes ]],Games_2126[RESULT 12],Analysis_3127[[#Headers],[WIN]]),COUNTIFS(Games_2126[ATHLETE 4],Analysis_4132[[#This Row],[Atheletes ]],Games_2126[RESULT 34],Analysis_3127[[#Headers],[WIN]]))</f>
        <v>3</v>
      </c>
      <c r="D26" s="14">
        <f>SUM(COUNTIFS(Games_2126[ATHLETE 2],Analysis_4132[[#This Row],[Atheletes ]],Games_2126[RESULT 12],Analysis_3127[[#Headers],[LOSE]]),COUNTIFS(Games_2126[ATHLETE 4],Analysis_4132[[#This Row],[Atheletes ]],Games_2126[RESULT 34],Analysis_3127[[#Headers],[LOSE]]))</f>
        <v>0</v>
      </c>
      <c r="E26" s="46">
        <f>SUM(SUMIF(Games_2126[ATHLETE 2],Analysis_4132[[#This Row],[Atheletes ]],Games_2126[SALDO 12]),SUMIF(Games_2126[ATHLETE 4],Analysis_4132[[#This Row],[Atheletes ]],Games_2126[SALDO 34]))</f>
        <v>12</v>
      </c>
      <c r="F26" s="46">
        <f>SUM(SUMIF(Games_2126[ATHLETE 2],Analysis_4132[[#This Row],[Atheletes ]],Games_2126[PM 12]),SUMIF(Games_2126[ATHLETE 4],Analysis_4132[[#This Row],[Atheletes ]],Games_2126[PM 34]))</f>
        <v>54</v>
      </c>
      <c r="G26" s="430" t="str">
        <f>IF(COUNTBLANK(Games_2126[[SCORE 1]:[SCORE 2]])=0,IF(RANK(H26,$H$25:$H$28)=1,RANK(H26,$H$25:$H$28)&amp;"st",IF(RANK(H26,$H$25:$H$28)=2,RANK(H26,$H$25:$H$28)&amp;"nd",IF(RANK(H26,$H$25:$H$28)=3,RANK(H26,$H$25:$H$28)&amp;"rd",RANK(H26,$H$25:$H$28)&amp;"th"))),"")</f>
        <v>1st</v>
      </c>
      <c r="H26" s="51">
        <f>Analysis_4132[[#This Row],[WIN]]*1000000+Analysis_4132[[#This Row],[Saldo]]*1000+Analysis_4132[[#This Row],[PM]]</f>
        <v>3012054</v>
      </c>
      <c r="L26" s="2" t="str">
        <f t="shared" ref="L26:L28" si="4">J22</f>
        <v>1st</v>
      </c>
    </row>
    <row r="27" spans="1:19">
      <c r="A27" s="96" t="s">
        <v>211</v>
      </c>
      <c r="B27" s="102" t="s">
        <v>148</v>
      </c>
      <c r="C27" s="14">
        <f>SUM(COUNTIFS(Games_2126[ATHLETE 2],Analysis_4132[[#This Row],[Atheletes ]],Games_2126[RESULT 12],Analysis_3127[[#Headers],[WIN]]),COUNTIFS(Games_2126[ATHLETE 4],Analysis_4132[[#This Row],[Atheletes ]],Games_2126[RESULT 34],Analysis_3127[[#Headers],[WIN]]))</f>
        <v>1</v>
      </c>
      <c r="D27" s="14">
        <f>SUM(COUNTIFS(Games_2126[ATHLETE 2],Analysis_4132[[#This Row],[Atheletes ]],Games_2126[RESULT 12],Analysis_3127[[#Headers],[LOSE]]),COUNTIFS(Games_2126[ATHLETE 4],Analysis_4132[[#This Row],[Atheletes ]],Games_2126[RESULT 34],Analysis_3127[[#Headers],[LOSE]]))</f>
        <v>2</v>
      </c>
      <c r="E27" s="46">
        <f>SUM(SUMIF(Games_2126[ATHLETE 2],Analysis_4132[[#This Row],[Atheletes ]],Games_2126[SALDO 12]),SUMIF(Games_2126[ATHLETE 4],Analysis_4132[[#This Row],[Atheletes ]],Games_2126[SALDO 34]))</f>
        <v>-8</v>
      </c>
      <c r="F27" s="46">
        <f>SUM(SUMIF(Games_2126[ATHLETE 2],Analysis_4132[[#This Row],[Atheletes ]],Games_2126[PM 12]),SUMIF(Games_2126[ATHLETE 4],Analysis_4132[[#This Row],[Atheletes ]],Games_2126[PM 34]))</f>
        <v>38</v>
      </c>
      <c r="G27" s="430" t="str">
        <f>IF(COUNTBLANK(Games_2126[[SCORE 1]:[SCORE 2]])=0,IF(RANK(H27,$H$25:$H$28)=1,RANK(H27,$H$25:$H$28)&amp;"st",IF(RANK(H27,$H$25:$H$28)=2,RANK(H27,$H$25:$H$28)&amp;"nd",IF(RANK(H27,$H$25:$H$28)=3,RANK(H27,$H$25:$H$28)&amp;"rd",RANK(H27,$H$25:$H$28)&amp;"th"))),"")</f>
        <v>3rd</v>
      </c>
      <c r="H27" s="51">
        <f>Analysis_4132[[#This Row],[WIN]]*1000000+Analysis_4132[[#This Row],[Saldo]]*1000+Analysis_4132[[#This Row],[PM]]</f>
        <v>992038</v>
      </c>
      <c r="L27" s="2" t="str">
        <f t="shared" si="4"/>
        <v>6th</v>
      </c>
    </row>
    <row r="28" spans="1:19">
      <c r="A28" s="430" t="s">
        <v>212</v>
      </c>
      <c r="B28" s="102" t="s">
        <v>145</v>
      </c>
      <c r="C28" s="14">
        <f>SUM(COUNTIFS(Games_2126[ATHLETE 2],Analysis_4132[[#This Row],[Atheletes ]],Games_2126[RESULT 12],Analysis_3127[[#Headers],[WIN]]),COUNTIFS(Games_2126[ATHLETE 4],Analysis_4132[[#This Row],[Atheletes ]],Games_2126[RESULT 34],Analysis_3127[[#Headers],[WIN]]))</f>
        <v>2</v>
      </c>
      <c r="D28" s="14">
        <f>SUM(COUNTIFS(Games_2126[ATHLETE 2],Analysis_4132[[#This Row],[Atheletes ]],Games_2126[RESULT 12],Analysis_3127[[#Headers],[LOSE]]),COUNTIFS(Games_2126[ATHLETE 4],Analysis_4132[[#This Row],[Atheletes ]],Games_2126[RESULT 34],Analysis_3127[[#Headers],[LOSE]]))</f>
        <v>1</v>
      </c>
      <c r="E28" s="46">
        <f>SUM(SUMIF(Games_2126[ATHLETE 2],Analysis_4132[[#This Row],[Atheletes ]],Games_2126[SALDO 12]),SUMIF(Games_2126[ATHLETE 4],Analysis_4132[[#This Row],[Atheletes ]],Games_2126[SALDO 34]))</f>
        <v>16</v>
      </c>
      <c r="F28" s="46">
        <f>SUM(SUMIF(Games_2126[ATHLETE 2],Analysis_4132[[#This Row],[Atheletes ]],Games_2126[PM 12]),SUMIF(Games_2126[ATHLETE 4],Analysis_4132[[#This Row],[Atheletes ]],Games_2126[PM 34]))</f>
        <v>52</v>
      </c>
      <c r="G28" s="430" t="str">
        <f>IF(COUNTBLANK(Games_2126[[SCORE 1]:[SCORE 2]])=0,IF(RANK(H28,$H$25:$H$28)=1,RANK(H28,$H$25:$H$28)&amp;"st",IF(RANK(H28,$H$25:$H$28)=2,RANK(H28,$H$25:$H$28)&amp;"nd",IF(RANK(H28,$H$25:$H$28)=3,RANK(H28,$H$25:$H$28)&amp;"rd",RANK(H28,$H$25:$H$28)&amp;"th"))),"")</f>
        <v>2nd</v>
      </c>
      <c r="H28" s="51">
        <f>Analysis_4132[[#This Row],[WIN]]*1000000+Analysis_4132[[#This Row],[Saldo]]*1000+Analysis_4132[[#This Row],[PM]]</f>
        <v>2016052</v>
      </c>
      <c r="L28" s="2" t="str">
        <f t="shared" si="4"/>
        <v>3rd</v>
      </c>
    </row>
    <row r="29" spans="1:19">
      <c r="A29" s="96" t="s">
        <v>280</v>
      </c>
      <c r="B29" s="102" t="s">
        <v>280</v>
      </c>
      <c r="C29" s="109" t="s">
        <v>249</v>
      </c>
      <c r="D29" s="109" t="s">
        <v>249</v>
      </c>
      <c r="E29" s="109" t="s">
        <v>249</v>
      </c>
      <c r="F29" s="109" t="s">
        <v>249</v>
      </c>
      <c r="G29" s="109" t="s">
        <v>249</v>
      </c>
      <c r="H29" s="2" t="s">
        <v>249</v>
      </c>
    </row>
    <row r="30" spans="1:19">
      <c r="A30" s="430" t="s">
        <v>281</v>
      </c>
      <c r="B30" s="114" t="s">
        <v>281</v>
      </c>
      <c r="C30" s="109" t="s">
        <v>249</v>
      </c>
      <c r="D30" s="109" t="s">
        <v>249</v>
      </c>
      <c r="E30" s="109" t="s">
        <v>249</v>
      </c>
      <c r="F30" s="109" t="s">
        <v>249</v>
      </c>
      <c r="G30" s="109" t="s">
        <v>249</v>
      </c>
      <c r="H30" s="2" t="s">
        <v>249</v>
      </c>
    </row>
    <row r="31" spans="1:19" ht="15.95" thickBot="1"/>
    <row r="32" spans="1:19" ht="15.95" thickBot="1">
      <c r="A32" s="123" t="s">
        <v>218</v>
      </c>
      <c r="B32" s="124">
        <v>45814</v>
      </c>
      <c r="C32" s="44" t="s">
        <v>256</v>
      </c>
    </row>
  </sheetData>
  <sheetProtection algorithmName="SHA-512" hashValue="/dWd9TgwLIIFQvgqR9dz3MUXVUe2sFIvyeIaBbHPXLMI9w2xsaQKHBGCYHfwbJAyksXt8VSzFCG9b/EcUL+qLw==" saltValue="CqsXJpABP1BGoTpFtpc2FQ==" spinCount="100000" sheet="1" objects="1" scenarios="1"/>
  <mergeCells count="7">
    <mergeCell ref="O22:P22"/>
    <mergeCell ref="A1:A13"/>
    <mergeCell ref="T1:U1"/>
    <mergeCell ref="A15:G15"/>
    <mergeCell ref="M15:R15"/>
    <mergeCell ref="O16:P16"/>
    <mergeCell ref="M21:R21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B5F1-D699-FA41-81F0-3B965E08BC5B}">
  <sheetPr codeName="Sheet45"/>
  <dimension ref="A1:X46"/>
  <sheetViews>
    <sheetView topLeftCell="A13" workbookViewId="0">
      <selection sqref="A1:I1"/>
    </sheetView>
    <sheetView workbookViewId="1">
      <selection sqref="A1:A19"/>
    </sheetView>
  </sheetViews>
  <sheetFormatPr defaultColWidth="8.85546875" defaultRowHeight="15"/>
  <cols>
    <col min="1" max="1" width="10.7109375" style="44" customWidth="1"/>
    <col min="2" max="4" width="20" style="44" customWidth="1"/>
    <col min="5" max="6" width="10.7109375" style="44" customWidth="1"/>
    <col min="7" max="7" width="14.140625" style="44" bestFit="1" customWidth="1"/>
    <col min="8" max="8" width="16.28515625" style="44" hidden="1" customWidth="1"/>
    <col min="9" max="9" width="12" style="44" hidden="1" customWidth="1"/>
    <col min="10" max="10" width="10.7109375" style="44" hidden="1" customWidth="1"/>
    <col min="11" max="11" width="8" style="44" hidden="1" customWidth="1"/>
    <col min="12" max="12" width="14.140625" style="44" bestFit="1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 ht="15" customHeight="1">
      <c r="A1" s="550" t="s">
        <v>286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287</v>
      </c>
      <c r="U1" s="545"/>
      <c r="W1" s="44" t="s">
        <v>213</v>
      </c>
      <c r="X1" s="44">
        <f>COUNTIF(Games_2151[[ATHLETE 1]:[ATHLETE 4]],W1)</f>
        <v>0</v>
      </c>
    </row>
    <row r="2" spans="1:24" ht="15" customHeight="1">
      <c r="A2" s="550"/>
      <c r="B2" s="430" t="s">
        <v>178</v>
      </c>
      <c r="C2" s="2" t="str">
        <f>$B$27</f>
        <v>Horse</v>
      </c>
      <c r="D2" s="38" t="str">
        <f>B23</f>
        <v>Thor</v>
      </c>
      <c r="E2" s="100">
        <v>18</v>
      </c>
      <c r="F2" s="101">
        <v>7</v>
      </c>
      <c r="G2" s="41" t="str">
        <f>$B$28</f>
        <v>Horse</v>
      </c>
      <c r="H2" s="41"/>
      <c r="I2" s="41"/>
      <c r="J2" s="41"/>
      <c r="K2" s="41"/>
      <c r="L2" s="2" t="str">
        <f>B24</f>
        <v>Nikko</v>
      </c>
      <c r="M2" s="430">
        <f>IF(OR(Games_2151[[#This Row],[SCORE 1]]="",Games_2151[[#This Row],[SCORE 2]]=""),"",Games_2151[[#This Row],[SCORE 1]]-Games_2151[[#This Row],[SCORE 2]])</f>
        <v>11</v>
      </c>
      <c r="N2" s="430">
        <f>IF(OR(Games_2151[[#This Row],[SCORE 1]]="",Games_2151[[#This Row],[SCORE 2]]=""),"",Games_2151[[#This Row],[SCORE 2]]-Games_2151[[#This Row],[SCORE 1]])</f>
        <v>-11</v>
      </c>
      <c r="O2" s="430">
        <f>IF(Games_2151[[#This Row],[SCORE 1]]="","",Games_2151[[#This Row],[SCORE 1]])</f>
        <v>18</v>
      </c>
      <c r="P2" s="430">
        <f>IF(Games_2151[[#This Row],[SCORE 2]]="","",Games_2151[[#This Row],[SCORE 2]])</f>
        <v>7</v>
      </c>
      <c r="Q2" s="430" t="str">
        <f>IF(OR(Games_2151[[#This Row],[SCORE 1]]="",Games_2151[[#This Row],[SCORE 2]]=""),"",IF(Games_2151[[#This Row],[SALDO 12]]&gt;0, "WIN","LOSE"))</f>
        <v>WIN</v>
      </c>
      <c r="R2" s="430" t="str">
        <f>IF(OR(Games_2151[[#This Row],[SCORE 2]]="",Games_2151[[#This Row],[SCORE 1]]=""),"",IF(Games_2151[[#This Row],[SALDO 34]]&gt;0, "WIN","LOSE"))</f>
        <v>LOSE</v>
      </c>
      <c r="T2" s="35" t="s">
        <v>179</v>
      </c>
      <c r="U2" s="35" t="s">
        <v>8</v>
      </c>
      <c r="W2" s="44" t="s">
        <v>214</v>
      </c>
      <c r="X2" s="44">
        <f>COUNTIF(Games_2151[[ATHLETE 1]:[ATHLETE 4]],W2)</f>
        <v>0</v>
      </c>
    </row>
    <row r="3" spans="1:24">
      <c r="A3" s="550"/>
      <c r="B3" s="430" t="s">
        <v>180</v>
      </c>
      <c r="C3" s="2" t="str">
        <f>$B$35</f>
        <v>Horse</v>
      </c>
      <c r="D3" s="38" t="str">
        <f>B31</f>
        <v>Mark</v>
      </c>
      <c r="E3" s="100">
        <v>16</v>
      </c>
      <c r="F3" s="101">
        <v>18</v>
      </c>
      <c r="G3" s="41" t="str">
        <f>$B$36</f>
        <v>Horse</v>
      </c>
      <c r="H3" s="41"/>
      <c r="I3" s="41"/>
      <c r="J3" s="41"/>
      <c r="K3" s="41"/>
      <c r="L3" s="2" t="str">
        <f>B32</f>
        <v>Edgar</v>
      </c>
      <c r="M3" s="430">
        <f>IF(OR(Games_2151[[#This Row],[SCORE 1]]="",Games_2151[[#This Row],[SCORE 2]]=""),"",Games_2151[[#This Row],[SCORE 1]]-Games_2151[[#This Row],[SCORE 2]])</f>
        <v>-2</v>
      </c>
      <c r="N3" s="430">
        <f>IF(OR(Games_2151[[#This Row],[SCORE 1]]="",Games_2151[[#This Row],[SCORE 2]]=""),"",Games_2151[[#This Row],[SCORE 2]]-Games_2151[[#This Row],[SCORE 1]])</f>
        <v>2</v>
      </c>
      <c r="O3" s="430">
        <f>IF(Games_2151[[#This Row],[SCORE 1]]="","",Games_2151[[#This Row],[SCORE 1]])</f>
        <v>16</v>
      </c>
      <c r="P3" s="430">
        <f>IF(Games_2151[[#This Row],[SCORE 2]]="","",Games_2151[[#This Row],[SCORE 2]])</f>
        <v>18</v>
      </c>
      <c r="Q3" s="430" t="str">
        <f>IF(OR(Games_2151[[#This Row],[SCORE 1]]="",Games_2151[[#This Row],[SCORE 2]]=""),"",IF(Games_2151[[#This Row],[SALDO 12]]&gt;0, "WIN","LOSE"))</f>
        <v>LOSE</v>
      </c>
      <c r="R3" s="430" t="str">
        <f>IF(OR(Games_2151[[#This Row],[SCORE 2]]="",Games_2151[[#This Row],[SCORE 1]]=""),"",IF(Games_2151[[#This Row],[SALDO 34]]&gt;0, "WIN","LOSE"))</f>
        <v>WIN</v>
      </c>
      <c r="T3" s="2" t="str">
        <f>IFERROR(_xlfn.XLOOKUP(Table157223544789133510153[[#This Row],[Rank]],$M$30:$R$30,$M$29:$R$29),"")</f>
        <v>Ozzy</v>
      </c>
      <c r="U3" s="2" t="s">
        <v>19</v>
      </c>
      <c r="W3" s="44" t="s">
        <v>216</v>
      </c>
      <c r="X3" s="44">
        <f>COUNTIF(Games_2151[[ATHLETE 1]:[ATHLETE 4]],W3)</f>
        <v>0</v>
      </c>
    </row>
    <row r="4" spans="1:24">
      <c r="A4" s="550"/>
      <c r="B4" s="430" t="s">
        <v>181</v>
      </c>
      <c r="C4" s="2" t="str">
        <f>$B$43</f>
        <v>Horse</v>
      </c>
      <c r="D4" s="38" t="str">
        <f>B39</f>
        <v>Amilcar</v>
      </c>
      <c r="E4" s="100">
        <v>16</v>
      </c>
      <c r="F4" s="101">
        <v>18</v>
      </c>
      <c r="G4" s="41" t="str">
        <f>$B$44</f>
        <v>Horse</v>
      </c>
      <c r="H4" s="41"/>
      <c r="I4" s="41"/>
      <c r="J4" s="41"/>
      <c r="K4" s="41"/>
      <c r="L4" s="2" t="str">
        <f>B40</f>
        <v>Rodrigo</v>
      </c>
      <c r="M4" s="430">
        <f>IF(OR(Games_2151[[#This Row],[SCORE 1]]="",Games_2151[[#This Row],[SCORE 2]]=""),"",Games_2151[[#This Row],[SCORE 1]]-Games_2151[[#This Row],[SCORE 2]])</f>
        <v>-2</v>
      </c>
      <c r="N4" s="430">
        <f>IF(OR(Games_2151[[#This Row],[SCORE 1]]="",Games_2151[[#This Row],[SCORE 2]]=""),"",Games_2151[[#This Row],[SCORE 2]]-Games_2151[[#This Row],[SCORE 1]])</f>
        <v>2</v>
      </c>
      <c r="O4" s="430">
        <f>IF(Games_2151[[#This Row],[SCORE 1]]="","",Games_2151[[#This Row],[SCORE 1]])</f>
        <v>16</v>
      </c>
      <c r="P4" s="430">
        <f>IF(Games_2151[[#This Row],[SCORE 2]]="","",Games_2151[[#This Row],[SCORE 2]])</f>
        <v>18</v>
      </c>
      <c r="Q4" s="430" t="str">
        <f>IF(OR(Games_2151[[#This Row],[SCORE 1]]="",Games_2151[[#This Row],[SCORE 2]]=""),"",IF(Games_2151[[#This Row],[SALDO 12]]&gt;0, "WIN","LOSE"))</f>
        <v>LOSE</v>
      </c>
      <c r="R4" s="430" t="str">
        <f>IF(OR(Games_2151[[#This Row],[SCORE 2]]="",Games_2151[[#This Row],[SCORE 1]]=""),"",IF(Games_2151[[#This Row],[SALDO 34]]&gt;0, "WIN","LOSE"))</f>
        <v>WIN</v>
      </c>
      <c r="T4" s="2" t="str">
        <f>IFERROR(_xlfn.XLOOKUP(Table157223544789133510153[[#This Row],[Rank]],$M$30:$R$30,$M$29:$R$29),"")</f>
        <v>Ryan</v>
      </c>
      <c r="U4" s="2" t="s">
        <v>22</v>
      </c>
    </row>
    <row r="5" spans="1:24">
      <c r="A5" s="550"/>
      <c r="B5" s="430" t="s">
        <v>178</v>
      </c>
      <c r="C5" s="2" t="str">
        <f>$B$27</f>
        <v>Horse</v>
      </c>
      <c r="D5" s="38" t="str">
        <f>B25</f>
        <v>Ryan</v>
      </c>
      <c r="E5" s="100">
        <v>18</v>
      </c>
      <c r="F5" s="101">
        <v>16</v>
      </c>
      <c r="G5" s="41" t="str">
        <f>$B$28</f>
        <v>Horse</v>
      </c>
      <c r="H5" s="41"/>
      <c r="I5" s="41"/>
      <c r="J5" s="41"/>
      <c r="K5" s="41"/>
      <c r="L5" s="2" t="str">
        <f>B26</f>
        <v>Walter</v>
      </c>
      <c r="M5" s="430">
        <f>IF(OR(Games_2151[[#This Row],[SCORE 1]]="",Games_2151[[#This Row],[SCORE 2]]=""),"",Games_2151[[#This Row],[SCORE 1]]-Games_2151[[#This Row],[SCORE 2]])</f>
        <v>2</v>
      </c>
      <c r="N5" s="430">
        <f>IF(OR(Games_2151[[#This Row],[SCORE 1]]="",Games_2151[[#This Row],[SCORE 2]]=""),"",Games_2151[[#This Row],[SCORE 2]]-Games_2151[[#This Row],[SCORE 1]])</f>
        <v>-2</v>
      </c>
      <c r="O5" s="430">
        <f>IF(Games_2151[[#This Row],[SCORE 1]]="","",Games_2151[[#This Row],[SCORE 1]])</f>
        <v>18</v>
      </c>
      <c r="P5" s="430">
        <f>IF(Games_2151[[#This Row],[SCORE 2]]="","",Games_2151[[#This Row],[SCORE 2]])</f>
        <v>16</v>
      </c>
      <c r="Q5" s="430" t="str">
        <f>IF(OR(Games_2151[[#This Row],[SCORE 1]]="",Games_2151[[#This Row],[SCORE 2]]=""),"",IF(Games_2151[[#This Row],[SALDO 12]]&gt;0, "WIN","LOSE"))</f>
        <v>WIN</v>
      </c>
      <c r="R5" s="430" t="str">
        <f>IF(OR(Games_2151[[#This Row],[SCORE 2]]="",Games_2151[[#This Row],[SCORE 1]]=""),"",IF(Games_2151[[#This Row],[SALDO 34]]&gt;0, "WIN","LOSE"))</f>
        <v>LOSE</v>
      </c>
      <c r="T5" s="2" t="str">
        <f>IFERROR(_xlfn.XLOOKUP(Table157223544789133510153[[#This Row],[Rank]],$M$24:$R$24,$M$23:$R$23),"")</f>
        <v>Evan</v>
      </c>
      <c r="U5" s="2" t="s">
        <v>25</v>
      </c>
      <c r="W5" s="44" t="s">
        <v>217</v>
      </c>
      <c r="X5" s="44">
        <f>COUNTIF(Games_2151[[ATHLETE 1]:[ATHLETE 4]],W5)</f>
        <v>0</v>
      </c>
    </row>
    <row r="6" spans="1:24">
      <c r="A6" s="550"/>
      <c r="B6" s="430" t="s">
        <v>180</v>
      </c>
      <c r="C6" s="2" t="str">
        <f>$B$35</f>
        <v>Horse</v>
      </c>
      <c r="D6" s="38" t="str">
        <f>B33</f>
        <v>Evan</v>
      </c>
      <c r="E6" s="100">
        <v>18</v>
      </c>
      <c r="F6" s="101">
        <v>14</v>
      </c>
      <c r="G6" s="41" t="str">
        <f>$B$36</f>
        <v>Horse</v>
      </c>
      <c r="H6" s="41"/>
      <c r="I6" s="41"/>
      <c r="J6" s="41"/>
      <c r="K6" s="41"/>
      <c r="L6" s="2" t="str">
        <f>B34</f>
        <v>Ozzy</v>
      </c>
      <c r="M6" s="11">
        <f>IF(OR(Games_2151[[#This Row],[SCORE 1]]="",Games_2151[[#This Row],[SCORE 2]]=""),"",Games_2151[[#This Row],[SCORE 1]]-Games_2151[[#This Row],[SCORE 2]])</f>
        <v>4</v>
      </c>
      <c r="N6" s="430">
        <f>IF(OR(Games_2151[[#This Row],[SCORE 1]]="",Games_2151[[#This Row],[SCORE 2]]=""),"",Games_2151[[#This Row],[SCORE 2]]-Games_2151[[#This Row],[SCORE 1]])</f>
        <v>-4</v>
      </c>
      <c r="O6" s="430">
        <f>IF(Games_2151[[#This Row],[SCORE 1]]="","",Games_2151[[#This Row],[SCORE 1]])</f>
        <v>18</v>
      </c>
      <c r="P6" s="430">
        <f>IF(Games_2151[[#This Row],[SCORE 2]]="","",Games_2151[[#This Row],[SCORE 2]])</f>
        <v>14</v>
      </c>
      <c r="Q6" s="430" t="str">
        <f>IF(OR(Games_2151[[#This Row],[SCORE 1]]="",Games_2151[[#This Row],[SCORE 2]]=""),"",IF(Games_2151[[#This Row],[SALDO 12]]&gt;0, "WIN","LOSE"))</f>
        <v>WIN</v>
      </c>
      <c r="R6" s="430" t="str">
        <f>IF(OR(Games_2151[[#This Row],[SCORE 2]]="",Games_2151[[#This Row],[SCORE 1]]=""),"",IF(Games_2151[[#This Row],[SALDO 34]]&gt;0, "WIN","LOSE"))</f>
        <v>LOSE</v>
      </c>
      <c r="T6" s="2" t="str">
        <f>IFERROR(_xlfn.XLOOKUP(Table157223544789133510153[[#This Row],[Rank]],$M$24:$R$24,$M$23:$R$23),"")</f>
        <v>Matheus</v>
      </c>
      <c r="U6" s="2" t="s">
        <v>28</v>
      </c>
      <c r="W6" s="44" t="s">
        <v>230</v>
      </c>
      <c r="X6" s="44">
        <f>COUNTIF(Games_2151[[ATHLETE 1]:[ATHLETE 4]],W6)</f>
        <v>0</v>
      </c>
    </row>
    <row r="7" spans="1:24">
      <c r="A7" s="550"/>
      <c r="B7" s="430" t="s">
        <v>181</v>
      </c>
      <c r="C7" s="2" t="str">
        <f>$B$43</f>
        <v>Horse</v>
      </c>
      <c r="D7" s="38" t="str">
        <f>B41</f>
        <v>Matheus</v>
      </c>
      <c r="E7" s="100">
        <v>20</v>
      </c>
      <c r="F7" s="101">
        <v>18</v>
      </c>
      <c r="G7" s="41" t="str">
        <f>$B$44</f>
        <v>Horse</v>
      </c>
      <c r="H7" s="41"/>
      <c r="I7" s="41"/>
      <c r="J7" s="41"/>
      <c r="K7" s="41"/>
      <c r="L7" s="2" t="str">
        <f>B42</f>
        <v>Shiv</v>
      </c>
      <c r="M7" s="2">
        <f>IF(OR(Games_2151[[#This Row],[SCORE 1]]="",Games_2151[[#This Row],[SCORE 2]]=""),"",Games_2151[[#This Row],[SCORE 1]]-Games_2151[[#This Row],[SCORE 2]])</f>
        <v>2</v>
      </c>
      <c r="N7" s="430">
        <f>IF(OR(Games_2151[[#This Row],[SCORE 1]]="",Games_2151[[#This Row],[SCORE 2]]=""),"",Games_2151[[#This Row],[SCORE 2]]-Games_2151[[#This Row],[SCORE 1]])</f>
        <v>-2</v>
      </c>
      <c r="O7" s="430">
        <f>IF(Games_2151[[#This Row],[SCORE 1]]="","",Games_2151[[#This Row],[SCORE 1]])</f>
        <v>20</v>
      </c>
      <c r="P7" s="430">
        <f>IF(Games_2151[[#This Row],[SCORE 2]]="","",Games_2151[[#This Row],[SCORE 2]])</f>
        <v>18</v>
      </c>
      <c r="Q7" s="430" t="str">
        <f>IF(OR(Games_2151[[#This Row],[SCORE 1]]="",Games_2151[[#This Row],[SCORE 2]]=""),"",IF(Games_2151[[#This Row],[SALDO 12]]&gt;0, "WIN","LOSE"))</f>
        <v>WIN</v>
      </c>
      <c r="R7" s="430" t="str">
        <f>IF(OR(Games_2151[[#This Row],[SCORE 2]]="",Games_2151[[#This Row],[SCORE 1]]=""),"",IF(Games_2151[[#This Row],[SALDO 34]]&gt;0, "WIN","LOSE"))</f>
        <v>LOSE</v>
      </c>
      <c r="T7" s="2" t="str" cm="1">
        <f t="array" ref="T7">_xlfn.TEXTJOIN(", ", TRUE, _xlfn._xlws.FILTER($K$23:$K$34, $J$23:$J$34=U7,""))</f>
        <v>Thor</v>
      </c>
      <c r="U7" s="2" t="s">
        <v>31</v>
      </c>
    </row>
    <row r="8" spans="1:24">
      <c r="A8" s="550"/>
      <c r="B8" s="430" t="s">
        <v>178</v>
      </c>
      <c r="C8" s="2" t="str">
        <f>$B$27</f>
        <v>Horse</v>
      </c>
      <c r="D8" s="38" t="str">
        <f>B23</f>
        <v>Thor</v>
      </c>
      <c r="E8" s="100">
        <v>9</v>
      </c>
      <c r="F8" s="101">
        <v>18</v>
      </c>
      <c r="G8" s="41" t="str">
        <f>$B$28</f>
        <v>Horse</v>
      </c>
      <c r="H8" s="41"/>
      <c r="I8" s="41"/>
      <c r="J8" s="41"/>
      <c r="K8" s="41"/>
      <c r="L8" s="2" t="str">
        <f>B25</f>
        <v>Ryan</v>
      </c>
      <c r="M8" s="2">
        <f>IF(OR(Games_2151[[#This Row],[SCORE 1]]="",Games_2151[[#This Row],[SCORE 2]]=""),"",Games_2151[[#This Row],[SCORE 1]]-Games_2151[[#This Row],[SCORE 2]])</f>
        <v>-9</v>
      </c>
      <c r="N8" s="430">
        <f>IF(OR(Games_2151[[#This Row],[SCORE 1]]="",Games_2151[[#This Row],[SCORE 2]]=""),"",Games_2151[[#This Row],[SCORE 2]]-Games_2151[[#This Row],[SCORE 1]])</f>
        <v>9</v>
      </c>
      <c r="O8" s="430">
        <f>IF(Games_2151[[#This Row],[SCORE 1]]="","",Games_2151[[#This Row],[SCORE 1]])</f>
        <v>9</v>
      </c>
      <c r="P8" s="430">
        <f>IF(Games_2151[[#This Row],[SCORE 2]]="","",Games_2151[[#This Row],[SCORE 2]])</f>
        <v>18</v>
      </c>
      <c r="Q8" s="430" t="str">
        <f>IF(OR(Games_2151[[#This Row],[SCORE 1]]="",Games_2151[[#This Row],[SCORE 2]]=""),"",IF(Games_2151[[#This Row],[SALDO 12]]&gt;0, "WIN","LOSE"))</f>
        <v>LOSE</v>
      </c>
      <c r="R8" s="430" t="str">
        <f>IF(OR(Games_2151[[#This Row],[SCORE 2]]="",Games_2151[[#This Row],[SCORE 1]]=""),"",IF(Games_2151[[#This Row],[SALDO 34]]&gt;0, "WIN","LOSE"))</f>
        <v>WIN</v>
      </c>
      <c r="T8" s="2" t="str" cm="1">
        <f t="array" ref="T8">_xlfn.TEXTJOIN(", ", TRUE, _xlfn._xlws.FILTER($K$23:$K$34, $J$23:$J$34=U8,""))</f>
        <v>Amilcar</v>
      </c>
      <c r="U8" s="2" t="s">
        <v>34</v>
      </c>
      <c r="W8" s="44" t="s">
        <v>245</v>
      </c>
      <c r="X8" s="44">
        <f>COUNTIF(Games_2151[[ATHLETE 1]:[ATHLETE 4]],W8)</f>
        <v>0</v>
      </c>
    </row>
    <row r="9" spans="1:24">
      <c r="A9" s="550"/>
      <c r="B9" s="430" t="s">
        <v>180</v>
      </c>
      <c r="C9" s="2" t="str">
        <f>$B$35</f>
        <v>Horse</v>
      </c>
      <c r="D9" s="38" t="str">
        <f>B31</f>
        <v>Mark</v>
      </c>
      <c r="E9" s="100">
        <v>7</v>
      </c>
      <c r="F9" s="101">
        <v>18</v>
      </c>
      <c r="G9" s="41" t="str">
        <f>$B$36</f>
        <v>Horse</v>
      </c>
      <c r="H9" s="41"/>
      <c r="I9" s="41"/>
      <c r="J9" s="41"/>
      <c r="K9" s="41"/>
      <c r="L9" s="2" t="str">
        <f>B33</f>
        <v>Evan</v>
      </c>
      <c r="M9" s="2">
        <f>IF(OR(Games_2151[[#This Row],[SCORE 1]]="",Games_2151[[#This Row],[SCORE 2]]=""),"",Games_2151[[#This Row],[SCORE 1]]-Games_2151[[#This Row],[SCORE 2]])</f>
        <v>-11</v>
      </c>
      <c r="N9" s="430">
        <f>IF(OR(Games_2151[[#This Row],[SCORE 1]]="",Games_2151[[#This Row],[SCORE 2]]=""),"",Games_2151[[#This Row],[SCORE 2]]-Games_2151[[#This Row],[SCORE 1]])</f>
        <v>11</v>
      </c>
      <c r="O9" s="430">
        <f>IF(Games_2151[[#This Row],[SCORE 1]]="","",Games_2151[[#This Row],[SCORE 1]])</f>
        <v>7</v>
      </c>
      <c r="P9" s="430">
        <f>IF(Games_2151[[#This Row],[SCORE 2]]="","",Games_2151[[#This Row],[SCORE 2]])</f>
        <v>18</v>
      </c>
      <c r="Q9" s="430" t="str">
        <f>IF(OR(Games_2151[[#This Row],[SCORE 1]]="",Games_2151[[#This Row],[SCORE 2]]=""),"",IF(Games_2151[[#This Row],[SALDO 12]]&gt;0, "WIN","LOSE"))</f>
        <v>LOSE</v>
      </c>
      <c r="R9" s="430" t="str">
        <f>IF(OR(Games_2151[[#This Row],[SCORE 2]]="",Games_2151[[#This Row],[SCORE 1]]=""),"",IF(Games_2151[[#This Row],[SALDO 34]]&gt;0, "WIN","LOSE"))</f>
        <v>WIN</v>
      </c>
      <c r="T9" s="2" t="str" cm="1">
        <f t="array" ref="T9">_xlfn.TEXTJOIN(", ", TRUE, _xlfn._xlws.FILTER($K$23:$K$34, $J$23:$J$34=U9,""))</f>
        <v>Edgar</v>
      </c>
      <c r="U9" s="2" t="s">
        <v>37</v>
      </c>
    </row>
    <row r="10" spans="1:24">
      <c r="A10" s="550"/>
      <c r="B10" s="430" t="s">
        <v>181</v>
      </c>
      <c r="C10" s="2" t="str">
        <f>$B$43</f>
        <v>Horse</v>
      </c>
      <c r="D10" s="38" t="str">
        <f>B39</f>
        <v>Amilcar</v>
      </c>
      <c r="E10" s="100">
        <v>19</v>
      </c>
      <c r="F10" s="101">
        <v>21</v>
      </c>
      <c r="G10" s="41" t="str">
        <f>$B$44</f>
        <v>Horse</v>
      </c>
      <c r="H10" s="41"/>
      <c r="I10" s="41"/>
      <c r="J10" s="41"/>
      <c r="K10" s="41"/>
      <c r="L10" s="2" t="str">
        <f>B41</f>
        <v>Matheus</v>
      </c>
      <c r="M10" s="2">
        <f>IF(OR(Games_2151[[#This Row],[SCORE 1]]="",Games_2151[[#This Row],[SCORE 2]]=""),"",Games_2151[[#This Row],[SCORE 1]]-Games_2151[[#This Row],[SCORE 2]])</f>
        <v>-2</v>
      </c>
      <c r="N10" s="430">
        <f>IF(OR(Games_2151[[#This Row],[SCORE 1]]="",Games_2151[[#This Row],[SCORE 2]]=""),"",Games_2151[[#This Row],[SCORE 2]]-Games_2151[[#This Row],[SCORE 1]])</f>
        <v>2</v>
      </c>
      <c r="O10" s="430">
        <f>IF(Games_2151[[#This Row],[SCORE 1]]="","",Games_2151[[#This Row],[SCORE 1]])</f>
        <v>19</v>
      </c>
      <c r="P10" s="430">
        <f>IF(Games_2151[[#This Row],[SCORE 2]]="","",Games_2151[[#This Row],[SCORE 2]])</f>
        <v>21</v>
      </c>
      <c r="Q10" s="430" t="str">
        <f>IF(OR(Games_2151[[#This Row],[SCORE 1]]="",Games_2151[[#This Row],[SCORE 2]]=""),"",IF(Games_2151[[#This Row],[SALDO 12]]&gt;0, "WIN","LOSE"))</f>
        <v>LOSE</v>
      </c>
      <c r="R10" s="430" t="str">
        <f>IF(OR(Games_2151[[#This Row],[SCORE 2]]="",Games_2151[[#This Row],[SCORE 1]]=""),"",IF(Games_2151[[#This Row],[SALDO 34]]&gt;0, "WIN","LOSE"))</f>
        <v>WIN</v>
      </c>
      <c r="T10" s="372" t="str">
        <f>B26</f>
        <v>Walter</v>
      </c>
      <c r="U10" s="2" t="s">
        <v>41</v>
      </c>
    </row>
    <row r="11" spans="1:24">
      <c r="A11" s="550"/>
      <c r="B11" s="430" t="s">
        <v>178</v>
      </c>
      <c r="C11" s="2" t="str">
        <f>$B$27</f>
        <v>Horse</v>
      </c>
      <c r="D11" s="38" t="str">
        <f>B24</f>
        <v>Nikko</v>
      </c>
      <c r="E11" s="100">
        <v>14</v>
      </c>
      <c r="F11" s="101">
        <v>18</v>
      </c>
      <c r="G11" s="41" t="str">
        <f>$B$28</f>
        <v>Horse</v>
      </c>
      <c r="H11" s="41"/>
      <c r="I11" s="41"/>
      <c r="J11" s="41"/>
      <c r="K11" s="41"/>
      <c r="L11" s="2" t="str">
        <f>B26</f>
        <v>Walter</v>
      </c>
      <c r="M11" s="2">
        <f>IF(OR(Games_2151[[#This Row],[SCORE 1]]="",Games_2151[[#This Row],[SCORE 2]]=""),"",Games_2151[[#This Row],[SCORE 1]]-Games_2151[[#This Row],[SCORE 2]])</f>
        <v>-4</v>
      </c>
      <c r="N11" s="430">
        <f>IF(OR(Games_2151[[#This Row],[SCORE 1]]="",Games_2151[[#This Row],[SCORE 2]]=""),"",Games_2151[[#This Row],[SCORE 2]]-Games_2151[[#This Row],[SCORE 1]])</f>
        <v>4</v>
      </c>
      <c r="O11" s="430">
        <f>IF(Games_2151[[#This Row],[SCORE 1]]="","",Games_2151[[#This Row],[SCORE 1]])</f>
        <v>14</v>
      </c>
      <c r="P11" s="430">
        <f>IF(Games_2151[[#This Row],[SCORE 2]]="","",Games_2151[[#This Row],[SCORE 2]])</f>
        <v>18</v>
      </c>
      <c r="Q11" s="430" t="str">
        <f>IF(OR(Games_2151[[#This Row],[SCORE 1]]="",Games_2151[[#This Row],[SCORE 2]]=""),"",IF(Games_2151[[#This Row],[SALDO 12]]&gt;0, "WIN","LOSE"))</f>
        <v>LOSE</v>
      </c>
      <c r="R11" s="430" t="str">
        <f>IF(OR(Games_2151[[#This Row],[SCORE 2]]="",Games_2151[[#This Row],[SCORE 1]]=""),"",IF(Games_2151[[#This Row],[SALDO 34]]&gt;0, "WIN","LOSE"))</f>
        <v>WIN</v>
      </c>
      <c r="T11" s="372" t="str">
        <f>B42</f>
        <v>Shiv</v>
      </c>
      <c r="U11" s="2" t="s">
        <v>44</v>
      </c>
    </row>
    <row r="12" spans="1:24">
      <c r="A12" s="550"/>
      <c r="B12" s="430" t="s">
        <v>180</v>
      </c>
      <c r="C12" s="2" t="str">
        <f>$B$35</f>
        <v>Horse</v>
      </c>
      <c r="D12" s="38" t="str">
        <f>B32</f>
        <v>Edgar</v>
      </c>
      <c r="E12" s="100">
        <v>15</v>
      </c>
      <c r="F12" s="101">
        <v>18</v>
      </c>
      <c r="G12" s="41" t="str">
        <f>$B$36</f>
        <v>Horse</v>
      </c>
      <c r="H12" s="41"/>
      <c r="I12" s="41"/>
      <c r="J12" s="41"/>
      <c r="K12" s="41"/>
      <c r="L12" s="2" t="str">
        <f>B34</f>
        <v>Ozzy</v>
      </c>
      <c r="M12" s="2">
        <f>IF(OR(Games_2151[[#This Row],[SCORE 1]]="",Games_2151[[#This Row],[SCORE 2]]=""),"",Games_2151[[#This Row],[SCORE 1]]-Games_2151[[#This Row],[SCORE 2]])</f>
        <v>-3</v>
      </c>
      <c r="N12" s="430">
        <f>IF(OR(Games_2151[[#This Row],[SCORE 1]]="",Games_2151[[#This Row],[SCORE 2]]=""),"",Games_2151[[#This Row],[SCORE 2]]-Games_2151[[#This Row],[SCORE 1]])</f>
        <v>3</v>
      </c>
      <c r="O12" s="430">
        <f>IF(Games_2151[[#This Row],[SCORE 1]]="","",Games_2151[[#This Row],[SCORE 1]])</f>
        <v>15</v>
      </c>
      <c r="P12" s="430">
        <f>IF(Games_2151[[#This Row],[SCORE 2]]="","",Games_2151[[#This Row],[SCORE 2]])</f>
        <v>18</v>
      </c>
      <c r="Q12" s="430" t="str">
        <f>IF(OR(Games_2151[[#This Row],[SCORE 1]]="",Games_2151[[#This Row],[SCORE 2]]=""),"",IF(Games_2151[[#This Row],[SALDO 12]]&gt;0, "WIN","LOSE"))</f>
        <v>LOSE</v>
      </c>
      <c r="R12" s="430" t="str">
        <f>IF(OR(Games_2151[[#This Row],[SCORE 2]]="",Games_2151[[#This Row],[SCORE 1]]=""),"",IF(Games_2151[[#This Row],[SALDO 34]]&gt;0, "WIN","LOSE"))</f>
        <v>WIN</v>
      </c>
      <c r="T12" s="2" t="str" cm="1">
        <f t="array" ref="T12">_xlfn.TEXTJOIN(", ", TRUE, _xlfn._xlws.FILTER($K$23:$K$34, $J$23:$J$34=U12,""))</f>
        <v>Rodrigo</v>
      </c>
      <c r="U12" s="2" t="s">
        <v>39</v>
      </c>
    </row>
    <row r="13" spans="1:24">
      <c r="A13" s="550"/>
      <c r="B13" s="430" t="s">
        <v>181</v>
      </c>
      <c r="C13" s="2" t="str">
        <f>$B$43</f>
        <v>Horse</v>
      </c>
      <c r="D13" s="38" t="str">
        <f>B40</f>
        <v>Rodrigo</v>
      </c>
      <c r="E13" s="100">
        <v>12</v>
      </c>
      <c r="F13" s="101">
        <v>18</v>
      </c>
      <c r="G13" s="41" t="str">
        <f>$B$44</f>
        <v>Horse</v>
      </c>
      <c r="H13" s="41"/>
      <c r="I13" s="41"/>
      <c r="J13" s="41"/>
      <c r="K13" s="41"/>
      <c r="L13" s="2" t="str">
        <f>B42</f>
        <v>Shiv</v>
      </c>
      <c r="M13" s="2">
        <f>IF(OR(Games_2151[[#This Row],[SCORE 1]]="",Games_2151[[#This Row],[SCORE 2]]=""),"",Games_2151[[#This Row],[SCORE 1]]-Games_2151[[#This Row],[SCORE 2]])</f>
        <v>-6</v>
      </c>
      <c r="N13" s="430">
        <f>IF(OR(Games_2151[[#This Row],[SCORE 1]]="",Games_2151[[#This Row],[SCORE 2]]=""),"",Games_2151[[#This Row],[SCORE 2]]-Games_2151[[#This Row],[SCORE 1]])</f>
        <v>6</v>
      </c>
      <c r="O13" s="430">
        <f>IF(Games_2151[[#This Row],[SCORE 1]]="","",Games_2151[[#This Row],[SCORE 1]])</f>
        <v>12</v>
      </c>
      <c r="P13" s="430">
        <f>IF(Games_2151[[#This Row],[SCORE 2]]="","",Games_2151[[#This Row],[SCORE 2]])</f>
        <v>18</v>
      </c>
      <c r="Q13" s="430" t="str">
        <f>IF(OR(Games_2151[[#This Row],[SCORE 1]]="",Games_2151[[#This Row],[SCORE 2]]=""),"",IF(Games_2151[[#This Row],[SALDO 12]]&gt;0, "WIN","LOSE"))</f>
        <v>LOSE</v>
      </c>
      <c r="R13" s="430" t="str">
        <f>IF(OR(Games_2151[[#This Row],[SCORE 2]]="",Games_2151[[#This Row],[SCORE 1]]=""),"",IF(Games_2151[[#This Row],[SALDO 34]]&gt;0, "WIN","LOSE"))</f>
        <v>WIN</v>
      </c>
      <c r="T13" s="2" t="str" cm="1">
        <f t="array" ref="T13">_xlfn.TEXTJOIN(", ", TRUE, _xlfn._xlws.FILTER($K$23:$K$34, $J$23:$J$34=U13,""))</f>
        <v>Nikko</v>
      </c>
      <c r="U13" s="2" t="s">
        <v>49</v>
      </c>
    </row>
    <row r="14" spans="1:24">
      <c r="A14" s="550"/>
      <c r="B14" s="430" t="s">
        <v>178</v>
      </c>
      <c r="C14" s="2" t="str">
        <f>$B$27</f>
        <v>Horse</v>
      </c>
      <c r="D14" s="38" t="str">
        <f>B26</f>
        <v>Walter</v>
      </c>
      <c r="E14" s="100">
        <v>13</v>
      </c>
      <c r="F14" s="101">
        <v>18</v>
      </c>
      <c r="G14" s="41" t="str">
        <f>$B$28</f>
        <v>Horse</v>
      </c>
      <c r="H14" s="41"/>
      <c r="I14" s="41"/>
      <c r="J14" s="41"/>
      <c r="K14" s="41"/>
      <c r="L14" s="2" t="str">
        <f>B23</f>
        <v>Thor</v>
      </c>
      <c r="M14" s="2">
        <f>IF(OR(Games_2151[[#This Row],[SCORE 1]]="",Games_2151[[#This Row],[SCORE 2]]=""),"",Games_2151[[#This Row],[SCORE 1]]-Games_2151[[#This Row],[SCORE 2]])</f>
        <v>-5</v>
      </c>
      <c r="N14" s="430">
        <f>IF(OR(Games_2151[[#This Row],[SCORE 1]]="",Games_2151[[#This Row],[SCORE 2]]=""),"",Games_2151[[#This Row],[SCORE 2]]-Games_2151[[#This Row],[SCORE 1]])</f>
        <v>5</v>
      </c>
      <c r="O14" s="430">
        <f>IF(Games_2151[[#This Row],[SCORE 1]]="","",Games_2151[[#This Row],[SCORE 1]])</f>
        <v>13</v>
      </c>
      <c r="P14" s="430">
        <f>IF(Games_2151[[#This Row],[SCORE 2]]="","",Games_2151[[#This Row],[SCORE 2]])</f>
        <v>18</v>
      </c>
      <c r="Q14" s="430" t="str">
        <f>IF(OR(Games_2151[[#This Row],[SCORE 1]]="",Games_2151[[#This Row],[SCORE 2]]=""),"",IF(Games_2151[[#This Row],[SALDO 12]]&gt;0, "WIN","LOSE"))</f>
        <v>LOSE</v>
      </c>
      <c r="R14" s="430" t="str">
        <f>IF(OR(Games_2151[[#This Row],[SCORE 2]]="",Games_2151[[#This Row],[SCORE 1]]=""),"",IF(Games_2151[[#This Row],[SALDO 34]]&gt;0, "WIN","LOSE"))</f>
        <v>WIN</v>
      </c>
      <c r="T14" s="2" t="str" cm="1">
        <f t="array" ref="T14">_xlfn.TEXTJOIN(", ", TRUE, _xlfn._xlws.FILTER($K$23:$K$34, $J$23:$J$34=U14,""))</f>
        <v>Mark</v>
      </c>
      <c r="U14" s="2" t="s">
        <v>51</v>
      </c>
    </row>
    <row r="15" spans="1:24">
      <c r="A15" s="550"/>
      <c r="B15" s="11" t="s">
        <v>180</v>
      </c>
      <c r="C15" s="2" t="str">
        <f>$B$35</f>
        <v>Horse</v>
      </c>
      <c r="D15" s="38" t="str">
        <f>B34</f>
        <v>Ozzy</v>
      </c>
      <c r="E15" s="111">
        <v>18</v>
      </c>
      <c r="F15" s="112">
        <v>5</v>
      </c>
      <c r="G15" s="41" t="str">
        <f>$B$36</f>
        <v>Horse</v>
      </c>
      <c r="H15" s="97"/>
      <c r="I15" s="97"/>
      <c r="J15" s="97"/>
      <c r="K15" s="97"/>
      <c r="L15" s="2" t="str">
        <f>B31</f>
        <v>Mark</v>
      </c>
      <c r="M15" s="2">
        <f>IF(OR(Games_2151[[#This Row],[SCORE 1]]="",Games_2151[[#This Row],[SCORE 2]]=""),"",Games_2151[[#This Row],[SCORE 1]]-Games_2151[[#This Row],[SCORE 2]])</f>
        <v>13</v>
      </c>
      <c r="N15" s="11">
        <f>IF(OR(Games_2151[[#This Row],[SCORE 1]]="",Games_2151[[#This Row],[SCORE 2]]=""),"",Games_2151[[#This Row],[SCORE 2]]-Games_2151[[#This Row],[SCORE 1]])</f>
        <v>-13</v>
      </c>
      <c r="O15" s="11">
        <f>IF(Games_2151[[#This Row],[SCORE 1]]="","",Games_2151[[#This Row],[SCORE 1]])</f>
        <v>18</v>
      </c>
      <c r="P15" s="11">
        <f>IF(Games_2151[[#This Row],[SCORE 2]]="","",Games_2151[[#This Row],[SCORE 2]])</f>
        <v>5</v>
      </c>
      <c r="Q15" s="11" t="str">
        <f>IF(OR(Games_2151[[#This Row],[SCORE 1]]="",Games_2151[[#This Row],[SCORE 2]]=""),"",IF(Games_2151[[#This Row],[SALDO 12]]&gt;0, "WIN","LOSE"))</f>
        <v>WIN</v>
      </c>
      <c r="R15" s="11" t="str">
        <f>IF(OR(Games_2151[[#This Row],[SCORE 2]]="",Games_2151[[#This Row],[SCORE 1]]=""),"",IF(Games_2151[[#This Row],[SALDO 34]]&gt;0, "WIN","LOSE"))</f>
        <v>LOSE</v>
      </c>
    </row>
    <row r="16" spans="1:24">
      <c r="A16" s="550"/>
      <c r="B16" s="11" t="s">
        <v>181</v>
      </c>
      <c r="C16" s="2" t="str">
        <f>$B$43</f>
        <v>Horse</v>
      </c>
      <c r="D16" s="38" t="str">
        <f>B42</f>
        <v>Shiv</v>
      </c>
      <c r="E16" s="111">
        <v>11</v>
      </c>
      <c r="F16" s="112">
        <v>18</v>
      </c>
      <c r="G16" s="41" t="str">
        <f>$B$44</f>
        <v>Horse</v>
      </c>
      <c r="H16" s="97"/>
      <c r="I16" s="97"/>
      <c r="J16" s="97"/>
      <c r="K16" s="97"/>
      <c r="L16" s="2" t="str">
        <f>B39</f>
        <v>Amilcar</v>
      </c>
      <c r="M16" s="2">
        <f>IF(OR(Games_2151[[#This Row],[SCORE 1]]="",Games_2151[[#This Row],[SCORE 2]]=""),"",Games_2151[[#This Row],[SCORE 1]]-Games_2151[[#This Row],[SCORE 2]])</f>
        <v>-7</v>
      </c>
      <c r="N16" s="11">
        <f>IF(OR(Games_2151[[#This Row],[SCORE 1]]="",Games_2151[[#This Row],[SCORE 2]]=""),"",Games_2151[[#This Row],[SCORE 2]]-Games_2151[[#This Row],[SCORE 1]])</f>
        <v>7</v>
      </c>
      <c r="O16" s="11">
        <f>IF(Games_2151[[#This Row],[SCORE 1]]="","",Games_2151[[#This Row],[SCORE 1]])</f>
        <v>11</v>
      </c>
      <c r="P16" s="11">
        <f>IF(Games_2151[[#This Row],[SCORE 2]]="","",Games_2151[[#This Row],[SCORE 2]])</f>
        <v>18</v>
      </c>
      <c r="Q16" s="11" t="str">
        <f>IF(OR(Games_2151[[#This Row],[SCORE 1]]="",Games_2151[[#This Row],[SCORE 2]]=""),"",IF(Games_2151[[#This Row],[SALDO 12]]&gt;0, "WIN","LOSE"))</f>
        <v>LOSE</v>
      </c>
      <c r="R16" s="11" t="str">
        <f>IF(OR(Games_2151[[#This Row],[SCORE 2]]="",Games_2151[[#This Row],[SCORE 1]]=""),"",IF(Games_2151[[#This Row],[SALDO 34]]&gt;0, "WIN","LOSE"))</f>
        <v>WIN</v>
      </c>
    </row>
    <row r="17" spans="1:19">
      <c r="A17" s="550"/>
      <c r="B17" s="11" t="s">
        <v>178</v>
      </c>
      <c r="C17" s="2" t="str">
        <f>$B$27</f>
        <v>Horse</v>
      </c>
      <c r="D17" s="38" t="str">
        <f>B24</f>
        <v>Nikko</v>
      </c>
      <c r="E17" s="111">
        <v>18</v>
      </c>
      <c r="F17" s="112">
        <v>16</v>
      </c>
      <c r="G17" s="41" t="str">
        <f>$B$28</f>
        <v>Horse</v>
      </c>
      <c r="H17" s="97"/>
      <c r="I17" s="97"/>
      <c r="J17" s="97"/>
      <c r="K17" s="97"/>
      <c r="L17" s="2" t="str">
        <f>B25</f>
        <v>Ryan</v>
      </c>
      <c r="M17" s="2">
        <f>IF(OR(Games_2151[[#This Row],[SCORE 1]]="",Games_2151[[#This Row],[SCORE 2]]=""),"",Games_2151[[#This Row],[SCORE 1]]-Games_2151[[#This Row],[SCORE 2]])</f>
        <v>2</v>
      </c>
      <c r="N17" s="11">
        <f>IF(OR(Games_2151[[#This Row],[SCORE 1]]="",Games_2151[[#This Row],[SCORE 2]]=""),"",Games_2151[[#This Row],[SCORE 2]]-Games_2151[[#This Row],[SCORE 1]])</f>
        <v>-2</v>
      </c>
      <c r="O17" s="11">
        <f>IF(Games_2151[[#This Row],[SCORE 1]]="","",Games_2151[[#This Row],[SCORE 1]])</f>
        <v>18</v>
      </c>
      <c r="P17" s="11">
        <f>IF(Games_2151[[#This Row],[SCORE 2]]="","",Games_2151[[#This Row],[SCORE 2]])</f>
        <v>16</v>
      </c>
      <c r="Q17" s="11" t="str">
        <f>IF(OR(Games_2151[[#This Row],[SCORE 1]]="",Games_2151[[#This Row],[SCORE 2]]=""),"",IF(Games_2151[[#This Row],[SALDO 12]]&gt;0, "WIN","LOSE"))</f>
        <v>WIN</v>
      </c>
      <c r="R17" s="11" t="str">
        <f>IF(OR(Games_2151[[#This Row],[SCORE 2]]="",Games_2151[[#This Row],[SCORE 1]]=""),"",IF(Games_2151[[#This Row],[SALDO 34]]&gt;0, "WIN","LOSE"))</f>
        <v>LOSE</v>
      </c>
    </row>
    <row r="18" spans="1:19">
      <c r="A18" s="550"/>
      <c r="B18" s="11" t="s">
        <v>180</v>
      </c>
      <c r="C18" s="2" t="str">
        <f>$B$35</f>
        <v>Horse</v>
      </c>
      <c r="D18" s="38" t="str">
        <f>B32</f>
        <v>Edgar</v>
      </c>
      <c r="E18" s="111">
        <v>16</v>
      </c>
      <c r="F18" s="112">
        <v>18</v>
      </c>
      <c r="G18" s="41" t="str">
        <f>$B$36</f>
        <v>Horse</v>
      </c>
      <c r="H18" s="97"/>
      <c r="I18" s="97"/>
      <c r="J18" s="97"/>
      <c r="K18" s="97"/>
      <c r="L18" s="2" t="str">
        <f>B33</f>
        <v>Evan</v>
      </c>
      <c r="M18" s="2">
        <f>IF(OR(Games_2151[[#This Row],[SCORE 1]]="",Games_2151[[#This Row],[SCORE 2]]=""),"",Games_2151[[#This Row],[SCORE 1]]-Games_2151[[#This Row],[SCORE 2]])</f>
        <v>-2</v>
      </c>
      <c r="N18" s="11">
        <f>IF(OR(Games_2151[[#This Row],[SCORE 1]]="",Games_2151[[#This Row],[SCORE 2]]=""),"",Games_2151[[#This Row],[SCORE 2]]-Games_2151[[#This Row],[SCORE 1]])</f>
        <v>2</v>
      </c>
      <c r="O18" s="11">
        <f>IF(Games_2151[[#This Row],[SCORE 1]]="","",Games_2151[[#This Row],[SCORE 1]])</f>
        <v>16</v>
      </c>
      <c r="P18" s="11">
        <f>IF(Games_2151[[#This Row],[SCORE 2]]="","",Games_2151[[#This Row],[SCORE 2]])</f>
        <v>18</v>
      </c>
      <c r="Q18" s="11" t="str">
        <f>IF(OR(Games_2151[[#This Row],[SCORE 1]]="",Games_2151[[#This Row],[SCORE 2]]=""),"",IF(Games_2151[[#This Row],[SALDO 12]]&gt;0, "WIN","LOSE"))</f>
        <v>LOSE</v>
      </c>
      <c r="R18" s="11" t="str">
        <f>IF(OR(Games_2151[[#This Row],[SCORE 2]]="",Games_2151[[#This Row],[SCORE 1]]=""),"",IF(Games_2151[[#This Row],[SALDO 34]]&gt;0, "WIN","LOSE"))</f>
        <v>WIN</v>
      </c>
    </row>
    <row r="19" spans="1:19">
      <c r="A19" s="550"/>
      <c r="B19" s="11" t="s">
        <v>181</v>
      </c>
      <c r="C19" s="2" t="str">
        <f>$B$43</f>
        <v>Horse</v>
      </c>
      <c r="D19" s="38" t="str">
        <f>B40</f>
        <v>Rodrigo</v>
      </c>
      <c r="E19" s="111">
        <v>11</v>
      </c>
      <c r="F19" s="112">
        <v>18</v>
      </c>
      <c r="G19" s="41" t="str">
        <f>$B$44</f>
        <v>Horse</v>
      </c>
      <c r="H19" s="97"/>
      <c r="I19" s="97"/>
      <c r="J19" s="97"/>
      <c r="K19" s="97"/>
      <c r="L19" s="360" t="str">
        <f>B41</f>
        <v>Matheus</v>
      </c>
      <c r="M19" s="11">
        <f>IF(OR(Games_2151[[#This Row],[SCORE 1]]="",Games_2151[[#This Row],[SCORE 2]]=""),"",Games_2151[[#This Row],[SCORE 1]]-Games_2151[[#This Row],[SCORE 2]])</f>
        <v>-7</v>
      </c>
      <c r="N19" s="11">
        <f>IF(OR(Games_2151[[#This Row],[SCORE 1]]="",Games_2151[[#This Row],[SCORE 2]]=""),"",Games_2151[[#This Row],[SCORE 2]]-Games_2151[[#This Row],[SCORE 1]])</f>
        <v>7</v>
      </c>
      <c r="O19" s="11">
        <f>IF(Games_2151[[#This Row],[SCORE 1]]="","",Games_2151[[#This Row],[SCORE 1]])</f>
        <v>11</v>
      </c>
      <c r="P19" s="11">
        <f>IF(Games_2151[[#This Row],[SCORE 2]]="","",Games_2151[[#This Row],[SCORE 2]])</f>
        <v>18</v>
      </c>
      <c r="Q19" s="11" t="str">
        <f>IF(OR(Games_2151[[#This Row],[SCORE 1]]="",Games_2151[[#This Row],[SCORE 2]]=""),"",IF(Games_2151[[#This Row],[SALDO 12]]&gt;0, "WIN","LOSE"))</f>
        <v>LOSE</v>
      </c>
      <c r="R19" s="11" t="str">
        <f>IF(OR(Games_2151[[#This Row],[SCORE 2]]="",Games_2151[[#This Row],[SCORE 1]]=""),"",IF(Games_2151[[#This Row],[SALDO 34]]&gt;0, "WIN","LOSE"))</f>
        <v>WIN</v>
      </c>
    </row>
    <row r="20" spans="1:19" ht="30" customHeight="1"/>
    <row r="21" spans="1:19" ht="29.1">
      <c r="A21" s="546" t="s">
        <v>182</v>
      </c>
      <c r="B21" s="547"/>
      <c r="C21" s="547"/>
      <c r="D21" s="547"/>
      <c r="E21" s="547"/>
      <c r="F21" s="547"/>
      <c r="G21" s="547"/>
      <c r="H21" s="420"/>
      <c r="I21" s="420"/>
      <c r="J21" s="420"/>
      <c r="K21" s="420"/>
      <c r="M21" s="548" t="s">
        <v>199</v>
      </c>
      <c r="N21" s="549"/>
      <c r="O21" s="549"/>
      <c r="P21" s="549"/>
      <c r="Q21" s="549"/>
      <c r="R21" s="549"/>
    </row>
    <row r="22" spans="1:19" ht="15.95">
      <c r="A22" s="6" t="s">
        <v>246</v>
      </c>
      <c r="B22" s="43" t="s">
        <v>185</v>
      </c>
      <c r="C22" s="43" t="s">
        <v>186</v>
      </c>
      <c r="D22" s="43" t="s">
        <v>187</v>
      </c>
      <c r="E22" s="43" t="s">
        <v>188</v>
      </c>
      <c r="F22" s="43" t="s">
        <v>189</v>
      </c>
      <c r="G22" s="43" t="s">
        <v>8</v>
      </c>
      <c r="H22" s="425" t="s">
        <v>204</v>
      </c>
      <c r="I22" s="425" t="s">
        <v>191</v>
      </c>
      <c r="J22" s="425" t="s">
        <v>192</v>
      </c>
      <c r="K22" s="425" t="s">
        <v>1</v>
      </c>
      <c r="L22" s="425" t="s">
        <v>277</v>
      </c>
      <c r="M22" s="424" t="s">
        <v>193</v>
      </c>
      <c r="N22" s="424" t="s">
        <v>194</v>
      </c>
      <c r="O22" s="552" t="s">
        <v>195</v>
      </c>
      <c r="P22" s="553"/>
      <c r="Q22" s="424" t="s">
        <v>196</v>
      </c>
      <c r="R22" s="424" t="s">
        <v>197</v>
      </c>
    </row>
    <row r="23" spans="1:19">
      <c r="A23" s="3" t="s">
        <v>205</v>
      </c>
      <c r="B23" s="102" t="s">
        <v>146</v>
      </c>
      <c r="C23" s="14">
        <f>SUM(COUNTIFS(Games_2151[ATHLETE 2],Analysis_3152[[#This Row],[Atheletes ]],Games_2151[RESULT 12],Analysis_3152[[#Headers],[WIN]]),COUNTIFS(Games_2151[ATHLETE 4],Analysis_3152[[#This Row],[Atheletes ]],Games_2151[RESULT 34],Analysis_3152[[#Headers],[WIN]]))</f>
        <v>2</v>
      </c>
      <c r="D23" s="14">
        <f>SUM(COUNTIFS(Games_2151[ATHLETE 2],Analysis_3152[[#This Row],[Atheletes ]],Games_2151[RESULT 12],Analysis_3152[[#Headers],[LOSE]]),COUNTIFS(Games_2151[ATHLETE 4],Analysis_3152[[#This Row],[Atheletes ]],Games_2151[RESULT 34],Analysis_3152[[#Headers],[LOSE]]))</f>
        <v>1</v>
      </c>
      <c r="E23" s="46">
        <f>SUM(SUMIF(Games_2151[ATHLETE 2],Analysis_3152[[#This Row],[Atheletes ]],Games_2151[SALDO 12]),SUMIF(Games_2151[ATHLETE 4],Analysis_3152[[#This Row],[Atheletes ]],Games_2151[SALDO 34]))</f>
        <v>7</v>
      </c>
      <c r="F23" s="46">
        <f>SUM(SUMIF(Games_2151[ATHLETE 2],Analysis_3152[[#This Row],[Atheletes ]],Games_2151[PM 12]),SUMIF(Games_2151[ATHLETE 4],Analysis_3152[[#This Row],[Atheletes ]],Games_2151[PM 34]))</f>
        <v>45</v>
      </c>
      <c r="G23" s="430" t="str">
        <f>IF(COUNTBLANK(Games_2151[[SCORE 1]:[SCORE 2]])=0,IF(RANK(H23,$H$23:$H$26)=1,RANK(H23,$H$23:$H$26)&amp;"st",IF(RANK(H23,$H$23:$H$26)=2,RANK(H23,$H$23:$H$26)&amp;"nd",IF(RANK(H23,$H$23:$H$26)=3,RANK(H23,$H$23:$H$26)&amp;"rd",RANK(H23,$H$23:$H$26)&amp;"th"))),"")</f>
        <v>2nd</v>
      </c>
      <c r="H23" s="51">
        <f>Analysis_3152[[#This Row],[WIN]]*1000000+Analysis_3152[[#This Row],[Saldo]]*1000+Analysis_3152[[#This Row],[PM]]</f>
        <v>2007045</v>
      </c>
      <c r="I23" s="51">
        <f>H23</f>
        <v>2007045</v>
      </c>
      <c r="J23" s="2" t="str">
        <f>IF(COUNTBLANK(Games_2151[[SCORE 1]:[SCORE 2]])=0,IF(RANK(I23,$I$23:$I$34)=1,RANK(I23,$I$23:$I$34)&amp;"st",IF(RANK(I23,$I$23:$I$34)=2,RANK(I23,$I$23:$I$34)&amp;"nd",IF(RANK(I23,$I$23:$I$34)=3,RANK(I23,$I$23:$I$34)&amp;"rd",RANK(I23,$I$23:$I$34)&amp;"th"))),"")</f>
        <v>5th</v>
      </c>
      <c r="K23" s="51" t="str">
        <f>Analysis_3152[[#This Row],[Atheletes ]]</f>
        <v>Thor</v>
      </c>
      <c r="L23" s="2" t="str">
        <f>J23</f>
        <v>5th</v>
      </c>
      <c r="M23" s="432" t="str" cm="1">
        <f t="array" ref="M23">IF(COUNTBLANK(Games_2151[[SCORE 1]:[SCORE 2]])=0,_xlfn.TEXTJOIN(", ", TRUE, _xlfn._xlws.FILTER($K$23:$K$34, $J$23:$J$34=U3,"")),"")</f>
        <v>Evan</v>
      </c>
      <c r="N23" s="432" t="str" cm="1">
        <f t="array" ref="N23">IF(COUNTBLANK(Games_2151[[SCORE 1]:[SCORE 2]])=0,_xlfn.TEXTJOIN(", ", TRUE, _xlfn._xlws.FILTER($K$23:$K$34, $J$23:$J$34=U4,"")),"")</f>
        <v>Matheus</v>
      </c>
      <c r="O23" s="99">
        <v>0</v>
      </c>
      <c r="P23" s="98">
        <v>18</v>
      </c>
      <c r="Q23" s="432" t="str" cm="1">
        <f t="array" ref="Q23">IF(COUNTBLANK(Games_2151[[SCORE 1]:[SCORE 2]])=0,_xlfn.TEXTJOIN(", ", TRUE, _xlfn._xlws.FILTER($K$23:$K$34, $J$23:$J$34=U5,"")),"")</f>
        <v>Ozzy</v>
      </c>
      <c r="R23" s="432" t="str" cm="1">
        <f t="array" ref="R23">IF(COUNTBLANK(Games_2151[[SCORE 1]:[SCORE 2]])=0,_xlfn.TEXTJOIN(", ", TRUE, _xlfn._xlws.FILTER($K$23:$K$34, $J$23:$J$34=U6,"")),"")</f>
        <v>Ryan</v>
      </c>
      <c r="S23" s="47"/>
    </row>
    <row r="24" spans="1:19">
      <c r="A24" s="3" t="s">
        <v>206</v>
      </c>
      <c r="B24" s="102" t="s">
        <v>158</v>
      </c>
      <c r="C24" s="14">
        <f>SUM(COUNTIFS(Games_2151[ATHLETE 2],Analysis_3152[[#This Row],[Atheletes ]],Games_2151[RESULT 12],Analysis_3152[[#Headers],[WIN]]),COUNTIFS(Games_2151[ATHLETE 4],Analysis_3152[[#This Row],[Atheletes ]],Games_2151[RESULT 34],Analysis_3152[[#Headers],[WIN]]))</f>
        <v>1</v>
      </c>
      <c r="D24" s="14">
        <f>SUM(COUNTIFS(Games_2151[ATHLETE 2],Analysis_3152[[#This Row],[Atheletes ]],Games_2151[RESULT 12],Analysis_3152[[#Headers],[LOSE]]),COUNTIFS(Games_2151[ATHLETE 4],Analysis_3152[[#This Row],[Atheletes ]],Games_2151[RESULT 34],Analysis_3152[[#Headers],[LOSE]]))</f>
        <v>2</v>
      </c>
      <c r="E24" s="46">
        <f>SUM(SUMIF(Games_2151[ATHLETE 2],Analysis_3152[[#This Row],[Atheletes ]],Games_2151[SALDO 12]),SUMIF(Games_2151[ATHLETE 4],Analysis_3152[[#This Row],[Atheletes ]],Games_2151[SALDO 34]))</f>
        <v>-13</v>
      </c>
      <c r="F24" s="46">
        <f>SUM(SUMIF(Games_2151[ATHLETE 2],Analysis_3152[[#This Row],[Atheletes ]],Games_2151[PM 12]),SUMIF(Games_2151[ATHLETE 4],Analysis_3152[[#This Row],[Atheletes ]],Games_2151[PM 34]))</f>
        <v>39</v>
      </c>
      <c r="G24" s="430" t="str">
        <f>IF(COUNTBLANK(Games_2151[[SCORE 1]:[SCORE 2]])=0,IF(RANK(H24,$H$23:$H$26)=1,RANK(H24,$H$23:$H$26)&amp;"st",IF(RANK(H24,$H$23:$H$26)=2,RANK(H24,$H$23:$H$26)&amp;"nd",IF(RANK(H24,$H$23:$H$26)=3,RANK(H24,$H$23:$H$26)&amp;"rd",RANK(H24,$H$23:$H$26)&amp;"th"))),"")</f>
        <v>4th</v>
      </c>
      <c r="H24" s="51">
        <f>Analysis_3152[[#This Row],[WIN]]*1000000+Analysis_3152[[#This Row],[Saldo]]*1000+Analysis_3152[[#This Row],[PM]]</f>
        <v>987039</v>
      </c>
      <c r="I24" s="51">
        <f t="shared" ref="I24:I26" si="0">H24</f>
        <v>987039</v>
      </c>
      <c r="J24" s="2" t="str">
        <f>IF(COUNTBLANK(Games_2151[[SCORE 1]:[SCORE 2]])=0,IF(RANK(I24,$I$23:$I$34)=1,RANK(I24,$I$23:$I$34)&amp;"st",IF(RANK(I24,$I$23:$I$34)=2,RANK(I24,$I$23:$I$34)&amp;"nd",IF(RANK(I24,$I$23:$I$34)=3,RANK(I24,$I$23:$I$34)&amp;"rd",RANK(I24,$I$23:$I$34)&amp;"th"))),"")</f>
        <v>11th</v>
      </c>
      <c r="K24" s="51" t="str">
        <f>Analysis_3152[[#This Row],[Atheletes ]]</f>
        <v>Nikko</v>
      </c>
      <c r="L24" s="2" t="str">
        <f t="shared" ref="L24:L26" si="1">J24</f>
        <v>11th</v>
      </c>
      <c r="M24" s="50" t="str">
        <f>IF(OR($O$23="",$P$23=""),"",IF($O$24="lose",$U$5,""))</f>
        <v>3rd</v>
      </c>
      <c r="N24" s="50" t="str">
        <f>IF(OR($O$23="",$P$23=""),"",IF($O$24="lose",$U$6,""))</f>
        <v>4th</v>
      </c>
      <c r="O24" s="2" t="str">
        <f>IF(OR(O23="",P23=""),"",IF((O23&gt;P23),"WIN","LOSE"))</f>
        <v>LOSE</v>
      </c>
      <c r="P24" s="2" t="str">
        <f>IF(OR(O23="",P23=""),"",IF((O23&lt;P23),"WIN","LOSE"))</f>
        <v>WIN</v>
      </c>
      <c r="Q24" s="50" t="str">
        <f>IF(OR($O$23="",$P$23=""),"",IF($P$24="lose",$U$5,""))</f>
        <v/>
      </c>
      <c r="R24" s="50" t="str">
        <f>IF(OR($O$23="",$P$23=""),"",IF($P$24="lose",$U$6,""))</f>
        <v/>
      </c>
    </row>
    <row r="25" spans="1:19" ht="15.95">
      <c r="A25" s="5" t="s">
        <v>207</v>
      </c>
      <c r="B25" s="102" t="s">
        <v>149</v>
      </c>
      <c r="C25" s="14">
        <f>SUM(COUNTIFS(Games_2151[ATHLETE 2],Analysis_3152[[#This Row],[Atheletes ]],Games_2151[RESULT 12],Analysis_3152[[#Headers],[WIN]]),COUNTIFS(Games_2151[ATHLETE 4],Analysis_3152[[#This Row],[Atheletes ]],Games_2151[RESULT 34],Analysis_3152[[#Headers],[WIN]]))</f>
        <v>2</v>
      </c>
      <c r="D25" s="14">
        <f>SUM(COUNTIFS(Games_2151[ATHLETE 2],Analysis_3152[[#This Row],[Atheletes ]],Games_2151[RESULT 12],Analysis_3152[[#Headers],[LOSE]]),COUNTIFS(Games_2151[ATHLETE 4],Analysis_3152[[#This Row],[Atheletes ]],Games_2151[RESULT 34],Analysis_3152[[#Headers],[LOSE]]))</f>
        <v>1</v>
      </c>
      <c r="E25" s="46">
        <f>SUM(SUMIF(Games_2151[ATHLETE 2],Analysis_3152[[#This Row],[Atheletes ]],Games_2151[SALDO 12]),SUMIF(Games_2151[ATHLETE 4],Analysis_3152[[#This Row],[Atheletes ]],Games_2151[SALDO 34]))</f>
        <v>9</v>
      </c>
      <c r="F25" s="46">
        <f>SUM(SUMIF(Games_2151[ATHLETE 2],Analysis_3152[[#This Row],[Atheletes ]],Games_2151[PM 12]),SUMIF(Games_2151[ATHLETE 4],Analysis_3152[[#This Row],[Atheletes ]],Games_2151[PM 34]))</f>
        <v>52</v>
      </c>
      <c r="G25" s="430" t="str">
        <f>IF(COUNTBLANK(Games_2151[[SCORE 1]:[SCORE 2]])=0,IF(RANK(H25,$H$23:$H$26)=1,RANK(H25,$H$23:$H$26)&amp;"st",IF(RANK(H25,$H$23:$H$26)=2,RANK(H25,$H$23:$H$26)&amp;"nd",IF(RANK(H25,$H$23:$H$26)=3,RANK(H25,$H$23:$H$26)&amp;"rd",RANK(H25,$H$23:$H$26)&amp;"th"))),"")</f>
        <v>1st</v>
      </c>
      <c r="H25" s="51">
        <f>Analysis_3152[[#This Row],[WIN]]*1000000+Analysis_3152[[#This Row],[Saldo]]*1000+Analysis_3152[[#This Row],[PM]]</f>
        <v>2009052</v>
      </c>
      <c r="I25" s="51">
        <f t="shared" si="0"/>
        <v>2009052</v>
      </c>
      <c r="J25" s="2" t="str">
        <f>IF(COUNTBLANK(Games_2151[[SCORE 1]:[SCORE 2]])=0,IF(RANK(I25,$I$23:$I$34)=1,RANK(I25,$I$23:$I$34)&amp;"st",IF(RANK(I25,$I$23:$I$34)=2,RANK(I25,$I$23:$I$34)&amp;"nd",IF(RANK(I25,$I$23:$I$34)=3,RANK(I25,$I$23:$I$34)&amp;"rd",RANK(I25,$I$23:$I$34)&amp;"th"))),"")</f>
        <v>4th</v>
      </c>
      <c r="K25" s="51" t="str">
        <f>Analysis_3152[[#This Row],[Atheletes ]]</f>
        <v>Ryan</v>
      </c>
      <c r="L25" s="2" t="str">
        <f t="shared" si="1"/>
        <v>4th</v>
      </c>
      <c r="M25" s="173">
        <v>1</v>
      </c>
      <c r="N25" s="173">
        <v>2</v>
      </c>
      <c r="Q25" s="173">
        <v>3</v>
      </c>
      <c r="R25" s="173">
        <v>4</v>
      </c>
    </row>
    <row r="26" spans="1:19" ht="30" customHeight="1">
      <c r="A26" s="3" t="s">
        <v>208</v>
      </c>
      <c r="B26" s="102" t="s">
        <v>145</v>
      </c>
      <c r="C26" s="14">
        <f>SUM(COUNTIFS(Games_2151[ATHLETE 2],Analysis_3152[[#This Row],[Atheletes ]],Games_2151[RESULT 12],Analysis_3152[[#Headers],[WIN]]),COUNTIFS(Games_2151[ATHLETE 4],Analysis_3152[[#This Row],[Atheletes ]],Games_2151[RESULT 34],Analysis_3152[[#Headers],[WIN]]))</f>
        <v>1</v>
      </c>
      <c r="D26" s="14">
        <f>SUM(COUNTIFS(Games_2151[ATHLETE 2],Analysis_3152[[#This Row],[Atheletes ]],Games_2151[RESULT 12],Analysis_3152[[#Headers],[LOSE]]),COUNTIFS(Games_2151[ATHLETE 4],Analysis_3152[[#This Row],[Atheletes ]],Games_2151[RESULT 34],Analysis_3152[[#Headers],[LOSE]]))</f>
        <v>2</v>
      </c>
      <c r="E26" s="46">
        <f>SUM(SUMIF(Games_2151[ATHLETE 2],Analysis_3152[[#This Row],[Atheletes ]],Games_2151[SALDO 12]),SUMIF(Games_2151[ATHLETE 4],Analysis_3152[[#This Row],[Atheletes ]],Games_2151[SALDO 34]))</f>
        <v>-3</v>
      </c>
      <c r="F26" s="46">
        <f>SUM(SUMIF(Games_2151[ATHLETE 2],Analysis_3152[[#This Row],[Atheletes ]],Games_2151[PM 12]),SUMIF(Games_2151[ATHLETE 4],Analysis_3152[[#This Row],[Atheletes ]],Games_2151[PM 34]))</f>
        <v>47</v>
      </c>
      <c r="G26" s="430" t="str">
        <f>IF(COUNTBLANK(Games_2151[[SCORE 1]:[SCORE 2]])=0,IF(RANK(H26,$H$23:$H$26)=1,RANK(H26,$H$23:$H$26)&amp;"st",IF(RANK(H26,$H$23:$H$26)=2,RANK(H26,$H$23:$H$26)&amp;"nd",IF(RANK(H26,$H$23:$H$26)=3,RANK(H26,$H$23:$H$26)&amp;"rd",RANK(H26,$H$23:$H$26)&amp;"th"))),"")</f>
        <v>3rd</v>
      </c>
      <c r="H26" s="51">
        <f>Analysis_3152[[#This Row],[WIN]]*1000000+Analysis_3152[[#This Row],[Saldo]]*1000+Analysis_3152[[#This Row],[PM]]</f>
        <v>997047</v>
      </c>
      <c r="I26" s="51">
        <f t="shared" si="0"/>
        <v>997047</v>
      </c>
      <c r="J26" s="2" t="str">
        <f>IF(COUNTBLANK(Games_2151[[SCORE 1]:[SCORE 2]])=0,IF(RANK(I26,$I$23:$I$34)=1,RANK(I26,$I$23:$I$34)&amp;"st",IF(RANK(I26,$I$23:$I$34)=2,RANK(I26,$I$23:$I$34)&amp;"nd",IF(RANK(I26,$I$23:$I$34)=3,RANK(I26,$I$23:$I$34)&amp;"rd",RANK(I26,$I$23:$I$34)&amp;"th"))),"")</f>
        <v>8th</v>
      </c>
      <c r="K26" s="51" t="str">
        <f>Analysis_3152[[#This Row],[Atheletes ]]</f>
        <v>Walter</v>
      </c>
      <c r="L26" s="2" t="str">
        <f t="shared" si="1"/>
        <v>8th</v>
      </c>
    </row>
    <row r="27" spans="1:19" ht="28.5" customHeight="1">
      <c r="A27" s="2" t="s">
        <v>278</v>
      </c>
      <c r="B27" s="113" t="s">
        <v>288</v>
      </c>
      <c r="C27" s="11" t="s">
        <v>249</v>
      </c>
      <c r="D27" s="11" t="s">
        <v>249</v>
      </c>
      <c r="E27" s="11" t="s">
        <v>249</v>
      </c>
      <c r="F27" s="11" t="s">
        <v>249</v>
      </c>
      <c r="G27" s="11" t="s">
        <v>249</v>
      </c>
      <c r="H27" s="51" t="s">
        <v>249</v>
      </c>
      <c r="I27" s="51">
        <f>H31</f>
        <v>-25972</v>
      </c>
      <c r="J27" s="2" t="str">
        <f>IF(COUNTBLANK(Games_2151[[SCORE 1]:[SCORE 2]])=0,IF(RANK(I27,$I$23:$I$34)=1,RANK(I27,$I$23:$I$34)&amp;"st",IF(RANK(I27,$I$23:$I$34)=2,RANK(I27,$I$23:$I$34)&amp;"nd",IF(RANK(I27,$I$23:$I$34)=3,RANK(I27,$I$23:$I$34)&amp;"rd",RANK(I27,$I$23:$I$34)&amp;"th"))),"")</f>
        <v>12th</v>
      </c>
      <c r="K27" s="51" t="str">
        <f>B31</f>
        <v>Mark</v>
      </c>
      <c r="M27" s="548" t="s">
        <v>200</v>
      </c>
      <c r="N27" s="549"/>
      <c r="O27" s="549"/>
      <c r="P27" s="549"/>
      <c r="Q27" s="549"/>
      <c r="R27" s="549"/>
    </row>
    <row r="28" spans="1:19">
      <c r="A28" s="2" t="s">
        <v>279</v>
      </c>
      <c r="B28" s="113" t="s">
        <v>288</v>
      </c>
      <c r="C28" s="11" t="s">
        <v>249</v>
      </c>
      <c r="D28" s="11" t="s">
        <v>249</v>
      </c>
      <c r="E28" s="11" t="s">
        <v>249</v>
      </c>
      <c r="F28" s="11" t="s">
        <v>249</v>
      </c>
      <c r="G28" s="11" t="s">
        <v>249</v>
      </c>
      <c r="H28" s="51" t="s">
        <v>249</v>
      </c>
      <c r="I28" s="51">
        <f t="shared" ref="I28:I30" si="2">H32</f>
        <v>997049</v>
      </c>
      <c r="J28" s="2" t="str">
        <f>IF(COUNTBLANK(Games_2151[[SCORE 1]:[SCORE 2]])=0,IF(RANK(I28,$I$23:$I$34)=1,RANK(I28,$I$23:$I$34)&amp;"st",IF(RANK(I28,$I$23:$I$34)=2,RANK(I28,$I$23:$I$34)&amp;"nd",IF(RANK(I28,$I$23:$I$34)=3,RANK(I28,$I$23:$I$34)&amp;"rd",RANK(I28,$I$23:$I$34)&amp;"th"))),"")</f>
        <v>7th</v>
      </c>
      <c r="K28" s="51" t="str">
        <f t="shared" ref="K28:K30" si="3">B32</f>
        <v>Edgar</v>
      </c>
      <c r="M28" s="424" t="s">
        <v>193</v>
      </c>
      <c r="N28" s="424" t="s">
        <v>194</v>
      </c>
      <c r="O28" s="552" t="s">
        <v>195</v>
      </c>
      <c r="P28" s="553"/>
      <c r="Q28" s="424" t="s">
        <v>196</v>
      </c>
      <c r="R28" s="424" t="s">
        <v>197</v>
      </c>
    </row>
    <row r="29" spans="1:19">
      <c r="I29" s="51">
        <f t="shared" si="2"/>
        <v>3017054</v>
      </c>
      <c r="J29" s="2" t="str">
        <f>IF(COUNTBLANK(Games_2151[[SCORE 1]:[SCORE 2]])=0,IF(RANK(I29,$I$23:$I$34)=1,RANK(I29,$I$23:$I$34)&amp;"st",IF(RANK(I29,$I$23:$I$34)=2,RANK(I29,$I$23:$I$34)&amp;"nd",IF(RANK(I29,$I$23:$I$34)=3,RANK(I29,$I$23:$I$34)&amp;"rd",RANK(I29,$I$23:$I$34)&amp;"th"))),"")</f>
        <v>1st</v>
      </c>
      <c r="K29" s="51" t="str">
        <f t="shared" si="3"/>
        <v>Evan</v>
      </c>
      <c r="M29" s="432" t="str">
        <f>IF(OR($O$23="",$P$23=""),"",IF($O$24="WIN",$M$23,$Q$23))</f>
        <v>Ozzy</v>
      </c>
      <c r="N29" s="115"/>
      <c r="O29" s="99">
        <v>18</v>
      </c>
      <c r="P29" s="98">
        <v>0</v>
      </c>
      <c r="Q29" s="432" t="str">
        <f>IF(OR($O$23="",$P$23=""),"",IF($O$24="WIN",$N$23,$R$23))</f>
        <v>Ryan</v>
      </c>
      <c r="R29" s="115"/>
    </row>
    <row r="30" spans="1:19" ht="15.95">
      <c r="A30" s="110" t="s">
        <v>246</v>
      </c>
      <c r="B30" s="43" t="s">
        <v>185</v>
      </c>
      <c r="C30" s="43" t="s">
        <v>186</v>
      </c>
      <c r="D30" s="43" t="s">
        <v>187</v>
      </c>
      <c r="E30" s="43" t="s">
        <v>188</v>
      </c>
      <c r="F30" s="43" t="s">
        <v>189</v>
      </c>
      <c r="G30" s="419" t="s">
        <v>8</v>
      </c>
      <c r="H30" s="419" t="s">
        <v>204</v>
      </c>
      <c r="I30" s="51">
        <f t="shared" si="2"/>
        <v>2012050</v>
      </c>
      <c r="J30" s="2" t="str">
        <f>IF(COUNTBLANK(Games_2151[[SCORE 1]:[SCORE 2]])=0,IF(RANK(I30,$I$23:$I$34)=1,RANK(I30,$I$23:$I$34)&amp;"st",IF(RANK(I30,$I$23:$I$34)=2,RANK(I30,$I$23:$I$34)&amp;"nd",IF(RANK(I30,$I$23:$I$34)=3,RANK(I30,$I$23:$I$34)&amp;"rd",RANK(I30,$I$23:$I$34)&amp;"th"))),"")</f>
        <v>3rd</v>
      </c>
      <c r="K30" s="51" t="str">
        <f t="shared" si="3"/>
        <v>Ozzy</v>
      </c>
      <c r="L30" s="425" t="s">
        <v>277</v>
      </c>
      <c r="M30" s="50" t="str">
        <f>IF(OR($O$29="",$P$29=""),"",IF($O$30="win",$U$3,$U$4))</f>
        <v>1st</v>
      </c>
      <c r="O30" s="2" t="str">
        <f>IF(OR(O29="",P29=""),"",IF((O29&gt;P29),"WIN","LOSE"))</f>
        <v>WIN</v>
      </c>
      <c r="P30" s="2" t="str">
        <f>IF(OR(O29="",P29=""),"",IF((O29&lt;P29),"WIN","LOSE"))</f>
        <v>LOSE</v>
      </c>
      <c r="Q30" s="50" t="str">
        <f>IF(OR($O$29="",$P$29=""),"",IF($P$30="win",$U$3,$U$4))</f>
        <v>2nd</v>
      </c>
    </row>
    <row r="31" spans="1:19">
      <c r="A31" s="96" t="s">
        <v>209</v>
      </c>
      <c r="B31" s="102" t="s">
        <v>159</v>
      </c>
      <c r="C31" s="14">
        <f>SUM(COUNTIFS(Games_2151[ATHLETE 2],Analysis_4168[[#This Row],[Atheletes ]],Games_2151[RESULT 12],Analysis_3152[[#Headers],[WIN]]),COUNTIFS(Games_2151[ATHLETE 4],Analysis_4168[[#This Row],[Atheletes ]],Games_2151[RESULT 34],Analysis_3152[[#Headers],[WIN]]))</f>
        <v>0</v>
      </c>
      <c r="D31" s="14">
        <f>SUM(COUNTIFS(Games_2151[ATHLETE 2],Analysis_4168[[#This Row],[Atheletes ]],Games_2151[RESULT 12],Analysis_3152[[#Headers],[LOSE]]),COUNTIFS(Games_2151[ATHLETE 4],Analysis_4168[[#This Row],[Atheletes ]],Games_2151[RESULT 34],Analysis_3152[[#Headers],[LOSE]]))</f>
        <v>3</v>
      </c>
      <c r="E31" s="46">
        <f>SUM(SUMIF(Games_2151[ATHLETE 2],Analysis_4168[[#This Row],[Atheletes ]],Games_2151[SALDO 12]),SUMIF(Games_2151[ATHLETE 4],Analysis_4168[[#This Row],[Atheletes ]],Games_2151[SALDO 34]))</f>
        <v>-26</v>
      </c>
      <c r="F31" s="46">
        <f>SUM(SUMIF(Games_2151[ATHLETE 2],Analysis_4168[[#This Row],[Atheletes ]],Games_2151[PM 12]),SUMIF(Games_2151[ATHLETE 4],Analysis_4168[[#This Row],[Atheletes ]],Games_2151[PM 34]))</f>
        <v>28</v>
      </c>
      <c r="G31" s="430" t="str">
        <f>IF(COUNTBLANK(Games_2151[[SCORE 1]:[SCORE 2]])=0,IF(RANK(H31,$H$31:$H$34)=1,RANK(H31,$H$31:$H$34)&amp;"st",IF(RANK(H31,$H$31:$H$34)=2,RANK(H31,$H$31:$H$34)&amp;"nd",IF(RANK(H31,$H$31:$H$34)=3,RANK(H31,$H$31:$H$34)&amp;"rd",RANK(H31,$H$31:$H$34)&amp;"th"))),"")</f>
        <v>4th</v>
      </c>
      <c r="H31" s="51">
        <f>Analysis_4168[[#This Row],[WIN]]*1000000+Analysis_4168[[#This Row],[Saldo]]*1000+Analysis_4168[[#This Row],[PM]]</f>
        <v>-25972</v>
      </c>
      <c r="I31" s="51">
        <f>H39</f>
        <v>1003053</v>
      </c>
      <c r="J31" s="2" t="str">
        <f>IF(COUNTBLANK(Games_2151[[SCORE 1]:[SCORE 2]])=0,IF(RANK(I31,$I$23:$I$34)=1,RANK(I31,$I$23:$I$34)&amp;"st",IF(RANK(I31,$I$23:$I$34)=2,RANK(I31,$I$23:$I$34)&amp;"nd",IF(RANK(I31,$I$23:$I$34)=3,RANK(I31,$I$23:$I$34)&amp;"rd",RANK(I31,$I$23:$I$34)&amp;"th"))),"")</f>
        <v>6th</v>
      </c>
      <c r="K31" s="51" t="str">
        <f>B39</f>
        <v>Amilcar</v>
      </c>
      <c r="L31" s="2" t="str">
        <f>J27</f>
        <v>12th</v>
      </c>
    </row>
    <row r="32" spans="1:19">
      <c r="A32" s="430" t="s">
        <v>210</v>
      </c>
      <c r="B32" s="102" t="s">
        <v>156</v>
      </c>
      <c r="C32" s="14">
        <f>SUM(COUNTIFS(Games_2151[ATHLETE 2],Analysis_4168[[#This Row],[Atheletes ]],Games_2151[RESULT 12],Analysis_3152[[#Headers],[WIN]]),COUNTIFS(Games_2151[ATHLETE 4],Analysis_4168[[#This Row],[Atheletes ]],Games_2151[RESULT 34],Analysis_3152[[#Headers],[WIN]]))</f>
        <v>1</v>
      </c>
      <c r="D32" s="14">
        <f>SUM(COUNTIFS(Games_2151[ATHLETE 2],Analysis_4168[[#This Row],[Atheletes ]],Games_2151[RESULT 12],Analysis_3152[[#Headers],[LOSE]]),COUNTIFS(Games_2151[ATHLETE 4],Analysis_4168[[#This Row],[Atheletes ]],Games_2151[RESULT 34],Analysis_3152[[#Headers],[LOSE]]))</f>
        <v>2</v>
      </c>
      <c r="E32" s="46">
        <f>SUM(SUMIF(Games_2151[ATHLETE 2],Analysis_4168[[#This Row],[Atheletes ]],Games_2151[SALDO 12]),SUMIF(Games_2151[ATHLETE 4],Analysis_4168[[#This Row],[Atheletes ]],Games_2151[SALDO 34]))</f>
        <v>-3</v>
      </c>
      <c r="F32" s="46">
        <f>SUM(SUMIF(Games_2151[ATHLETE 2],Analysis_4168[[#This Row],[Atheletes ]],Games_2151[PM 12]),SUMIF(Games_2151[ATHLETE 4],Analysis_4168[[#This Row],[Atheletes ]],Games_2151[PM 34]))</f>
        <v>49</v>
      </c>
      <c r="G32" s="430" t="str">
        <f>IF(COUNTBLANK(Games_2151[[SCORE 1]:[SCORE 2]])=0,IF(RANK(H32,$H$31:$H$34)=1,RANK(H32,$H$31:$H$34)&amp;"st",IF(RANK(H32,$H$31:$H$34)=2,RANK(H32,$H$31:$H$34)&amp;"nd",IF(RANK(H32,$H$31:$H$34)=3,RANK(H32,$H$31:$H$34)&amp;"rd",RANK(H32,$H$31:$H$34)&amp;"th"))),"")</f>
        <v>3rd</v>
      </c>
      <c r="H32" s="51">
        <f>Analysis_4168[[#This Row],[WIN]]*1000000+Analysis_4168[[#This Row],[Saldo]]*1000+Analysis_4168[[#This Row],[PM]]</f>
        <v>997049</v>
      </c>
      <c r="I32" s="51">
        <f t="shared" ref="I32:I34" si="4">H40</f>
        <v>989041</v>
      </c>
      <c r="J32" s="2" t="str">
        <f>IF(COUNTBLANK(Games_2151[[SCORE 1]:[SCORE 2]])=0,IF(RANK(I32,$I$23:$I$34)=1,RANK(I32,$I$23:$I$34)&amp;"st",IF(RANK(I32,$I$23:$I$34)=2,RANK(I32,$I$23:$I$34)&amp;"nd",IF(RANK(I32,$I$23:$I$34)=3,RANK(I32,$I$23:$I$34)&amp;"rd",RANK(I32,$I$23:$I$34)&amp;"th"))),"")</f>
        <v>10th</v>
      </c>
      <c r="K32" s="51" t="str">
        <f t="shared" ref="K32:K34" si="5">B40</f>
        <v>Rodrigo</v>
      </c>
      <c r="L32" s="2" t="str">
        <f t="shared" ref="L32:L34" si="6">J28</f>
        <v>7th</v>
      </c>
    </row>
    <row r="33" spans="1:12">
      <c r="A33" s="96" t="s">
        <v>211</v>
      </c>
      <c r="B33" s="102" t="s">
        <v>153</v>
      </c>
      <c r="C33" s="14">
        <f>SUM(COUNTIFS(Games_2151[ATHLETE 2],Analysis_4168[[#This Row],[Atheletes ]],Games_2151[RESULT 12],Analysis_3152[[#Headers],[WIN]]),COUNTIFS(Games_2151[ATHLETE 4],Analysis_4168[[#This Row],[Atheletes ]],Games_2151[RESULT 34],Analysis_3152[[#Headers],[WIN]]))</f>
        <v>3</v>
      </c>
      <c r="D33" s="14">
        <f>SUM(COUNTIFS(Games_2151[ATHLETE 2],Analysis_4168[[#This Row],[Atheletes ]],Games_2151[RESULT 12],Analysis_3152[[#Headers],[LOSE]]),COUNTIFS(Games_2151[ATHLETE 4],Analysis_4168[[#This Row],[Atheletes ]],Games_2151[RESULT 34],Analysis_3152[[#Headers],[LOSE]]))</f>
        <v>0</v>
      </c>
      <c r="E33" s="46">
        <f>SUM(SUMIF(Games_2151[ATHLETE 2],Analysis_4168[[#This Row],[Atheletes ]],Games_2151[SALDO 12]),SUMIF(Games_2151[ATHLETE 4],Analysis_4168[[#This Row],[Atheletes ]],Games_2151[SALDO 34]))</f>
        <v>17</v>
      </c>
      <c r="F33" s="46">
        <f>SUM(SUMIF(Games_2151[ATHLETE 2],Analysis_4168[[#This Row],[Atheletes ]],Games_2151[PM 12]),SUMIF(Games_2151[ATHLETE 4],Analysis_4168[[#This Row],[Atheletes ]],Games_2151[PM 34]))</f>
        <v>54</v>
      </c>
      <c r="G33" s="430" t="str">
        <f>IF(COUNTBLANK(Games_2151[[SCORE 1]:[SCORE 2]])=0,IF(RANK(H33,$H$31:$H$34)=1,RANK(H33,$H$31:$H$34)&amp;"st",IF(RANK(H33,$H$31:$H$34)=2,RANK(H33,$H$31:$H$34)&amp;"nd",IF(RANK(H33,$H$31:$H$34)=3,RANK(H33,$H$31:$H$34)&amp;"rd",RANK(H33,$H$31:$H$34)&amp;"th"))),"")</f>
        <v>1st</v>
      </c>
      <c r="H33" s="51">
        <f>Analysis_4168[[#This Row],[WIN]]*1000000+Analysis_4168[[#This Row],[Saldo]]*1000+Analysis_4168[[#This Row],[PM]]</f>
        <v>3017054</v>
      </c>
      <c r="I33" s="51">
        <f t="shared" si="4"/>
        <v>3011059</v>
      </c>
      <c r="J33" s="2" t="str">
        <f>IF(COUNTBLANK(Games_2151[[SCORE 1]:[SCORE 2]])=0,IF(RANK(I33,$I$23:$I$34)=1,RANK(I33,$I$23:$I$34)&amp;"st",IF(RANK(I33,$I$23:$I$34)=2,RANK(I33,$I$23:$I$34)&amp;"nd",IF(RANK(I33,$I$23:$I$34)=3,RANK(I33,$I$23:$I$34)&amp;"rd",RANK(I33,$I$23:$I$34)&amp;"th"))),"")</f>
        <v>2nd</v>
      </c>
      <c r="K33" s="51" t="str">
        <f t="shared" si="5"/>
        <v>Matheus</v>
      </c>
      <c r="L33" s="2" t="str">
        <f t="shared" si="6"/>
        <v>1st</v>
      </c>
    </row>
    <row r="34" spans="1:12">
      <c r="A34" s="430" t="s">
        <v>212</v>
      </c>
      <c r="B34" s="102" t="s">
        <v>151</v>
      </c>
      <c r="C34" s="14">
        <f>SUM(COUNTIFS(Games_2151[ATHLETE 2],Analysis_4168[[#This Row],[Atheletes ]],Games_2151[RESULT 12],Analysis_3152[[#Headers],[WIN]]),COUNTIFS(Games_2151[ATHLETE 4],Analysis_4168[[#This Row],[Atheletes ]],Games_2151[RESULT 34],Analysis_3152[[#Headers],[WIN]]))</f>
        <v>2</v>
      </c>
      <c r="D34" s="14">
        <f>SUM(COUNTIFS(Games_2151[ATHLETE 2],Analysis_4168[[#This Row],[Atheletes ]],Games_2151[RESULT 12],Analysis_3152[[#Headers],[LOSE]]),COUNTIFS(Games_2151[ATHLETE 4],Analysis_4168[[#This Row],[Atheletes ]],Games_2151[RESULT 34],Analysis_3152[[#Headers],[LOSE]]))</f>
        <v>1</v>
      </c>
      <c r="E34" s="46">
        <f>SUM(SUMIF(Games_2151[ATHLETE 2],Analysis_4168[[#This Row],[Atheletes ]],Games_2151[SALDO 12]),SUMIF(Games_2151[ATHLETE 4],Analysis_4168[[#This Row],[Atheletes ]],Games_2151[SALDO 34]))</f>
        <v>12</v>
      </c>
      <c r="F34" s="46">
        <f>SUM(SUMIF(Games_2151[ATHLETE 2],Analysis_4168[[#This Row],[Atheletes ]],Games_2151[PM 12]),SUMIF(Games_2151[ATHLETE 4],Analysis_4168[[#This Row],[Atheletes ]],Games_2151[PM 34]))</f>
        <v>50</v>
      </c>
      <c r="G34" s="430" t="str">
        <f>IF(COUNTBLANK(Games_2151[[SCORE 1]:[SCORE 2]])=0,IF(RANK(H34,$H$31:$H$34)=1,RANK(H34,$H$31:$H$34)&amp;"st",IF(RANK(H34,$H$31:$H$34)=2,RANK(H34,$H$31:$H$34)&amp;"nd",IF(RANK(H34,$H$31:$H$34)=3,RANK(H34,$H$31:$H$34)&amp;"rd",RANK(H34,$H$31:$H$34)&amp;"th"))),"")</f>
        <v>2nd</v>
      </c>
      <c r="H34" s="51">
        <f>Analysis_4168[[#This Row],[WIN]]*1000000+Analysis_4168[[#This Row],[Saldo]]*1000+Analysis_4168[[#This Row],[PM]]</f>
        <v>2012050</v>
      </c>
      <c r="I34" s="51">
        <f t="shared" si="4"/>
        <v>997047</v>
      </c>
      <c r="J34" s="2" t="str">
        <f>IF(COUNTBLANK(Games_2151[[SCORE 1]:[SCORE 2]])=0,IF(RANK(I34,$I$23:$I$34)=1,RANK(I34,$I$23:$I$34)&amp;"st",IF(RANK(I34,$I$23:$I$34)=2,RANK(I34,$I$23:$I$34)&amp;"nd",IF(RANK(I34,$I$23:$I$34)=3,RANK(I34,$I$23:$I$34)&amp;"rd",RANK(I34,$I$23:$I$34)&amp;"th"))),"")</f>
        <v>8th</v>
      </c>
      <c r="K34" s="51" t="str">
        <f t="shared" si="5"/>
        <v>Shiv</v>
      </c>
      <c r="L34" s="2" t="str">
        <f t="shared" si="6"/>
        <v>3rd</v>
      </c>
    </row>
    <row r="35" spans="1:12">
      <c r="A35" s="96" t="s">
        <v>280</v>
      </c>
      <c r="B35" s="102" t="s">
        <v>288</v>
      </c>
      <c r="C35" s="109" t="s">
        <v>249</v>
      </c>
      <c r="D35" s="109" t="s">
        <v>249</v>
      </c>
      <c r="E35" s="109" t="s">
        <v>249</v>
      </c>
      <c r="F35" s="109" t="s">
        <v>249</v>
      </c>
      <c r="G35" s="109" t="s">
        <v>249</v>
      </c>
      <c r="H35" s="2" t="s">
        <v>249</v>
      </c>
      <c r="K35" s="51"/>
    </row>
    <row r="36" spans="1:12">
      <c r="A36" s="430" t="s">
        <v>281</v>
      </c>
      <c r="B36" s="114" t="s">
        <v>288</v>
      </c>
      <c r="C36" s="109" t="s">
        <v>249</v>
      </c>
      <c r="D36" s="109" t="s">
        <v>249</v>
      </c>
      <c r="E36" s="109" t="s">
        <v>249</v>
      </c>
      <c r="F36" s="109" t="s">
        <v>249</v>
      </c>
      <c r="G36" s="109" t="s">
        <v>249</v>
      </c>
      <c r="H36" s="2" t="s">
        <v>249</v>
      </c>
    </row>
    <row r="38" spans="1:12" ht="15.95">
      <c r="A38" s="110" t="s">
        <v>246</v>
      </c>
      <c r="B38" s="43" t="s">
        <v>185</v>
      </c>
      <c r="C38" s="43" t="s">
        <v>186</v>
      </c>
      <c r="D38" s="43" t="s">
        <v>187</v>
      </c>
      <c r="E38" s="43" t="s">
        <v>188</v>
      </c>
      <c r="F38" s="43" t="s">
        <v>189</v>
      </c>
      <c r="G38" s="419" t="s">
        <v>8</v>
      </c>
      <c r="H38" s="419" t="s">
        <v>204</v>
      </c>
      <c r="I38" s="51"/>
      <c r="J38" s="2" t="e">
        <f>IF(COUNTBLANK(Games_2151[[SCORE 1]:[SCORE 2]])=0,IF(RANK(I38,$I$23:$I$30)=1,RANK(I38,$I$23:$I$30)&amp;"st",IF(RANK(I38,$I$23:$I$30)=2,RANK(I38,$I$23:$I$30)&amp;"nd",IF(RANK(I38,$I$23:$I$30)=3,RANK(I38,$I$23:$I$30)&amp;"rd",RANK(I38,$I$23:$I$30)&amp;"th"))),"")</f>
        <v>#N/A</v>
      </c>
      <c r="K38" s="51"/>
      <c r="L38" s="425" t="s">
        <v>277</v>
      </c>
    </row>
    <row r="39" spans="1:12">
      <c r="A39" s="96" t="s">
        <v>213</v>
      </c>
      <c r="B39" s="102" t="s">
        <v>150</v>
      </c>
      <c r="C39" s="14">
        <f>SUM(COUNTIFS(Games_2151[ATHLETE 2],Analysis_4168177[[#This Row],[Atheletes ]],Games_2151[RESULT 12],Analysis_3152[[#Headers],[WIN]]),COUNTIFS(Games_2151[ATHLETE 4],Analysis_4168177[[#This Row],[Atheletes ]],Games_2151[RESULT 34],Analysis_3152[[#Headers],[WIN]]))</f>
        <v>1</v>
      </c>
      <c r="D39" s="14">
        <f>SUM(COUNTIFS(Games_2151[ATHLETE 2],Analysis_4168177[[#This Row],[Atheletes ]],Games_2151[RESULT 12],Analysis_3152[[#Headers],[LOSE]]),COUNTIFS(Games_2151[ATHLETE 4],Analysis_4168177[[#This Row],[Atheletes ]],Games_2151[RESULT 34],Analysis_3152[[#Headers],[LOSE]]))</f>
        <v>2</v>
      </c>
      <c r="E39" s="46">
        <f>SUM(SUMIF(Games_2151[ATHLETE 2],Analysis_4168177[[#This Row],[Atheletes ]],Games_2151[SALDO 12]),SUMIF(Games_2151[ATHLETE 4],Analysis_4168177[[#This Row],[Atheletes ]],Games_2151[SALDO 34]))</f>
        <v>3</v>
      </c>
      <c r="F39" s="46">
        <f>SUM(SUMIF(Games_2151[ATHLETE 2],Analysis_4168177[[#This Row],[Atheletes ]],Games_2151[PM 12]),SUMIF(Games_2151[ATHLETE 4],Analysis_4168177[[#This Row],[Atheletes ]],Games_2151[PM 34]))</f>
        <v>53</v>
      </c>
      <c r="G39" s="430" t="str">
        <f>IF(COUNTBLANK(Games_2151[[SCORE 1]:[SCORE 2]])=0,IF(RANK(H39,$H$39:$H$42)=1,RANK(H39,$H$39:$H$42)&amp;"st",IF(RANK(H39,$H$39:$H$42)=2,RANK(H39,$H$39:$H$42)&amp;"nd",IF(RANK(H39,$H$39:$H$42)=3,RANK(H39,$H$39:$H$42)&amp;"rd",RANK(H39,$H$39:$H$42)&amp;"th"))),"")</f>
        <v>2nd</v>
      </c>
      <c r="H39" s="51">
        <f>Analysis_4168177[[#This Row],[WIN]]*1000000+Analysis_4168177[[#This Row],[Saldo]]*1000+Analysis_4168177[[#This Row],[PM]]</f>
        <v>1003053</v>
      </c>
      <c r="L39" s="2" t="str">
        <f>J31</f>
        <v>6th</v>
      </c>
    </row>
    <row r="40" spans="1:12">
      <c r="A40" s="430" t="s">
        <v>214</v>
      </c>
      <c r="B40" s="102" t="s">
        <v>157</v>
      </c>
      <c r="C40" s="14">
        <f>SUM(COUNTIFS(Games_2151[ATHLETE 2],Analysis_4168177[[#This Row],[Atheletes ]],Games_2151[RESULT 12],Analysis_3152[[#Headers],[WIN]]),COUNTIFS(Games_2151[ATHLETE 4],Analysis_4168177[[#This Row],[Atheletes ]],Games_2151[RESULT 34],Analysis_3152[[#Headers],[WIN]]))</f>
        <v>1</v>
      </c>
      <c r="D40" s="14">
        <f>SUM(COUNTIFS(Games_2151[ATHLETE 2],Analysis_4168177[[#This Row],[Atheletes ]],Games_2151[RESULT 12],Analysis_3152[[#Headers],[LOSE]]),COUNTIFS(Games_2151[ATHLETE 4],Analysis_4168177[[#This Row],[Atheletes ]],Games_2151[RESULT 34],Analysis_3152[[#Headers],[LOSE]]))</f>
        <v>2</v>
      </c>
      <c r="E40" s="46">
        <f>SUM(SUMIF(Games_2151[ATHLETE 2],Analysis_4168177[[#This Row],[Atheletes ]],Games_2151[SALDO 12]),SUMIF(Games_2151[ATHLETE 4],Analysis_4168177[[#This Row],[Atheletes ]],Games_2151[SALDO 34]))</f>
        <v>-11</v>
      </c>
      <c r="F40" s="46">
        <f>SUM(SUMIF(Games_2151[ATHLETE 2],Analysis_4168177[[#This Row],[Atheletes ]],Games_2151[PM 12]),SUMIF(Games_2151[ATHLETE 4],Analysis_4168177[[#This Row],[Atheletes ]],Games_2151[PM 34]))</f>
        <v>41</v>
      </c>
      <c r="G40" s="430" t="str">
        <f>IF(COUNTBLANK(Games_2151[[SCORE 1]:[SCORE 2]])=0,IF(RANK(H40,$H$39:$H$42)=1,RANK(H40,$H$39:$H$42)&amp;"st",IF(RANK(H40,$H$39:$H$42)=2,RANK(H40,$H$39:$H$42)&amp;"nd",IF(RANK(H40,$H$39:$H$42)=3,RANK(H40,$H$39:$H$42)&amp;"rd",RANK(H40,$H$39:$H$42)&amp;"th"))),"")</f>
        <v>4th</v>
      </c>
      <c r="H40" s="51">
        <f>Analysis_4168177[[#This Row],[WIN]]*1000000+Analysis_4168177[[#This Row],[Saldo]]*1000+Analysis_4168177[[#This Row],[PM]]</f>
        <v>989041</v>
      </c>
      <c r="L40" s="2" t="str">
        <f t="shared" ref="L40:L42" si="7">J32</f>
        <v>10th</v>
      </c>
    </row>
    <row r="41" spans="1:12">
      <c r="A41" s="96" t="s">
        <v>216</v>
      </c>
      <c r="B41" s="102" t="s">
        <v>154</v>
      </c>
      <c r="C41" s="14">
        <f>SUM(COUNTIFS(Games_2151[ATHLETE 2],Analysis_4168177[[#This Row],[Atheletes ]],Games_2151[RESULT 12],Analysis_3152[[#Headers],[WIN]]),COUNTIFS(Games_2151[ATHLETE 4],Analysis_4168177[[#This Row],[Atheletes ]],Games_2151[RESULT 34],Analysis_3152[[#Headers],[WIN]]))</f>
        <v>3</v>
      </c>
      <c r="D41" s="14">
        <f>SUM(COUNTIFS(Games_2151[ATHLETE 2],Analysis_4168177[[#This Row],[Atheletes ]],Games_2151[RESULT 12],Analysis_3152[[#Headers],[LOSE]]),COUNTIFS(Games_2151[ATHLETE 4],Analysis_4168177[[#This Row],[Atheletes ]],Games_2151[RESULT 34],Analysis_3152[[#Headers],[LOSE]]))</f>
        <v>0</v>
      </c>
      <c r="E41" s="46">
        <f>SUM(SUMIF(Games_2151[ATHLETE 2],Analysis_4168177[[#This Row],[Atheletes ]],Games_2151[SALDO 12]),SUMIF(Games_2151[ATHLETE 4],Analysis_4168177[[#This Row],[Atheletes ]],Games_2151[SALDO 34]))</f>
        <v>11</v>
      </c>
      <c r="F41" s="46">
        <f>SUM(SUMIF(Games_2151[ATHLETE 2],Analysis_4168177[[#This Row],[Atheletes ]],Games_2151[PM 12]),SUMIF(Games_2151[ATHLETE 4],Analysis_4168177[[#This Row],[Atheletes ]],Games_2151[PM 34]))</f>
        <v>59</v>
      </c>
      <c r="G41" s="430" t="str">
        <f>IF(COUNTBLANK(Games_2151[[SCORE 1]:[SCORE 2]])=0,IF(RANK(H41,$H$39:$H$42)=1,RANK(H41,$H$39:$H$42)&amp;"st",IF(RANK(H41,$H$39:$H$42)=2,RANK(H41,$H$39:$H$42)&amp;"nd",IF(RANK(H41,$H$39:$H$42)=3,RANK(H41,$H$39:$H$42)&amp;"rd",RANK(H41,$H$39:$H$42)&amp;"th"))),"")</f>
        <v>1st</v>
      </c>
      <c r="H41" s="51">
        <f>Analysis_4168177[[#This Row],[WIN]]*1000000+Analysis_4168177[[#This Row],[Saldo]]*1000+Analysis_4168177[[#This Row],[PM]]</f>
        <v>3011059</v>
      </c>
      <c r="L41" s="2" t="str">
        <f t="shared" si="7"/>
        <v>2nd</v>
      </c>
    </row>
    <row r="42" spans="1:12">
      <c r="A42" s="430" t="s">
        <v>217</v>
      </c>
      <c r="B42" s="102" t="s">
        <v>148</v>
      </c>
      <c r="C42" s="14">
        <f>SUM(COUNTIFS(Games_2151[ATHLETE 2],Analysis_4168177[[#This Row],[Atheletes ]],Games_2151[RESULT 12],Analysis_3152[[#Headers],[WIN]]),COUNTIFS(Games_2151[ATHLETE 4],Analysis_4168177[[#This Row],[Atheletes ]],Games_2151[RESULT 34],Analysis_3152[[#Headers],[WIN]]))</f>
        <v>1</v>
      </c>
      <c r="D42" s="14">
        <f>SUM(COUNTIFS(Games_2151[ATHLETE 2],Analysis_4168177[[#This Row],[Atheletes ]],Games_2151[RESULT 12],Analysis_3152[[#Headers],[LOSE]]),COUNTIFS(Games_2151[ATHLETE 4],Analysis_4168177[[#This Row],[Atheletes ]],Games_2151[RESULT 34],Analysis_3152[[#Headers],[LOSE]]))</f>
        <v>2</v>
      </c>
      <c r="E42" s="46">
        <f>SUM(SUMIF(Games_2151[ATHLETE 2],Analysis_4168177[[#This Row],[Atheletes ]],Games_2151[SALDO 12]),SUMIF(Games_2151[ATHLETE 4],Analysis_4168177[[#This Row],[Atheletes ]],Games_2151[SALDO 34]))</f>
        <v>-3</v>
      </c>
      <c r="F42" s="46">
        <f>SUM(SUMIF(Games_2151[ATHLETE 2],Analysis_4168177[[#This Row],[Atheletes ]],Games_2151[PM 12]),SUMIF(Games_2151[ATHLETE 4],Analysis_4168177[[#This Row],[Atheletes ]],Games_2151[PM 34]))</f>
        <v>47</v>
      </c>
      <c r="G42" s="430" t="str">
        <f>IF(COUNTBLANK(Games_2151[[SCORE 1]:[SCORE 2]])=0,IF(RANK(H42,$H$39:$H$42)=1,RANK(H42,$H$39:$H$42)&amp;"st",IF(RANK(H42,$H$39:$H$42)=2,RANK(H42,$H$39:$H$42)&amp;"nd",IF(RANK(H42,$H$39:$H$42)=3,RANK(H42,$H$39:$H$42)&amp;"rd",RANK(H42,$H$39:$H$42)&amp;"th"))),"")</f>
        <v>3rd</v>
      </c>
      <c r="H42" s="51">
        <f>Analysis_4168177[[#This Row],[WIN]]*1000000+Analysis_4168177[[#This Row],[Saldo]]*1000+Analysis_4168177[[#This Row],[PM]]</f>
        <v>997047</v>
      </c>
      <c r="L42" s="2" t="str">
        <f t="shared" si="7"/>
        <v>8th</v>
      </c>
    </row>
    <row r="43" spans="1:12">
      <c r="A43" s="96" t="s">
        <v>289</v>
      </c>
      <c r="B43" s="102" t="s">
        <v>288</v>
      </c>
      <c r="C43" s="109" t="s">
        <v>249</v>
      </c>
      <c r="D43" s="109" t="s">
        <v>249</v>
      </c>
      <c r="E43" s="109" t="s">
        <v>249</v>
      </c>
      <c r="F43" s="109" t="s">
        <v>249</v>
      </c>
      <c r="G43" s="109" t="s">
        <v>249</v>
      </c>
      <c r="H43" s="2" t="s">
        <v>249</v>
      </c>
    </row>
    <row r="44" spans="1:12">
      <c r="A44" s="430" t="s">
        <v>290</v>
      </c>
      <c r="B44" s="114" t="s">
        <v>288</v>
      </c>
      <c r="C44" s="109" t="s">
        <v>249</v>
      </c>
      <c r="D44" s="109" t="s">
        <v>249</v>
      </c>
      <c r="E44" s="109" t="s">
        <v>249</v>
      </c>
      <c r="F44" s="109" t="s">
        <v>249</v>
      </c>
      <c r="G44" s="109" t="s">
        <v>249</v>
      </c>
      <c r="H44" s="2" t="s">
        <v>249</v>
      </c>
    </row>
    <row r="45" spans="1:12" ht="15.95" thickBot="1"/>
    <row r="46" spans="1:12" ht="15.95" thickBot="1">
      <c r="A46" s="123" t="s">
        <v>218</v>
      </c>
      <c r="B46" s="124">
        <v>45911</v>
      </c>
      <c r="C46" s="44" t="s">
        <v>256</v>
      </c>
    </row>
  </sheetData>
  <sheetProtection algorithmName="SHA-512" hashValue="U/3P2TI9EBnft6QEgffbgwFWxJQibAV0JeXNBgd4dhPaCTaFH6U3a5QM3i0b3ROHAOWInHedYNCacoefhcCUyg==" saltValue="JQoGpZuTTSVhHideNQtFdw==" spinCount="100000" sheet="1" objects="1" scenarios="1"/>
  <mergeCells count="7">
    <mergeCell ref="O28:P28"/>
    <mergeCell ref="A1:A19"/>
    <mergeCell ref="T1:U1"/>
    <mergeCell ref="A21:G21"/>
    <mergeCell ref="M21:R21"/>
    <mergeCell ref="O22:P22"/>
    <mergeCell ref="M27:R27"/>
  </mergeCells>
  <pageMargins left="0.7" right="0.7" top="0.75" bottom="0.75" header="0.3" footer="0.3"/>
  <pageSetup orientation="portrait" r:id="rId1"/>
  <legacyDrawing r:id="rId2"/>
  <tableParts count="5">
    <tablePart r:id="rId3"/>
    <tablePart r:id="rId4"/>
    <tablePart r:id="rId5"/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3D23-C659-4340-B065-D5CC6B08077B}">
  <sheetPr codeName="Sheet16"/>
  <dimension ref="A1:Y50"/>
  <sheetViews>
    <sheetView workbookViewId="0">
      <selection sqref="A1:I1"/>
    </sheetView>
    <sheetView workbookViewId="1">
      <selection sqref="A1:A13"/>
    </sheetView>
  </sheetViews>
  <sheetFormatPr defaultColWidth="8.85546875" defaultRowHeight="15"/>
  <cols>
    <col min="1" max="1" width="13.42578125" customWidth="1"/>
    <col min="2" max="3" width="25" customWidth="1"/>
    <col min="4" max="4" width="12.7109375" customWidth="1"/>
    <col min="5" max="5" width="12.85546875" bestFit="1" customWidth="1"/>
    <col min="6" max="7" width="7.140625" bestFit="1" customWidth="1"/>
    <col min="8" max="8" width="11.28515625" hidden="1" customWidth="1"/>
    <col min="9" max="10" width="13.28515625" hidden="1" customWidth="1"/>
    <col min="11" max="11" width="8" hidden="1" customWidth="1"/>
    <col min="12" max="12" width="25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25" customWidth="1"/>
    <col min="21" max="22" width="9.7109375" bestFit="1" customWidth="1"/>
  </cols>
  <sheetData>
    <row r="1" spans="1:21" ht="15" customHeight="1" thickTop="1">
      <c r="A1" s="551" t="s">
        <v>291</v>
      </c>
      <c r="B1" s="7" t="s">
        <v>161</v>
      </c>
      <c r="C1" s="20" t="s">
        <v>163</v>
      </c>
      <c r="D1" s="7" t="s">
        <v>164</v>
      </c>
      <c r="E1" s="7" t="s">
        <v>165</v>
      </c>
      <c r="F1" s="175" t="s">
        <v>167</v>
      </c>
      <c r="G1" s="175" t="s">
        <v>168</v>
      </c>
      <c r="H1" s="43" t="s">
        <v>169</v>
      </c>
      <c r="I1" s="43" t="s">
        <v>292</v>
      </c>
      <c r="J1" s="43" t="s">
        <v>293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603" t="s">
        <v>294</v>
      </c>
      <c r="U1" s="604"/>
    </row>
    <row r="2" spans="1:21" ht="15" customHeight="1">
      <c r="A2" s="551"/>
      <c r="B2" s="13" t="s">
        <v>178</v>
      </c>
      <c r="C2" s="174" t="str">
        <f>B17</f>
        <v>Fiorella &amp; Rafa</v>
      </c>
      <c r="D2" s="116">
        <v>18</v>
      </c>
      <c r="E2" s="116">
        <v>11</v>
      </c>
      <c r="F2" s="63"/>
      <c r="G2" s="63"/>
      <c r="H2" s="63"/>
      <c r="I2" s="63"/>
      <c r="J2" s="63"/>
      <c r="K2" s="63"/>
      <c r="L2" s="16" t="str">
        <f>B18</f>
        <v>Chacon &amp; bella</v>
      </c>
      <c r="M2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7</v>
      </c>
      <c r="N2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-7</v>
      </c>
      <c r="O2" s="13">
        <f>IF(Table4101317251247545298684173134138[[#This Row],[SCORE 1]]="","",Table4101317251247545298684173134138[[#This Row],[SCORE 1]])</f>
        <v>18</v>
      </c>
      <c r="P2" s="13">
        <f>IF(Table4101317251247545298684173134138[[#This Row],[SCORE 2]]="","",Table4101317251247545298684173134138[[#This Row],[SCORE 2]])</f>
        <v>11</v>
      </c>
      <c r="Q2" s="13" t="str">
        <f>IF(OR(Table4101317251247545298684173134138[[#This Row],[SCORE 1]]="",Table4101317251247545298684173134138[[#This Row],[SCORE 2]]=""),"",IF(Table4101317251247545298684173134138[[#This Row],[SALDO 12]]&gt;0, "WIN","LOSE"))</f>
        <v>WIN</v>
      </c>
      <c r="R2" s="13" t="str">
        <f>IF(OR(Table4101317251247545298684173134138[[#This Row],[SCORE 1]]="",Table4101317251247545298684173134138[[#This Row],[SCORE 2]]=""),"",IF(Table4101317251247545298684173134138[[#This Row],[SALDO 34]]&gt;0, "WIN","LOSE"))</f>
        <v>LOSE</v>
      </c>
      <c r="T2" s="188" t="s">
        <v>179</v>
      </c>
      <c r="U2" s="189" t="s">
        <v>8</v>
      </c>
    </row>
    <row r="3" spans="1:21">
      <c r="A3" s="551"/>
      <c r="B3" s="13" t="s">
        <v>180</v>
      </c>
      <c r="C3" s="174" t="str">
        <f>B23</f>
        <v>Beesan &amp; Pedro</v>
      </c>
      <c r="D3" s="116">
        <v>6</v>
      </c>
      <c r="E3" s="116">
        <v>18</v>
      </c>
      <c r="F3" s="63"/>
      <c r="G3" s="63"/>
      <c r="H3" s="63"/>
      <c r="I3" s="63"/>
      <c r="J3" s="63"/>
      <c r="K3" s="63"/>
      <c r="L3" s="16" t="str">
        <f>B24</f>
        <v>Roberta Goulart &amp; João Barreto</v>
      </c>
      <c r="M3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-12</v>
      </c>
      <c r="N3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12</v>
      </c>
      <c r="O3" s="13">
        <f>IF(Table4101317251247545298684173134138[[#This Row],[SCORE 1]]="","",Table4101317251247545298684173134138[[#This Row],[SCORE 1]])</f>
        <v>6</v>
      </c>
      <c r="P3" s="13">
        <f>IF(Table4101317251247545298684173134138[[#This Row],[SCORE 2]]="","",Table4101317251247545298684173134138[[#This Row],[SCORE 2]])</f>
        <v>18</v>
      </c>
      <c r="Q3" s="13" t="str">
        <f>IF(OR(Table4101317251247545298684173134138[[#This Row],[SCORE 1]]="",Table4101317251247545298684173134138[[#This Row],[SCORE 2]]=""),"",IF(Table4101317251247545298684173134138[[#This Row],[SALDO 12]]&gt;0, "WIN","LOSE"))</f>
        <v>LOSE</v>
      </c>
      <c r="R3" s="13" t="str">
        <f>IF(OR(Table4101317251247545298684173134138[[#This Row],[SCORE 1]]="",Table4101317251247545298684173134138[[#This Row],[SCORE 2]]=""),"",IF(Table4101317251247545298684173134138[[#This Row],[SALDO 34]]&gt;0, "WIN","LOSE"))</f>
        <v>WIN</v>
      </c>
      <c r="T3" s="190" t="str">
        <f>IFERROR(_xlfn.XLOOKUP(Table15202832506072101714577137141[[#This Row],[Rank]],#REF!,$M$48:$R$48),"")</f>
        <v/>
      </c>
      <c r="U3" s="191" t="s">
        <v>19</v>
      </c>
    </row>
    <row r="4" spans="1:21">
      <c r="A4" s="551"/>
      <c r="B4" s="13" t="s">
        <v>178</v>
      </c>
      <c r="C4" s="174" t="str">
        <f>B19</f>
        <v>Dani and Luka</v>
      </c>
      <c r="D4" s="116">
        <v>11</v>
      </c>
      <c r="E4" s="116">
        <v>18</v>
      </c>
      <c r="F4" s="63"/>
      <c r="G4" s="63"/>
      <c r="H4" s="63"/>
      <c r="I4" s="63"/>
      <c r="J4" s="63"/>
      <c r="K4" s="63"/>
      <c r="L4" s="16" t="str">
        <f>B20</f>
        <v>Hermano &amp; Guti</v>
      </c>
      <c r="M4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-7</v>
      </c>
      <c r="N4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7</v>
      </c>
      <c r="O4" s="13">
        <f>IF(Table4101317251247545298684173134138[[#This Row],[SCORE 1]]="","",Table4101317251247545298684173134138[[#This Row],[SCORE 1]])</f>
        <v>11</v>
      </c>
      <c r="P4" s="13">
        <f>IF(Table4101317251247545298684173134138[[#This Row],[SCORE 2]]="","",Table4101317251247545298684173134138[[#This Row],[SCORE 2]])</f>
        <v>18</v>
      </c>
      <c r="Q4" s="13" t="str">
        <f>IF(OR(Table4101317251247545298684173134138[[#This Row],[SCORE 1]]="",Table4101317251247545298684173134138[[#This Row],[SCORE 2]]=""),"",IF(Table4101317251247545298684173134138[[#This Row],[SALDO 12]]&gt;0, "WIN","LOSE"))</f>
        <v>LOSE</v>
      </c>
      <c r="R4" s="13" t="str">
        <f>IF(OR(Table4101317251247545298684173134138[[#This Row],[SCORE 1]]="",Table4101317251247545298684173134138[[#This Row],[SCORE 2]]=""),"",IF(Table4101317251247545298684173134138[[#This Row],[SALDO 34]]&gt;0, "WIN","LOSE"))</f>
        <v>WIN</v>
      </c>
      <c r="T4" s="190" t="str">
        <f>IFERROR(_xlfn.XLOOKUP(Table15202832506072101714577137141[[#This Row],[Rank]],#REF!,$M$48:$R$48),"")</f>
        <v/>
      </c>
      <c r="U4" s="191" t="s">
        <v>22</v>
      </c>
    </row>
    <row r="5" spans="1:21">
      <c r="A5" s="551"/>
      <c r="B5" s="13" t="s">
        <v>180</v>
      </c>
      <c r="C5" s="174" t="str">
        <f>B25</f>
        <v>Gerardo &amp; Marcelo</v>
      </c>
      <c r="D5" s="116">
        <v>16</v>
      </c>
      <c r="E5" s="116">
        <v>18</v>
      </c>
      <c r="F5" s="63"/>
      <c r="G5" s="63"/>
      <c r="H5" s="63"/>
      <c r="I5" s="63"/>
      <c r="J5" s="63"/>
      <c r="K5" s="63"/>
      <c r="L5" s="16" t="str">
        <f>B26</f>
        <v>Matheus &amp; Guina</v>
      </c>
      <c r="M5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-2</v>
      </c>
      <c r="N5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2</v>
      </c>
      <c r="O5" s="13">
        <f>IF(Table4101317251247545298684173134138[[#This Row],[SCORE 1]]="","",Table4101317251247545298684173134138[[#This Row],[SCORE 1]])</f>
        <v>16</v>
      </c>
      <c r="P5" s="13">
        <f>IF(Table4101317251247545298684173134138[[#This Row],[SCORE 2]]="","",Table4101317251247545298684173134138[[#This Row],[SCORE 2]])</f>
        <v>18</v>
      </c>
      <c r="Q5" s="13" t="str">
        <f>IF(OR(Table4101317251247545298684173134138[[#This Row],[SCORE 1]]="",Table4101317251247545298684173134138[[#This Row],[SCORE 2]]=""),"",IF(Table4101317251247545298684173134138[[#This Row],[SALDO 12]]&gt;0, "WIN","LOSE"))</f>
        <v>LOSE</v>
      </c>
      <c r="R5" s="13" t="str">
        <f>IF(OR(Table4101317251247545298684173134138[[#This Row],[SCORE 1]]="",Table4101317251247545298684173134138[[#This Row],[SCORE 2]]=""),"",IF(Table4101317251247545298684173134138[[#This Row],[SALDO 34]]&gt;0, "WIN","LOSE"))</f>
        <v>WIN</v>
      </c>
      <c r="T5" s="190" t="str">
        <f>IFERROR(_xlfn.XLOOKUP(Table15202832506072101714577137141[[#This Row],[Rank]],#REF!,$M$34:$R$34),"")</f>
        <v/>
      </c>
      <c r="U5" s="191" t="s">
        <v>25</v>
      </c>
    </row>
    <row r="6" spans="1:21">
      <c r="A6" s="551"/>
      <c r="B6" s="13" t="s">
        <v>178</v>
      </c>
      <c r="C6" s="174" t="str">
        <f>B17</f>
        <v>Fiorella &amp; Rafa</v>
      </c>
      <c r="D6" s="116">
        <v>18</v>
      </c>
      <c r="E6" s="116">
        <v>14</v>
      </c>
      <c r="F6" s="63"/>
      <c r="G6" s="63"/>
      <c r="H6" s="63"/>
      <c r="I6" s="63"/>
      <c r="J6" s="63"/>
      <c r="K6" s="63"/>
      <c r="L6" s="16" t="str">
        <f>B19</f>
        <v>Dani and Luka</v>
      </c>
      <c r="M6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4</v>
      </c>
      <c r="N6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-4</v>
      </c>
      <c r="O6" s="13">
        <f>IF(Table4101317251247545298684173134138[[#This Row],[SCORE 1]]="","",Table4101317251247545298684173134138[[#This Row],[SCORE 1]])</f>
        <v>18</v>
      </c>
      <c r="P6" s="13">
        <f>IF(Table4101317251247545298684173134138[[#This Row],[SCORE 2]]="","",Table4101317251247545298684173134138[[#This Row],[SCORE 2]])</f>
        <v>14</v>
      </c>
      <c r="Q6" s="13" t="str">
        <f>IF(OR(Table4101317251247545298684173134138[[#This Row],[SCORE 1]]="",Table4101317251247545298684173134138[[#This Row],[SCORE 2]]=""),"",IF(Table4101317251247545298684173134138[[#This Row],[SALDO 12]]&gt;0, "WIN","LOSE"))</f>
        <v>WIN</v>
      </c>
      <c r="R6" s="13" t="str">
        <f>IF(OR(Table4101317251247545298684173134138[[#This Row],[SCORE 1]]="",Table4101317251247545298684173134138[[#This Row],[SCORE 2]]=""),"",IF(Table4101317251247545298684173134138[[#This Row],[SALDO 34]]&gt;0, "WIN","LOSE"))</f>
        <v>LOSE</v>
      </c>
      <c r="T6" s="190" t="str">
        <f>IFERROR(_xlfn.XLOOKUP(Table15202832506072101714577137141[[#This Row],[Rank]],#REF!,$M$34:$R$34),"")</f>
        <v/>
      </c>
      <c r="U6" s="191" t="s">
        <v>28</v>
      </c>
    </row>
    <row r="7" spans="1:21">
      <c r="A7" s="551"/>
      <c r="B7" s="13" t="s">
        <v>180</v>
      </c>
      <c r="C7" s="174" t="str">
        <f>B23</f>
        <v>Beesan &amp; Pedro</v>
      </c>
      <c r="D7" s="116">
        <v>5</v>
      </c>
      <c r="E7" s="116">
        <v>18</v>
      </c>
      <c r="F7" s="63"/>
      <c r="G7" s="63"/>
      <c r="H7" s="63"/>
      <c r="I7" s="63"/>
      <c r="J7" s="63"/>
      <c r="K7" s="63"/>
      <c r="L7" s="16" t="str">
        <f>B25</f>
        <v>Gerardo &amp; Marcelo</v>
      </c>
      <c r="M7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-13</v>
      </c>
      <c r="N7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13</v>
      </c>
      <c r="O7" s="13">
        <f>IF(Table4101317251247545298684173134138[[#This Row],[SCORE 1]]="","",Table4101317251247545298684173134138[[#This Row],[SCORE 1]])</f>
        <v>5</v>
      </c>
      <c r="P7" s="13">
        <f>IF(Table4101317251247545298684173134138[[#This Row],[SCORE 2]]="","",Table4101317251247545298684173134138[[#This Row],[SCORE 2]])</f>
        <v>18</v>
      </c>
      <c r="Q7" s="13" t="str">
        <f>IF(OR(Table4101317251247545298684173134138[[#This Row],[SCORE 1]]="",Table4101317251247545298684173134138[[#This Row],[SCORE 2]]=""),"",IF(Table4101317251247545298684173134138[[#This Row],[SALDO 12]]&gt;0, "WIN","LOSE"))</f>
        <v>LOSE</v>
      </c>
      <c r="R7" s="13" t="str">
        <f>IF(OR(Table4101317251247545298684173134138[[#This Row],[SCORE 1]]="",Table4101317251247545298684173134138[[#This Row],[SCORE 2]]=""),"",IF(Table4101317251247545298684173134138[[#This Row],[SALDO 34]]&gt;0, "WIN","LOSE"))</f>
        <v>WIN</v>
      </c>
      <c r="T7" s="190"/>
      <c r="U7" s="191" t="s">
        <v>31</v>
      </c>
    </row>
    <row r="8" spans="1:21">
      <c r="A8" s="551"/>
      <c r="B8" s="13" t="s">
        <v>178</v>
      </c>
      <c r="C8" s="174" t="str">
        <f>B18</f>
        <v>Chacon &amp; bella</v>
      </c>
      <c r="D8" s="116">
        <v>18</v>
      </c>
      <c r="E8" s="116">
        <v>13</v>
      </c>
      <c r="F8" s="63"/>
      <c r="G8" s="63"/>
      <c r="H8" s="63"/>
      <c r="I8" s="63"/>
      <c r="J8" s="63"/>
      <c r="K8" s="63"/>
      <c r="L8" s="16" t="str">
        <f>B20</f>
        <v>Hermano &amp; Guti</v>
      </c>
      <c r="M8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5</v>
      </c>
      <c r="N8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-5</v>
      </c>
      <c r="O8" s="13">
        <f>IF(Table4101317251247545298684173134138[[#This Row],[SCORE 1]]="","",Table4101317251247545298684173134138[[#This Row],[SCORE 1]])</f>
        <v>18</v>
      </c>
      <c r="P8" s="13">
        <f>IF(Table4101317251247545298684173134138[[#This Row],[SCORE 2]]="","",Table4101317251247545298684173134138[[#This Row],[SCORE 2]])</f>
        <v>13</v>
      </c>
      <c r="Q8" s="13" t="str">
        <f>IF(OR(Table4101317251247545298684173134138[[#This Row],[SCORE 1]]="",Table4101317251247545298684173134138[[#This Row],[SCORE 2]]=""),"",IF(Table4101317251247545298684173134138[[#This Row],[SALDO 12]]&gt;0, "WIN","LOSE"))</f>
        <v>WIN</v>
      </c>
      <c r="R8" s="13" t="str">
        <f>IF(OR(Table4101317251247545298684173134138[[#This Row],[SCORE 1]]="",Table4101317251247545298684173134138[[#This Row],[SCORE 2]]=""),"",IF(Table4101317251247545298684173134138[[#This Row],[SALDO 34]]&gt;0, "WIN","LOSE"))</f>
        <v>LOSE</v>
      </c>
      <c r="T8" s="190"/>
      <c r="U8" s="191" t="s">
        <v>34</v>
      </c>
    </row>
    <row r="9" spans="1:21">
      <c r="A9" s="551"/>
      <c r="B9" s="13" t="s">
        <v>180</v>
      </c>
      <c r="C9" s="174" t="str">
        <f>B24</f>
        <v>Roberta Goulart &amp; João Barreto</v>
      </c>
      <c r="D9" s="116">
        <v>13</v>
      </c>
      <c r="E9" s="116">
        <v>18</v>
      </c>
      <c r="F9" s="63"/>
      <c r="G9" s="63"/>
      <c r="H9" s="63"/>
      <c r="I9" s="63"/>
      <c r="J9" s="63"/>
      <c r="K9" s="63"/>
      <c r="L9" s="16" t="str">
        <f>B26</f>
        <v>Matheus &amp; Guina</v>
      </c>
      <c r="M9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-5</v>
      </c>
      <c r="N9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5</v>
      </c>
      <c r="O9" s="13">
        <f>IF(Table4101317251247545298684173134138[[#This Row],[SCORE 1]]="","",Table4101317251247545298684173134138[[#This Row],[SCORE 1]])</f>
        <v>13</v>
      </c>
      <c r="P9" s="13">
        <f>IF(Table4101317251247545298684173134138[[#This Row],[SCORE 2]]="","",Table4101317251247545298684173134138[[#This Row],[SCORE 2]])</f>
        <v>18</v>
      </c>
      <c r="Q9" s="13" t="str">
        <f>IF(OR(Table4101317251247545298684173134138[[#This Row],[SCORE 1]]="",Table4101317251247545298684173134138[[#This Row],[SCORE 2]]=""),"",IF(Table4101317251247545298684173134138[[#This Row],[SALDO 12]]&gt;0, "WIN","LOSE"))</f>
        <v>LOSE</v>
      </c>
      <c r="R9" s="13" t="str">
        <f>IF(OR(Table4101317251247545298684173134138[[#This Row],[SCORE 1]]="",Table4101317251247545298684173134138[[#This Row],[SCORE 2]]=""),"",IF(Table4101317251247545298684173134138[[#This Row],[SALDO 34]]&gt;0, "WIN","LOSE"))</f>
        <v>WIN</v>
      </c>
      <c r="T9" s="190"/>
      <c r="U9" s="191" t="s">
        <v>37</v>
      </c>
    </row>
    <row r="10" spans="1:21" ht="15.95" thickBot="1">
      <c r="A10" s="551"/>
      <c r="B10" s="13" t="s">
        <v>178</v>
      </c>
      <c r="C10" s="174" t="str">
        <f>B17</f>
        <v>Fiorella &amp; Rafa</v>
      </c>
      <c r="D10" s="116">
        <v>15</v>
      </c>
      <c r="E10" s="116">
        <v>18</v>
      </c>
      <c r="F10" s="63"/>
      <c r="G10" s="63"/>
      <c r="H10" s="63"/>
      <c r="I10" s="63"/>
      <c r="J10" s="63"/>
      <c r="K10" s="63"/>
      <c r="L10" s="16" t="str">
        <f>B20</f>
        <v>Hermano &amp; Guti</v>
      </c>
      <c r="M10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-3</v>
      </c>
      <c r="N10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3</v>
      </c>
      <c r="O10" s="13">
        <f>IF(Table4101317251247545298684173134138[[#This Row],[SCORE 1]]="","",Table4101317251247545298684173134138[[#This Row],[SCORE 1]])</f>
        <v>15</v>
      </c>
      <c r="P10" s="13">
        <f>IF(Table4101317251247545298684173134138[[#This Row],[SCORE 2]]="","",Table4101317251247545298684173134138[[#This Row],[SCORE 2]])</f>
        <v>18</v>
      </c>
      <c r="Q10" s="13" t="str">
        <f>IF(OR(Table4101317251247545298684173134138[[#This Row],[SCORE 1]]="",Table4101317251247545298684173134138[[#This Row],[SCORE 2]]=""),"",IF(Table4101317251247545298684173134138[[#This Row],[SALDO 12]]&gt;0, "WIN","LOSE"))</f>
        <v>LOSE</v>
      </c>
      <c r="R10" s="13" t="str">
        <f>IF(OR(Table4101317251247545298684173134138[[#This Row],[SCORE 1]]="",Table4101317251247545298684173134138[[#This Row],[SCORE 2]]=""),"",IF(Table4101317251247545298684173134138[[#This Row],[SALDO 34]]&gt;0, "WIN","LOSE"))</f>
        <v>WIN</v>
      </c>
      <c r="T10" s="192"/>
      <c r="U10" s="193" t="s">
        <v>41</v>
      </c>
    </row>
    <row r="11" spans="1:21" ht="15.95" thickTop="1">
      <c r="A11" s="551"/>
      <c r="B11" s="13" t="s">
        <v>180</v>
      </c>
      <c r="C11" s="174" t="str">
        <f>B23</f>
        <v>Beesan &amp; Pedro</v>
      </c>
      <c r="D11" s="116">
        <v>12</v>
      </c>
      <c r="E11" s="116">
        <v>18</v>
      </c>
      <c r="F11" s="63"/>
      <c r="G11" s="63"/>
      <c r="H11" s="63"/>
      <c r="I11" s="63"/>
      <c r="J11" s="63"/>
      <c r="K11" s="63"/>
      <c r="L11" s="16" t="str">
        <f>B26</f>
        <v>Matheus &amp; Guina</v>
      </c>
      <c r="M11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-6</v>
      </c>
      <c r="N11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6</v>
      </c>
      <c r="O11" s="13">
        <f>IF(Table4101317251247545298684173134138[[#This Row],[SCORE 1]]="","",Table4101317251247545298684173134138[[#This Row],[SCORE 1]])</f>
        <v>12</v>
      </c>
      <c r="P11" s="13">
        <f>IF(Table4101317251247545298684173134138[[#This Row],[SCORE 2]]="","",Table4101317251247545298684173134138[[#This Row],[SCORE 2]])</f>
        <v>18</v>
      </c>
      <c r="Q11" s="13" t="str">
        <f>IF(OR(Table4101317251247545298684173134138[[#This Row],[SCORE 1]]="",Table4101317251247545298684173134138[[#This Row],[SCORE 2]]=""),"",IF(Table4101317251247545298684173134138[[#This Row],[SALDO 12]]&gt;0, "WIN","LOSE"))</f>
        <v>LOSE</v>
      </c>
      <c r="R11" s="13" t="str">
        <f>IF(OR(Table4101317251247545298684173134138[[#This Row],[SCORE 1]]="",Table4101317251247545298684173134138[[#This Row],[SCORE 2]]=""),"",IF(Table4101317251247545298684173134138[[#This Row],[SALDO 34]]&gt;0, "WIN","LOSE"))</f>
        <v>WIN</v>
      </c>
      <c r="T11" s="17" t="s">
        <v>295</v>
      </c>
    </row>
    <row r="12" spans="1:21">
      <c r="A12" s="551"/>
      <c r="B12" s="13" t="s">
        <v>178</v>
      </c>
      <c r="C12" s="174" t="str">
        <f>B18</f>
        <v>Chacon &amp; bella</v>
      </c>
      <c r="D12" s="116">
        <v>7</v>
      </c>
      <c r="E12" s="116">
        <v>18</v>
      </c>
      <c r="F12" s="63"/>
      <c r="G12" s="63"/>
      <c r="H12" s="63"/>
      <c r="I12" s="63"/>
      <c r="J12" s="63"/>
      <c r="K12" s="63"/>
      <c r="L12" s="16" t="str">
        <f>B19</f>
        <v>Dani and Luka</v>
      </c>
      <c r="M12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-11</v>
      </c>
      <c r="N12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11</v>
      </c>
      <c r="O12" s="13">
        <f>IF(Table4101317251247545298684173134138[[#This Row],[SCORE 1]]="","",Table4101317251247545298684173134138[[#This Row],[SCORE 1]])</f>
        <v>7</v>
      </c>
      <c r="P12" s="13">
        <f>IF(Table4101317251247545298684173134138[[#This Row],[SCORE 2]]="","",Table4101317251247545298684173134138[[#This Row],[SCORE 2]])</f>
        <v>18</v>
      </c>
      <c r="Q12" s="13" t="str">
        <f>IF(OR(Table4101317251247545298684173134138[[#This Row],[SCORE 1]]="",Table4101317251247545298684173134138[[#This Row],[SCORE 2]]=""),"",IF(Table4101317251247545298684173134138[[#This Row],[SALDO 12]]&gt;0, "WIN","LOSE"))</f>
        <v>LOSE</v>
      </c>
      <c r="R12" s="13" t="str">
        <f>IF(OR(Table4101317251247545298684173134138[[#This Row],[SCORE 1]]="",Table4101317251247545298684173134138[[#This Row],[SCORE 2]]=""),"",IF(Table4101317251247545298684173134138[[#This Row],[SALDO 34]]&gt;0, "WIN","LOSE"))</f>
        <v>WIN</v>
      </c>
    </row>
    <row r="13" spans="1:21">
      <c r="A13" s="551"/>
      <c r="B13" s="13" t="s">
        <v>180</v>
      </c>
      <c r="C13" s="174" t="str">
        <f>B24</f>
        <v>Roberta Goulart &amp; João Barreto</v>
      </c>
      <c r="D13" s="116">
        <v>8</v>
      </c>
      <c r="E13" s="116">
        <v>18</v>
      </c>
      <c r="F13" s="63"/>
      <c r="G13" s="63"/>
      <c r="H13" s="63"/>
      <c r="I13" s="63"/>
      <c r="J13" s="63"/>
      <c r="K13" s="63"/>
      <c r="L13" s="16" t="str">
        <f>B25</f>
        <v>Gerardo &amp; Marcelo</v>
      </c>
      <c r="M13" s="13">
        <f>IF(OR(Table4101317251247545298684173134138[[#This Row],[SCORE 1]]="",Table4101317251247545298684173134138[[#This Row],[SCORE 2]]=""),"",Table4101317251247545298684173134138[[#This Row],[SCORE 1]]-Table4101317251247545298684173134138[[#This Row],[SCORE 2]])</f>
        <v>-10</v>
      </c>
      <c r="N13" s="13">
        <f>IF(OR(Table4101317251247545298684173134138[[#This Row],[SCORE 1]]="",Table4101317251247545298684173134138[[#This Row],[SCORE 2]]=""),"",Table4101317251247545298684173134138[[#This Row],[SCORE 2]]-Table4101317251247545298684173134138[[#This Row],[SCORE 1]])</f>
        <v>10</v>
      </c>
      <c r="O13" s="13">
        <f>IF(Table4101317251247545298684173134138[[#This Row],[SCORE 1]]="","",Table4101317251247545298684173134138[[#This Row],[SCORE 1]])</f>
        <v>8</v>
      </c>
      <c r="P13" s="13">
        <f>IF(Table4101317251247545298684173134138[[#This Row],[SCORE 2]]="","",Table4101317251247545298684173134138[[#This Row],[SCORE 2]])</f>
        <v>18</v>
      </c>
      <c r="Q13" s="13" t="str">
        <f>IF(OR(Table4101317251247545298684173134138[[#This Row],[SCORE 1]]="",Table4101317251247545298684173134138[[#This Row],[SCORE 2]]=""),"",IF(Table4101317251247545298684173134138[[#This Row],[SALDO 12]]&gt;0, "WIN","LOSE"))</f>
        <v>LOSE</v>
      </c>
      <c r="R13" s="13" t="str">
        <f>IF(OR(Table4101317251247545298684173134138[[#This Row],[SCORE 1]]="",Table4101317251247545298684173134138[[#This Row],[SCORE 2]]=""),"",IF(Table4101317251247545298684173134138[[#This Row],[SALDO 34]]&gt;0, "WIN","LOSE"))</f>
        <v>WIN</v>
      </c>
    </row>
    <row r="14" spans="1:21" ht="30" customHeight="1" thickBot="1"/>
    <row r="15" spans="1:21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60" t="s">
        <v>183</v>
      </c>
      <c r="N15" s="561"/>
      <c r="O15" s="561"/>
      <c r="P15" s="561"/>
      <c r="Q15" s="561"/>
      <c r="R15" s="562"/>
    </row>
    <row r="16" spans="1:21" ht="15.95">
      <c r="A16" s="6" t="s">
        <v>184</v>
      </c>
      <c r="B16" s="7" t="s">
        <v>296</v>
      </c>
      <c r="C16" s="7" t="s">
        <v>186</v>
      </c>
      <c r="D16" s="7" t="s">
        <v>187</v>
      </c>
      <c r="E16" s="7" t="s">
        <v>188</v>
      </c>
      <c r="F16" s="7" t="s">
        <v>189</v>
      </c>
      <c r="G16" s="7" t="s">
        <v>8</v>
      </c>
      <c r="H16" s="80" t="s">
        <v>204</v>
      </c>
      <c r="I16" s="20" t="s">
        <v>191</v>
      </c>
      <c r="J16" s="20" t="s">
        <v>192</v>
      </c>
      <c r="K16" s="20" t="s">
        <v>1</v>
      </c>
      <c r="L16" s="20" t="s">
        <v>192</v>
      </c>
      <c r="M16" s="601" t="s">
        <v>297</v>
      </c>
      <c r="N16" s="553"/>
      <c r="O16" s="179" t="s">
        <v>195</v>
      </c>
      <c r="P16" s="180"/>
      <c r="Q16" s="552" t="s">
        <v>298</v>
      </c>
      <c r="R16" s="602"/>
    </row>
    <row r="17" spans="1:25">
      <c r="A17" s="4" t="s">
        <v>205</v>
      </c>
      <c r="B17" s="171" t="s">
        <v>299</v>
      </c>
      <c r="C17" s="14">
        <f>SUM(COUNTIFS(Table4101317251247545298684173134138[ATHLETE 2],Table36111418263048555399694375135139[[#This Row],[Team]],Table4101317251247545298684173134138[RESULT 12],Table36111418263048555399694375135139[[#Headers],[WIN]]),COUNTIFS(Table4101317251247545298684173134138[ATHLETE 4],Table36111418263048555399694375135139[[#This Row],[Team]],Table4101317251247545298684173134138[RESULT 34],Table36111418263048555399694375135139[[#Headers],[WIN]]))</f>
        <v>2</v>
      </c>
      <c r="D17" s="14">
        <f>SUM(COUNTIFS(Table4101317251247545298684173134138[ATHLETE 2],Table36111418263048555399694375135139[[#This Row],[Team]],Table4101317251247545298684173134138[RESULT 12],Table36111418263048555399694375135139[[#Headers],[LOSE]]),COUNTIFS(Table4101317251247545298684173134138[ATHLETE 4],Table36111418263048555399694375135139[[#This Row],[Team]],Table4101317251247545298684173134138[RESULT 34],Table36111418263048555399694375135139[[#Headers],[LOSE]]))</f>
        <v>1</v>
      </c>
      <c r="E17" s="19">
        <f>SUM(SUMIF(Table4101317251247545298684173134138[ATHLETE 2],Table36111418263048555399694375135139[[#This Row],[Team]],Table4101317251247545298684173134138[SALDO 12]),SUMIF(Table4101317251247545298684173134138[ATHLETE 4],Table36111418263048555399694375135139[[#This Row],[Team]],Table4101317251247545298684173134138[SALDO 34]))</f>
        <v>8</v>
      </c>
      <c r="F17" s="19">
        <f>SUM(SUMIF(Table4101317251247545298684173134138[ATHLETE 2],Table36111418263048555399694375135139[[#This Row],[Team]],Table4101317251247545298684173134138[PM 12]),SUMIF(Table4101317251247545298684173134138[ATHLETE 4],Table36111418263048555399694375135139[[#This Row],[Team]],Table4101317251247545298684173134138[PM 34]))</f>
        <v>51</v>
      </c>
      <c r="G17" s="14" t="str">
        <f>IF(COUNTBLANK(Table4101317251247545298684173134138[[SCORE 1]:[SCORE 2]])=0,IF(RANK(H17,$H$17:$H$20)=1,RANK(H17,$H$17:$H$20)&amp;"st",IF(RANK(H17,$H$17:$H$20)=2,RANK(H17,$H$17:$H$20)&amp;"nd",RANK(H17,$H$17:$H$20)&amp;"th")),"")</f>
        <v>1st</v>
      </c>
      <c r="H17" s="51">
        <f>Table36111418263048555399694375135139[[#This Row],[WIN]]*1000000+Table36111418263048555399694375135139[[#This Row],[Saldo]]*1000+Table36111418263048555399694375135139[[#This Row],[PM]]</f>
        <v>2008051</v>
      </c>
      <c r="I17" s="2">
        <f>H17</f>
        <v>2008051</v>
      </c>
      <c r="J17" s="2" t="str">
        <f>IF(COUNTBLANK(Table4101317251247545298684173134138[[SCORE 1]:[SCORE 2]])=0,IF(RANK(I17,$I$17:$I$28)=1,RANK(I17,$I$17:$I$28)&amp;"st",IF(RANK(I17,$I$17:$I$28)=2,RANK(I17,$I$17:$I$28)&amp;"nd",IF(RANK(I17,$I$17:$I$28)=3,RANK(I17,$I$17:$I$28)&amp;"rd",RANK(I17,$I$17:$I$28)&amp;"th"))),"")</f>
        <v>3rd</v>
      </c>
      <c r="K17" s="38" t="str">
        <f>Table36111418263048555399694375135139[[#This Row],[Team]]</f>
        <v>Fiorella &amp; Rafa</v>
      </c>
      <c r="L17" s="2" t="str">
        <f>J17</f>
        <v>3rd</v>
      </c>
      <c r="M17" s="588" t="str" cm="1">
        <f t="array" ref="M17">_xlfn.TEXTJOIN(", ", TRUE, _xlfn._xlws.FILTER($K$17:$K$24, $J$17:$J$24=$U$3, ""))</f>
        <v>Matheus &amp; Guina</v>
      </c>
      <c r="N17" s="589"/>
      <c r="O17" s="119">
        <v>18</v>
      </c>
      <c r="P17" s="119">
        <v>10</v>
      </c>
      <c r="Q17" s="590" t="str" cm="1">
        <f t="array" ref="Q17">_xlfn.TEXTJOIN(", ", TRUE, _xlfn._xlws.FILTER($K$17:$K$24, $J$17:$J$24=$U$10, ""))</f>
        <v>Beesan &amp; Pedro</v>
      </c>
      <c r="R17" s="591"/>
    </row>
    <row r="18" spans="1:25">
      <c r="A18" s="3" t="s">
        <v>206</v>
      </c>
      <c r="B18" s="171" t="s">
        <v>300</v>
      </c>
      <c r="C18" s="14">
        <f>SUM(COUNTIFS(Table4101317251247545298684173134138[ATHLETE 2],Table36111418263048555399694375135139[[#This Row],[Team]],Table4101317251247545298684173134138[RESULT 12],Table36111418263048555399694375135139[[#Headers],[WIN]]),COUNTIFS(Table4101317251247545298684173134138[ATHLETE 4],Table36111418263048555399694375135139[[#This Row],[Team]],Table4101317251247545298684173134138[RESULT 34],Table36111418263048555399694375135139[[#Headers],[WIN]]))</f>
        <v>1</v>
      </c>
      <c r="D18" s="14">
        <f>SUM(COUNTIFS(Table4101317251247545298684173134138[ATHLETE 2],Table36111418263048555399694375135139[[#This Row],[Team]],Table4101317251247545298684173134138[RESULT 12],Table36111418263048555399694375135139[[#Headers],[LOSE]]),COUNTIFS(Table4101317251247545298684173134138[ATHLETE 4],Table36111418263048555399694375135139[[#This Row],[Team]],Table4101317251247545298684173134138[RESULT 34],Table36111418263048555399694375135139[[#Headers],[LOSE]]))</f>
        <v>2</v>
      </c>
      <c r="E18" s="19">
        <f>SUM(SUMIF(Table4101317251247545298684173134138[ATHLETE 2],Table36111418263048555399694375135139[[#This Row],[Team]],Table4101317251247545298684173134138[SALDO 12]),SUMIF(Table4101317251247545298684173134138[ATHLETE 4],Table36111418263048555399694375135139[[#This Row],[Team]],Table4101317251247545298684173134138[SALDO 34]))</f>
        <v>-13</v>
      </c>
      <c r="F18" s="19">
        <f>SUM(SUMIF(Table4101317251247545298684173134138[ATHLETE 2],Table36111418263048555399694375135139[[#This Row],[Team]],Table4101317251247545298684173134138[PM 12]),SUMIF(Table4101317251247545298684173134138[ATHLETE 4],Table36111418263048555399694375135139[[#This Row],[Team]],Table4101317251247545298684173134138[PM 34]))</f>
        <v>36</v>
      </c>
      <c r="G18" s="14" t="str">
        <f>IF(COUNTBLANK(Table4101317251247545298684173134138[[SCORE 1]:[SCORE 2]])=0,IF(RANK(H18,$H$17:$H$20)=1,RANK(H18,$H$17:$H$20)&amp;"st",IF(RANK(H18,$H$17:$H$20)=2,RANK(H18,$H$17:$H$20)&amp;"nd",RANK(H18,$H$17:$H$20)&amp;"th")),"")</f>
        <v>4th</v>
      </c>
      <c r="H18" s="51">
        <f>Table36111418263048555399694375135139[[#This Row],[WIN]]*1000000+Table36111418263048555399694375135139[[#This Row],[Saldo]]*1000+Table36111418263048555399694375135139[[#This Row],[PM]]</f>
        <v>987036</v>
      </c>
      <c r="I18" s="2">
        <f t="shared" ref="I18:I20" si="0">H18</f>
        <v>987036</v>
      </c>
      <c r="J18" s="2" t="str">
        <f>IF(COUNTBLANK(Table4101317251247545298684173134138[[SCORE 1]:[SCORE 2]])=0,IF(RANK(I18,$I$17:$I$28)=1,RANK(I18,$I$17:$I$28)&amp;"st",IF(RANK(I18,$I$17:$I$28)=2,RANK(I18,$I$17:$I$28)&amp;"nd",IF(RANK(I18,$I$17:$I$28)=3,RANK(I18,$I$17:$I$28)&amp;"rd",RANK(I18,$I$17:$I$28)&amp;"th"))),"")</f>
        <v>7th</v>
      </c>
      <c r="K18" s="38" t="str">
        <f>Table36111418263048555399694375135139[[#This Row],[Team]]</f>
        <v>Chacon &amp; bella</v>
      </c>
      <c r="L18" s="2" t="str">
        <f t="shared" ref="L18:L20" si="1">J18</f>
        <v>7th</v>
      </c>
      <c r="M18" s="592" t="str">
        <f>IF(COUNTBLANK($O$17:$P$30)=0,IF($O$18="lose",$U$7,""),"")</f>
        <v/>
      </c>
      <c r="N18" s="593"/>
      <c r="O18" s="2" t="str">
        <f>IF(OR(O17="",P17=""),"",IF((O17&gt;P17),"WIN","LOSE"))</f>
        <v>WIN</v>
      </c>
      <c r="P18" s="2" t="str">
        <f>IF(OR(O17="",P17=""),"",IF((O17&lt;P17),"WIN","LOSE"))</f>
        <v>LOSE</v>
      </c>
      <c r="Q18" s="593" t="str">
        <f>IF(COUNTBLANK($O$17:$P$30)=0,IF($P$18="lose",$U$10,""),"")</f>
        <v>8th</v>
      </c>
      <c r="R18" s="594"/>
      <c r="S18" s="17"/>
    </row>
    <row r="19" spans="1:25">
      <c r="A19" s="3" t="s">
        <v>207</v>
      </c>
      <c r="B19" s="171" t="s">
        <v>301</v>
      </c>
      <c r="C19" s="14">
        <f>SUM(COUNTIFS(Table4101317251247545298684173134138[ATHLETE 2],Table36111418263048555399694375135139[[#This Row],[Team]],Table4101317251247545298684173134138[RESULT 12],Table36111418263048555399694375135139[[#Headers],[WIN]]),COUNTIFS(Table4101317251247545298684173134138[ATHLETE 4],Table36111418263048555399694375135139[[#This Row],[Team]],Table4101317251247545298684173134138[RESULT 34],Table36111418263048555399694375135139[[#Headers],[WIN]]))</f>
        <v>1</v>
      </c>
      <c r="D19" s="14">
        <f>SUM(COUNTIFS(Table4101317251247545298684173134138[ATHLETE 2],Table36111418263048555399694375135139[[#This Row],[Team]],Table4101317251247545298684173134138[RESULT 12],Table36111418263048555399694375135139[[#Headers],[LOSE]]),COUNTIFS(Table4101317251247545298684173134138[ATHLETE 4],Table36111418263048555399694375135139[[#This Row],[Team]],Table4101317251247545298684173134138[RESULT 34],Table36111418263048555399694375135139[[#Headers],[LOSE]]))</f>
        <v>2</v>
      </c>
      <c r="E19" s="19">
        <f>SUM(SUMIF(Table4101317251247545298684173134138[ATHLETE 2],Table36111418263048555399694375135139[[#This Row],[Team]],Table4101317251247545298684173134138[SALDO 12]),SUMIF(Table4101317251247545298684173134138[ATHLETE 4],Table36111418263048555399694375135139[[#This Row],[Team]],Table4101317251247545298684173134138[SALDO 34]))</f>
        <v>0</v>
      </c>
      <c r="F19" s="19">
        <f>SUM(SUMIF(Table4101317251247545298684173134138[ATHLETE 2],Table36111418263048555399694375135139[[#This Row],[Team]],Table4101317251247545298684173134138[PM 12]),SUMIF(Table4101317251247545298684173134138[ATHLETE 4],Table36111418263048555399694375135139[[#This Row],[Team]],Table4101317251247545298684173134138[PM 34]))</f>
        <v>43</v>
      </c>
      <c r="G19" s="14" t="str">
        <f>IF(COUNTBLANK(Table4101317251247545298684173134138[[SCORE 1]:[SCORE 2]])=0,IF(RANK(H19,$H$17:$H$20)=1,RANK(H19,$H$17:$H$20)&amp;"st",IF(RANK(H19,$H$17:$H$20)=2,RANK(H19,$H$17:$H$20)&amp;"nd",RANK(H19,$H$17:$H$20)&amp;"th")),"")</f>
        <v>3th</v>
      </c>
      <c r="H19" s="51">
        <f>Table36111418263048555399694375135139[[#This Row],[WIN]]*1000000+Table36111418263048555399694375135139[[#This Row],[Saldo]]*1000+Table36111418263048555399694375135139[[#This Row],[PM]]</f>
        <v>1000043</v>
      </c>
      <c r="I19" s="2">
        <f t="shared" si="0"/>
        <v>1000043</v>
      </c>
      <c r="J19" s="2" t="str">
        <f>IF(COUNTBLANK(Table4101317251247545298684173134138[[SCORE 1]:[SCORE 2]])=0,IF(RANK(I19,$I$17:$I$28)=1,RANK(I19,$I$17:$I$28)&amp;"st",IF(RANK(I19,$I$17:$I$28)=2,RANK(I19,$I$17:$I$28)&amp;"nd",IF(RANK(I19,$I$17:$I$28)=3,RANK(I19,$I$17:$I$28)&amp;"rd",RANK(I19,$I$17:$I$28)&amp;"th"))),"")</f>
        <v>5th</v>
      </c>
      <c r="K19" s="38" t="str">
        <f>Table36111418263048555399694375135139[[#This Row],[Team]]</f>
        <v>Dani and Luka</v>
      </c>
      <c r="L19" s="2" t="str">
        <f t="shared" si="1"/>
        <v>5th</v>
      </c>
      <c r="M19" s="598">
        <v>1</v>
      </c>
      <c r="N19" s="599"/>
      <c r="O19" s="183" t="s">
        <v>302</v>
      </c>
      <c r="P19" s="183" t="s">
        <v>302</v>
      </c>
      <c r="Q19" s="599">
        <v>8</v>
      </c>
      <c r="R19" s="600"/>
      <c r="V19" s="66"/>
      <c r="W19" s="66"/>
      <c r="X19" s="66"/>
      <c r="Y19" s="66"/>
    </row>
    <row r="20" spans="1:25" ht="15.95">
      <c r="A20" s="5" t="s">
        <v>208</v>
      </c>
      <c r="B20" s="171" t="s">
        <v>303</v>
      </c>
      <c r="C20" s="14">
        <f>SUM(COUNTIFS(Table4101317251247545298684173134138[ATHLETE 2],Table36111418263048555399694375135139[[#This Row],[Team]],Table4101317251247545298684173134138[RESULT 12],Table36111418263048555399694375135139[[#Headers],[WIN]]),COUNTIFS(Table4101317251247545298684173134138[ATHLETE 4],Table36111418263048555399694375135139[[#This Row],[Team]],Table4101317251247545298684173134138[RESULT 34],Table36111418263048555399694375135139[[#Headers],[WIN]]))</f>
        <v>2</v>
      </c>
      <c r="D20" s="14">
        <f>SUM(COUNTIFS(Table4101317251247545298684173134138[ATHLETE 2],Table36111418263048555399694375135139[[#This Row],[Team]],Table4101317251247545298684173134138[RESULT 12],Table36111418263048555399694375135139[[#Headers],[LOSE]]),COUNTIFS(Table4101317251247545298684173134138[ATHLETE 4],Table36111418263048555399694375135139[[#This Row],[Team]],Table4101317251247545298684173134138[RESULT 34],Table36111418263048555399694375135139[[#Headers],[LOSE]]))</f>
        <v>1</v>
      </c>
      <c r="E20" s="19">
        <f>SUM(SUMIF(Table4101317251247545298684173134138[ATHLETE 2],Table36111418263048555399694375135139[[#This Row],[Team]],Table4101317251247545298684173134138[SALDO 12]),SUMIF(Table4101317251247545298684173134138[ATHLETE 4],Table36111418263048555399694375135139[[#This Row],[Team]],Table4101317251247545298684173134138[SALDO 34]))</f>
        <v>5</v>
      </c>
      <c r="F20" s="19">
        <f>SUM(SUMIF(Table4101317251247545298684173134138[ATHLETE 2],Table36111418263048555399694375135139[[#This Row],[Team]],Table4101317251247545298684173134138[PM 12]),SUMIF(Table4101317251247545298684173134138[ATHLETE 4],Table36111418263048555399694375135139[[#This Row],[Team]],Table4101317251247545298684173134138[PM 34]))</f>
        <v>49</v>
      </c>
      <c r="G20" s="14" t="str">
        <f>IF(COUNTBLANK(Table4101317251247545298684173134138[[SCORE 1]:[SCORE 2]])=0,IF(RANK(H20,$H$17:$H$20)=1,RANK(H20,$H$17:$H$20)&amp;"st",IF(RANK(H20,$H$17:$H$20)=2,RANK(H20,$H$17:$H$20)&amp;"nd",RANK(H20,$H$17:$H$20)&amp;"th")),"")</f>
        <v>2nd</v>
      </c>
      <c r="H20" s="51">
        <f>Table36111418263048555399694375135139[[#This Row],[WIN]]*1000000+Table36111418263048555399694375135139[[#This Row],[Saldo]]*1000+Table36111418263048555399694375135139[[#This Row],[PM]]</f>
        <v>2005049</v>
      </c>
      <c r="I20" s="2">
        <f t="shared" si="0"/>
        <v>2005049</v>
      </c>
      <c r="J20" s="2" t="str">
        <f>IF(COUNTBLANK(Table4101317251247545298684173134138[[SCORE 1]:[SCORE 2]])=0,IF(RANK(I20,$I$17:$I$28)=1,RANK(I20,$I$17:$I$28)&amp;"st",IF(RANK(I20,$I$17:$I$28)=2,RANK(I20,$I$17:$I$28)&amp;"nd",IF(RANK(I20,$I$17:$I$28)=3,RANK(I20,$I$17:$I$28)&amp;"rd",RANK(I20,$I$17:$I$28)&amp;"th"))),"")</f>
        <v>4th</v>
      </c>
      <c r="K20" s="38" t="str">
        <f>Table36111418263048555399694375135139[[#This Row],[Team]]</f>
        <v>Hermano &amp; Guti</v>
      </c>
      <c r="L20" s="2" t="str">
        <f t="shared" si="1"/>
        <v>4th</v>
      </c>
      <c r="M20" s="601" t="s">
        <v>297</v>
      </c>
      <c r="N20" s="553"/>
      <c r="O20" s="179" t="s">
        <v>195</v>
      </c>
      <c r="P20" s="181" t="s">
        <v>302</v>
      </c>
      <c r="Q20" s="552" t="s">
        <v>298</v>
      </c>
      <c r="R20" s="602"/>
      <c r="V20" s="66"/>
      <c r="W20" s="66"/>
      <c r="X20" s="66"/>
      <c r="Y20" s="66"/>
    </row>
    <row r="21" spans="1:25">
      <c r="I21" s="2">
        <f>H23</f>
        <v>-30977</v>
      </c>
      <c r="J21" s="2" t="str">
        <f>IF(COUNTBLANK(Table4101317251247545298684173134138[[SCORE 1]:[SCORE 2]])=0,IF(RANK(I21,$I$17:$I$28)=1,RANK(I21,$I$17:$I$28)&amp;"st",IF(RANK(I21,$I$17:$I$28)=2,RANK(I21,$I$17:$I$28)&amp;"nd",IF(RANK(I21,$I$17:$I$28)=3,RANK(I21,$I$17:$I$28)&amp;"rd",RANK(I21,$I$17:$I$28)&amp;"th"))),"")</f>
        <v>8th</v>
      </c>
      <c r="K21" s="38" t="str">
        <f>B23</f>
        <v>Beesan &amp; Pedro</v>
      </c>
      <c r="L21" s="2"/>
      <c r="M21" s="588" t="str" cm="1">
        <f t="array" ref="M21">_xlfn.TEXTJOIN(", ", TRUE, _xlfn._xlws.FILTER($K$17:$K$24, $J$17:$J$24=$U$4, ""))</f>
        <v>Gerardo &amp; Marcelo</v>
      </c>
      <c r="N21" s="589"/>
      <c r="O21" s="119">
        <v>18</v>
      </c>
      <c r="P21" s="119">
        <v>13</v>
      </c>
      <c r="Q21" s="590" t="str" cm="1">
        <f t="array" ref="Q21">_xlfn.TEXTJOIN(", ", TRUE, _xlfn._xlws.FILTER($K$17:$K$24, $J$17:$J$24=$U$9, ""))</f>
        <v>Chacon &amp; bella</v>
      </c>
      <c r="R21" s="591"/>
      <c r="V21" s="66"/>
      <c r="W21" s="66"/>
      <c r="X21" s="66"/>
      <c r="Y21" s="66"/>
    </row>
    <row r="22" spans="1:25" s="44" customFormat="1" ht="28.5" customHeight="1">
      <c r="A22" s="9" t="s">
        <v>184</v>
      </c>
      <c r="B22" s="48" t="s">
        <v>296</v>
      </c>
      <c r="C22" s="48" t="s">
        <v>186</v>
      </c>
      <c r="D22" s="48" t="s">
        <v>187</v>
      </c>
      <c r="E22" s="48" t="s">
        <v>188</v>
      </c>
      <c r="F22" s="48" t="s">
        <v>189</v>
      </c>
      <c r="G22" s="43" t="s">
        <v>8</v>
      </c>
      <c r="H22" s="79" t="s">
        <v>204</v>
      </c>
      <c r="I22" s="2">
        <f>H24</f>
        <v>997039</v>
      </c>
      <c r="J22" s="2" t="str">
        <f>IF(COUNTBLANK(Table4101317251247545298684173134138[[SCORE 1]:[SCORE 2]])=0,IF(RANK(I22,$I$17:$I$28)=1,RANK(I22,$I$17:$I$28)&amp;"st",IF(RANK(I22,$I$17:$I$28)=2,RANK(I22,$I$17:$I$28)&amp;"nd",IF(RANK(I22,$I$17:$I$28)=3,RANK(I22,$I$17:$I$28)&amp;"rd",RANK(I22,$I$17:$I$28)&amp;"th"))),"")</f>
        <v>6th</v>
      </c>
      <c r="K22" s="38" t="str">
        <f>B24</f>
        <v>Roberta Goulart &amp; João Barreto</v>
      </c>
      <c r="L22" s="419" t="s">
        <v>192</v>
      </c>
      <c r="M22" s="592" t="str">
        <f>IF(COUNTBLANK($O$17:$P$30)=0,IF(O22="lose",IF(O18="win",$U$7,U8),""),"")</f>
        <v/>
      </c>
      <c r="N22" s="593"/>
      <c r="O22" s="2" t="str">
        <f>IF(OR(O21="",P21=""),"",IF((O21&gt;P21),"WIN","LOSE"))</f>
        <v>WIN</v>
      </c>
      <c r="P22" s="2" t="str">
        <f>IF(OR(O21="",P21=""),"",IF((O21&lt;P21),"WIN","LOSE"))</f>
        <v>LOSE</v>
      </c>
      <c r="Q22" s="593" t="str">
        <f>IF(COUNTBLANK($O$17:$P$30)=0,IF(P22="lose",IF(P18="win",$U$10,U9),""),"")</f>
        <v>7th</v>
      </c>
      <c r="R22" s="594"/>
      <c r="V22" s="92"/>
      <c r="W22" s="92"/>
      <c r="X22" s="92"/>
      <c r="Y22" s="92"/>
    </row>
    <row r="23" spans="1:25">
      <c r="A23" s="430" t="s">
        <v>209</v>
      </c>
      <c r="B23" s="171" t="s">
        <v>304</v>
      </c>
      <c r="C23" s="14">
        <f>SUM(COUNTIFS(Table4101317251247545298684173134138[ATHLETE 2],Table61215192731495671100704476136140[[#This Row],[Team]],Table4101317251247545298684173134138[RESULT 12],Table36111418263048555399694375135139[[#Headers],[WIN]]),COUNTIFS(Table4101317251247545298684173134138[ATHLETE 4],Table61215192731495671100704476136140[[#This Row],[Team]],Table4101317251247545298684173134138[RESULT 34],Table36111418263048555399694375135139[[#Headers],[WIN]]))</f>
        <v>0</v>
      </c>
      <c r="D23" s="14">
        <f>SUM(COUNTIFS(Table4101317251247545298684173134138[ATHLETE 2],Table61215192731495671100704476136140[[#This Row],[Team]],Table4101317251247545298684173134138[RESULT 12],Table36111418263048555399694375135139[[#Headers],[LOSE]]),COUNTIFS(Table4101317251247545298684173134138[ATHLETE 4],Table61215192731495671100704476136140[[#This Row],[Team]],Table4101317251247545298684173134138[RESULT 34],Table36111418263048555399694375135139[[#Headers],[LOSE]]))</f>
        <v>3</v>
      </c>
      <c r="E23" s="19">
        <f>SUM(SUMIF(Table4101317251247545298684173134138[ATHLETE 2],Table61215192731495671100704476136140[[#This Row],[Team]],Table4101317251247545298684173134138[SALDO 12]),SUMIF(Table4101317251247545298684173134138[ATHLETE 4],Table61215192731495671100704476136140[[#This Row],[Team]],Table4101317251247545298684173134138[SALDO 34]))</f>
        <v>-31</v>
      </c>
      <c r="F23" s="19">
        <f>SUM(SUMIF(Table4101317251247545298684173134138[ATHLETE 2],Table61215192731495671100704476136140[[#This Row],[Team]],Table4101317251247545298684173134138[PM 12]),SUMIF(Table4101317251247545298684173134138[ATHLETE 4],Table61215192731495671100704476136140[[#This Row],[Team]],Table4101317251247545298684173134138[PM 34]))</f>
        <v>23</v>
      </c>
      <c r="G23" s="14" t="str">
        <f>IF(COUNTBLANK(Table4101317251247545298684173134138[[SCORE 1]:[SCORE 2]])=0,IF(RANK(H23,$H$23:$H$26)=1,RANK(H23,$H$23:$H$26)&amp;"st",IF(RANK(H23,$H$23:$H$26)=2,RANK(H23,$H$23:$H$26)&amp;"nd",RANK(H23,$H$23:$H$26)&amp;"th")),"")</f>
        <v>4th</v>
      </c>
      <c r="H23" s="51">
        <f>Table61215192731495671100704476136140[[#This Row],[WIN]]*1000000+Table61215192731495671100704476136140[[#This Row],[Saldo]]*1000+Table61215192731495671100704476136140[[#This Row],[PM]]</f>
        <v>-30977</v>
      </c>
      <c r="I23" s="2">
        <f>H25</f>
        <v>2021052</v>
      </c>
      <c r="J23" s="2" t="str">
        <f>IF(COUNTBLANK(Table4101317251247545298684173134138[[SCORE 1]:[SCORE 2]])=0,IF(RANK(I23,$I$17:$I$28)=1,RANK(I23,$I$17:$I$28)&amp;"st",IF(RANK(I23,$I$17:$I$28)=2,RANK(I23,$I$17:$I$28)&amp;"nd",IF(RANK(I23,$I$17:$I$28)=3,RANK(I23,$I$17:$I$28)&amp;"rd",RANK(I23,$I$17:$I$28)&amp;"th"))),"")</f>
        <v>2nd</v>
      </c>
      <c r="K23" s="38" t="str">
        <f>B25</f>
        <v>Gerardo &amp; Marcelo</v>
      </c>
      <c r="L23" s="2" t="str">
        <f>J21</f>
        <v>8th</v>
      </c>
      <c r="M23" s="598">
        <v>2</v>
      </c>
      <c r="N23" s="599"/>
      <c r="O23" s="183" t="s">
        <v>302</v>
      </c>
      <c r="P23" s="183" t="s">
        <v>302</v>
      </c>
      <c r="Q23" s="599">
        <v>7</v>
      </c>
      <c r="R23" s="600"/>
      <c r="V23" s="66"/>
      <c r="W23" s="66"/>
      <c r="X23" s="66"/>
      <c r="Y23" s="66"/>
    </row>
    <row r="24" spans="1:25">
      <c r="A24" s="430" t="s">
        <v>210</v>
      </c>
      <c r="B24" s="171" t="s">
        <v>305</v>
      </c>
      <c r="C24" s="14">
        <f>SUM(COUNTIFS(Table4101317251247545298684173134138[ATHLETE 2],Table61215192731495671100704476136140[[#This Row],[Team]],Table4101317251247545298684173134138[RESULT 12],Table36111418263048555399694375135139[[#Headers],[WIN]]),COUNTIFS(Table4101317251247545298684173134138[ATHLETE 4],Table61215192731495671100704476136140[[#This Row],[Team]],Table4101317251247545298684173134138[RESULT 34],Table36111418263048555399694375135139[[#Headers],[WIN]]))</f>
        <v>1</v>
      </c>
      <c r="D24" s="14">
        <f>SUM(COUNTIFS(Table4101317251247545298684173134138[ATHLETE 2],Table61215192731495671100704476136140[[#This Row],[Team]],Table4101317251247545298684173134138[RESULT 12],Table36111418263048555399694375135139[[#Headers],[LOSE]]),COUNTIFS(Table4101317251247545298684173134138[ATHLETE 4],Table61215192731495671100704476136140[[#This Row],[Team]],Table4101317251247545298684173134138[RESULT 34],Table36111418263048555399694375135139[[#Headers],[LOSE]]))</f>
        <v>2</v>
      </c>
      <c r="E24" s="19">
        <f>SUM(SUMIF(Table4101317251247545298684173134138[ATHLETE 2],Table61215192731495671100704476136140[[#This Row],[Team]],Table4101317251247545298684173134138[SALDO 12]),SUMIF(Table4101317251247545298684173134138[ATHLETE 4],Table61215192731495671100704476136140[[#This Row],[Team]],Table4101317251247545298684173134138[SALDO 34]))</f>
        <v>-3</v>
      </c>
      <c r="F24" s="19">
        <f>SUM(SUMIF(Table4101317251247545298684173134138[ATHLETE 2],Table61215192731495671100704476136140[[#This Row],[Team]],Table4101317251247545298684173134138[PM 12]),SUMIF(Table4101317251247545298684173134138[ATHLETE 4],Table61215192731495671100704476136140[[#This Row],[Team]],Table4101317251247545298684173134138[PM 34]))</f>
        <v>39</v>
      </c>
      <c r="G24" s="14" t="str">
        <f>IF(COUNTBLANK(Table4101317251247545298684173134138[[SCORE 1]:[SCORE 2]])=0,IF(RANK(H24,$H$23:$H$26)=1,RANK(H24,$H$23:$H$26)&amp;"st",IF(RANK(H24,$H$23:$H$26)=2,RANK(H24,$H$23:$H$26)&amp;"nd",RANK(H24,$H$23:$H$26)&amp;"th")),"")</f>
        <v>3th</v>
      </c>
      <c r="H24" s="51">
        <f>Table61215192731495671100704476136140[[#This Row],[WIN]]*1000000+Table61215192731495671100704476136140[[#This Row],[Saldo]]*1000+Table61215192731495671100704476136140[[#This Row],[PM]]</f>
        <v>997039</v>
      </c>
      <c r="I24" s="2">
        <f>H26</f>
        <v>3013054</v>
      </c>
      <c r="J24" s="2" t="str">
        <f>IF(COUNTBLANK(Table4101317251247545298684173134138[[SCORE 1]:[SCORE 2]])=0,IF(RANK(I24,$I$17:$I$28)=1,RANK(I24,$I$17:$I$28)&amp;"st",IF(RANK(I24,$I$17:$I$28)=2,RANK(I24,$I$17:$I$28)&amp;"nd",IF(RANK(I24,$I$17:$I$28)=3,RANK(I24,$I$17:$I$28)&amp;"rd",RANK(I24,$I$17:$I$28)&amp;"th"))),"")</f>
        <v>1st</v>
      </c>
      <c r="K24" s="38" t="str">
        <f>B26</f>
        <v>Matheus &amp; Guina</v>
      </c>
      <c r="L24" s="2" t="str">
        <f t="shared" ref="L24:L26" si="2">J22</f>
        <v>6th</v>
      </c>
      <c r="M24" s="601" t="s">
        <v>297</v>
      </c>
      <c r="N24" s="553"/>
      <c r="O24" s="179" t="s">
        <v>195</v>
      </c>
      <c r="P24" s="181" t="s">
        <v>302</v>
      </c>
      <c r="Q24" s="552" t="s">
        <v>298</v>
      </c>
      <c r="R24" s="602"/>
      <c r="V24" s="66"/>
      <c r="W24" s="66"/>
      <c r="X24" s="66"/>
      <c r="Y24" s="66"/>
    </row>
    <row r="25" spans="1:25">
      <c r="A25" s="430" t="s">
        <v>211</v>
      </c>
      <c r="B25" s="171" t="s">
        <v>306</v>
      </c>
      <c r="C25" s="14">
        <f>SUM(COUNTIFS(Table4101317251247545298684173134138[ATHLETE 2],Table61215192731495671100704476136140[[#This Row],[Team]],Table4101317251247545298684173134138[RESULT 12],Table36111418263048555399694375135139[[#Headers],[WIN]]),COUNTIFS(Table4101317251247545298684173134138[ATHLETE 4],Table61215192731495671100704476136140[[#This Row],[Team]],Table4101317251247545298684173134138[RESULT 34],Table36111418263048555399694375135139[[#Headers],[WIN]]))</f>
        <v>2</v>
      </c>
      <c r="D25" s="14">
        <f>SUM(COUNTIFS(Table4101317251247545298684173134138[ATHLETE 2],Table61215192731495671100704476136140[[#This Row],[Team]],Table4101317251247545298684173134138[RESULT 12],Table36111418263048555399694375135139[[#Headers],[LOSE]]),COUNTIFS(Table4101317251247545298684173134138[ATHLETE 4],Table61215192731495671100704476136140[[#This Row],[Team]],Table4101317251247545298684173134138[RESULT 34],Table36111418263048555399694375135139[[#Headers],[LOSE]]))</f>
        <v>1</v>
      </c>
      <c r="E25" s="19">
        <f>SUM(SUMIF(Table4101317251247545298684173134138[ATHLETE 2],Table61215192731495671100704476136140[[#This Row],[Team]],Table4101317251247545298684173134138[SALDO 12]),SUMIF(Table4101317251247545298684173134138[ATHLETE 4],Table61215192731495671100704476136140[[#This Row],[Team]],Table4101317251247545298684173134138[SALDO 34]))</f>
        <v>21</v>
      </c>
      <c r="F25" s="19">
        <f>SUM(SUMIF(Table4101317251247545298684173134138[ATHLETE 2],Table61215192731495671100704476136140[[#This Row],[Team]],Table4101317251247545298684173134138[PM 12]),SUMIF(Table4101317251247545298684173134138[ATHLETE 4],Table61215192731495671100704476136140[[#This Row],[Team]],Table4101317251247545298684173134138[PM 34]))</f>
        <v>52</v>
      </c>
      <c r="G25" s="14" t="str">
        <f>IF(COUNTBLANK(Table4101317251247545298684173134138[[SCORE 1]:[SCORE 2]])=0,IF(RANK(H25,$H$23:$H$26)=1,RANK(H25,$H$23:$H$26)&amp;"st",IF(RANK(H25,$H$23:$H$26)=2,RANK(H25,$H$23:$H$26)&amp;"nd",RANK(H25,$H$23:$H$26)&amp;"th")),"")</f>
        <v>2nd</v>
      </c>
      <c r="H25" s="51">
        <f>Table61215192731495671100704476136140[[#This Row],[WIN]]*1000000+Table61215192731495671100704476136140[[#This Row],[Saldo]]*1000+Table61215192731495671100704476136140[[#This Row],[PM]]</f>
        <v>2021052</v>
      </c>
      <c r="L25" s="2" t="str">
        <f t="shared" si="2"/>
        <v>2nd</v>
      </c>
      <c r="M25" s="588" t="str" cm="1">
        <f t="array" ref="M25">_xlfn.TEXTJOIN(", ", TRUE, _xlfn._xlws.FILTER($K$17:$K$24, $J$17:$J$24=$U$5, ""))</f>
        <v>Fiorella &amp; Rafa</v>
      </c>
      <c r="N25" s="589"/>
      <c r="O25" s="119">
        <v>18</v>
      </c>
      <c r="P25" s="119">
        <v>9</v>
      </c>
      <c r="Q25" s="590" t="str" cm="1">
        <f t="array" ref="Q25">_xlfn.TEXTJOIN(", ", TRUE, _xlfn._xlws.FILTER($K$17:$K$24, $J$17:$J$24=$U$8, ""))</f>
        <v>Roberta Goulart &amp; João Barreto</v>
      </c>
      <c r="R25" s="591"/>
      <c r="V25" s="66"/>
      <c r="W25" s="66"/>
      <c r="X25" s="66"/>
      <c r="Y25" s="66"/>
    </row>
    <row r="26" spans="1:25">
      <c r="A26" s="430" t="s">
        <v>212</v>
      </c>
      <c r="B26" s="105" t="s">
        <v>307</v>
      </c>
      <c r="C26" s="14">
        <f>SUM(COUNTIFS(Table4101317251247545298684173134138[ATHLETE 2],Table61215192731495671100704476136140[[#This Row],[Team]],Table4101317251247545298684173134138[RESULT 12],Table36111418263048555399694375135139[[#Headers],[WIN]]),COUNTIFS(Table4101317251247545298684173134138[ATHLETE 4],Table61215192731495671100704476136140[[#This Row],[Team]],Table4101317251247545298684173134138[RESULT 34],Table36111418263048555399694375135139[[#Headers],[WIN]]))</f>
        <v>3</v>
      </c>
      <c r="D26" s="14">
        <f>SUM(COUNTIFS(Table4101317251247545298684173134138[ATHLETE 2],Table61215192731495671100704476136140[[#This Row],[Team]],Table4101317251247545298684173134138[RESULT 12],Table36111418263048555399694375135139[[#Headers],[LOSE]]),COUNTIFS(Table4101317251247545298684173134138[ATHLETE 4],Table61215192731495671100704476136140[[#This Row],[Team]],Table4101317251247545298684173134138[RESULT 34],Table36111418263048555399694375135139[[#Headers],[LOSE]]))</f>
        <v>0</v>
      </c>
      <c r="E26" s="19">
        <f>SUM(SUMIF(Table4101317251247545298684173134138[ATHLETE 2],Table61215192731495671100704476136140[[#This Row],[Team]],Table4101317251247545298684173134138[SALDO 12]),SUMIF(Table4101317251247545298684173134138[ATHLETE 4],Table61215192731495671100704476136140[[#This Row],[Team]],Table4101317251247545298684173134138[SALDO 34]))</f>
        <v>13</v>
      </c>
      <c r="F26" s="19">
        <f>SUM(SUMIF(Table4101317251247545298684173134138[ATHLETE 2],Table61215192731495671100704476136140[[#This Row],[Team]],Table4101317251247545298684173134138[PM 12]),SUMIF(Table4101317251247545298684173134138[ATHLETE 4],Table61215192731495671100704476136140[[#This Row],[Team]],Table4101317251247545298684173134138[PM 34]))</f>
        <v>54</v>
      </c>
      <c r="G26" s="14" t="str">
        <f>IF(COUNTBLANK(Table4101317251247545298684173134138[[SCORE 1]:[SCORE 2]])=0,IF(RANK(H26,$H$23:$H$26)=1,RANK(H26,$H$23:$H$26)&amp;"st",IF(RANK(H26,$H$23:$H$26)=2,RANK(H26,$H$23:$H$26)&amp;"nd",RANK(H26,$H$23:$H$26)&amp;"th")),"")</f>
        <v>1st</v>
      </c>
      <c r="H26" s="51">
        <f>Table61215192731495671100704476136140[[#This Row],[WIN]]*1000000+Table61215192731495671100704476136140[[#This Row],[Saldo]]*1000+Table61215192731495671100704476136140[[#This Row],[PM]]</f>
        <v>3013054</v>
      </c>
      <c r="L26" s="2" t="str">
        <f t="shared" si="2"/>
        <v>1st</v>
      </c>
      <c r="M26" s="592" t="str">
        <f>IF(COUNTBLANK($O$17:$P$30)=0,IF(O26="lose",IF(AND($O$18="lose",$O$22="lose"),$U$9,IF(OR($O$18="lose",$O$22="lose"),$U$8,$U$7)),""),"")</f>
        <v/>
      </c>
      <c r="N26" s="593"/>
      <c r="O26" s="2" t="str">
        <f>IF(OR(O25="",P25=""),"",IF((O25&gt;P25),"WIN","LOSE"))</f>
        <v>WIN</v>
      </c>
      <c r="P26" s="2" t="str">
        <f>IF(OR(O25="",P25=""),"",IF((O25&lt;P25),"WIN","LOSE"))</f>
        <v>LOSE</v>
      </c>
      <c r="Q26" s="593" t="str">
        <f>IF(COUNTBLANK($O$17:$P$30)=0,IF(P26="lose",IF(AND($P$18="lose",$P$22="lose"),$U$7,IF(OR($P$18="lose",$P$22="lose"),$U$8,$U$9)),""),"")</f>
        <v>5th</v>
      </c>
      <c r="R26" s="594"/>
      <c r="V26" s="66"/>
      <c r="W26" s="66"/>
      <c r="X26" s="66"/>
      <c r="Y26" s="66"/>
    </row>
    <row r="27" spans="1:25">
      <c r="L27" s="2"/>
      <c r="M27" s="598">
        <v>3</v>
      </c>
      <c r="N27" s="599"/>
      <c r="O27" s="183" t="s">
        <v>302</v>
      </c>
      <c r="P27" s="183" t="s">
        <v>302</v>
      </c>
      <c r="Q27" s="599">
        <v>6</v>
      </c>
      <c r="R27" s="600"/>
      <c r="V27" s="66"/>
      <c r="W27" s="66"/>
      <c r="X27" s="66"/>
      <c r="Y27" s="66"/>
    </row>
    <row r="28" spans="1:25">
      <c r="M28" s="601" t="s">
        <v>297</v>
      </c>
      <c r="N28" s="553"/>
      <c r="O28" s="179" t="s">
        <v>195</v>
      </c>
      <c r="P28" s="181" t="s">
        <v>302</v>
      </c>
      <c r="Q28" s="552" t="s">
        <v>298</v>
      </c>
      <c r="R28" s="602"/>
      <c r="V28" s="66"/>
      <c r="W28" s="66"/>
      <c r="X28" s="66"/>
      <c r="Y28" s="66"/>
    </row>
    <row r="29" spans="1:25">
      <c r="I29" s="2"/>
      <c r="J29" s="2"/>
      <c r="K29" s="2"/>
      <c r="M29" s="588" t="str" cm="1">
        <f t="array" ref="M29">_xlfn.TEXTJOIN(", ", TRUE, _xlfn._xlws.FILTER($K$17:$K$24, $J$17:$J$24=$U$6, ""))</f>
        <v>Hermano &amp; Guti</v>
      </c>
      <c r="N29" s="589"/>
      <c r="O29" s="119">
        <v>18</v>
      </c>
      <c r="P29" s="119">
        <v>16</v>
      </c>
      <c r="Q29" s="590" t="str" cm="1">
        <f t="array" ref="Q29">_xlfn.TEXTJOIN(", ", TRUE, _xlfn._xlws.FILTER($K$17:$K$24, $J$17:$J$24=$U$7, ""))</f>
        <v>Dani and Luka</v>
      </c>
      <c r="R29" s="591"/>
      <c r="V29" s="66"/>
      <c r="W29" s="66"/>
      <c r="X29" s="66"/>
      <c r="Y29" s="66"/>
    </row>
    <row r="30" spans="1:25">
      <c r="I30" s="2"/>
      <c r="J30" s="2"/>
      <c r="K30" s="2"/>
      <c r="M30" s="592" t="str">
        <f>IF(COUNTBLANK($O$17:$P$30)=0,IF(O30="lose",IF(COUNTIF(O18:O26,"lose")=3,$U$10,IF(COUNTIF(O18:O26,"lose")=2,U9,IF(COUNTIF(O18:O26,"lose")=1,U8,U7))),""),"")</f>
        <v/>
      </c>
      <c r="N30" s="593"/>
      <c r="O30" s="2" t="str">
        <f>IF(OR(O29="",P29=""),"",IF((O29&gt;P29),"WIN","LOSE"))</f>
        <v>WIN</v>
      </c>
      <c r="P30" s="2" t="str">
        <f>IF(OR(O29="",P29=""),"",IF((O29&lt;P29),"WIN","LOSE"))</f>
        <v>LOSE</v>
      </c>
      <c r="Q30" s="593" t="str">
        <f>IF(COUNTBLANK($O$17:$P$30)=0,IF(P30="lose",IF(COUNTIF(O18:O26,"lose")=3,$U$10,IF(COUNTIF(O18:O26,"lose")=2,U9,IF(COUNTIF(O18:O26,"lose")=1,U8,U7))),""),"")</f>
        <v>5th</v>
      </c>
      <c r="R30" s="594"/>
      <c r="U30">
        <f>COUNTIF(O17:O26,"lose")</f>
        <v>0</v>
      </c>
      <c r="V30" s="66"/>
      <c r="W30" s="66"/>
      <c r="X30" s="66"/>
      <c r="Y30" s="66"/>
    </row>
    <row r="31" spans="1:25" ht="15.95" thickBot="1">
      <c r="I31" s="2"/>
      <c r="J31" s="2"/>
      <c r="K31" s="2"/>
      <c r="M31" s="595">
        <v>4</v>
      </c>
      <c r="N31" s="596"/>
      <c r="O31" s="184" t="s">
        <v>302</v>
      </c>
      <c r="P31" s="184" t="s">
        <v>302</v>
      </c>
      <c r="Q31" s="596">
        <v>5</v>
      </c>
      <c r="R31" s="597"/>
      <c r="V31" s="66"/>
      <c r="W31" s="66"/>
      <c r="X31" s="66"/>
      <c r="Y31" s="66"/>
    </row>
    <row r="32" spans="1:25" ht="29.1">
      <c r="I32" s="2"/>
      <c r="J32" s="2"/>
      <c r="K32" s="2"/>
      <c r="M32" s="560" t="s">
        <v>199</v>
      </c>
      <c r="N32" s="561"/>
      <c r="O32" s="561"/>
      <c r="P32" s="561"/>
      <c r="Q32" s="561"/>
      <c r="R32" s="562"/>
      <c r="V32" s="66"/>
      <c r="W32" s="66"/>
      <c r="X32" s="66"/>
      <c r="Y32" s="66"/>
    </row>
    <row r="33" spans="1:25" ht="15.95" thickBot="1">
      <c r="M33" s="563" t="s">
        <v>193</v>
      </c>
      <c r="N33" s="543"/>
      <c r="O33" s="177" t="s">
        <v>195</v>
      </c>
      <c r="P33" s="182" t="s">
        <v>302</v>
      </c>
      <c r="Q33" s="542" t="s">
        <v>196</v>
      </c>
      <c r="R33" s="564"/>
      <c r="T33" s="66"/>
      <c r="U33" s="66"/>
      <c r="V33" s="66"/>
      <c r="W33" s="66"/>
      <c r="X33" s="66"/>
      <c r="Y33" s="66"/>
    </row>
    <row r="34" spans="1:25" ht="15.95" thickBot="1">
      <c r="A34" s="123" t="s">
        <v>218</v>
      </c>
      <c r="B34" s="124">
        <v>45814</v>
      </c>
      <c r="M34" s="581" t="str">
        <f>IF(COUNTBLANK($O$17:$P$30)&lt;&gt;0,"",IF($O$18="win",M17,Q17))</f>
        <v>Matheus &amp; Guina</v>
      </c>
      <c r="N34" s="582"/>
      <c r="O34" s="119">
        <v>19</v>
      </c>
      <c r="P34" s="120">
        <v>17</v>
      </c>
      <c r="Q34" s="583" t="str">
        <f>IF(COUNTBLANK($O$17:$P$30)&lt;&gt;0,"",IF($O$30="win",M29,Q29))</f>
        <v>Hermano &amp; Guti</v>
      </c>
      <c r="R34" s="584"/>
      <c r="T34" s="66"/>
      <c r="U34" s="66"/>
      <c r="V34" s="66"/>
      <c r="W34" s="66"/>
      <c r="X34" s="66"/>
      <c r="Y34" s="66"/>
    </row>
    <row r="35" spans="1:25">
      <c r="M35" s="572"/>
      <c r="N35" s="573"/>
      <c r="O35" s="2" t="str">
        <f>IF(OR(O34="",P34=""),"",IF((O34&gt;P34),"WIN","LOSE"))</f>
        <v>WIN</v>
      </c>
      <c r="P35" s="2" t="str">
        <f>IF(OR(O34="",P34=""),"",IF((O34&lt;P34),"WIN","LOSE"))</f>
        <v>LOSE</v>
      </c>
      <c r="Q35" s="573"/>
      <c r="R35" s="574"/>
      <c r="T35" s="66"/>
      <c r="U35" s="66"/>
      <c r="V35" s="66"/>
      <c r="W35" s="66"/>
      <c r="X35" s="66"/>
      <c r="Y35" s="66"/>
    </row>
    <row r="36" spans="1:25">
      <c r="M36" s="578">
        <v>18</v>
      </c>
      <c r="N36" s="579"/>
      <c r="O36" s="185" t="s">
        <v>302</v>
      </c>
      <c r="P36" s="185" t="s">
        <v>302</v>
      </c>
      <c r="Q36" s="579">
        <v>45</v>
      </c>
      <c r="R36" s="580"/>
      <c r="T36" s="66"/>
      <c r="U36" s="66"/>
      <c r="V36" s="66"/>
      <c r="W36" s="66"/>
      <c r="X36" s="66"/>
      <c r="Y36" s="66"/>
    </row>
    <row r="37" spans="1:25">
      <c r="M37" s="563" t="s">
        <v>193</v>
      </c>
      <c r="N37" s="543"/>
      <c r="O37" s="177" t="s">
        <v>195</v>
      </c>
      <c r="P37" s="178" t="s">
        <v>302</v>
      </c>
      <c r="Q37" s="542" t="s">
        <v>196</v>
      </c>
      <c r="R37" s="564"/>
      <c r="T37" s="66"/>
      <c r="U37" s="66"/>
      <c r="V37" s="66"/>
      <c r="W37" s="66"/>
      <c r="X37" s="66"/>
      <c r="Y37" s="66"/>
    </row>
    <row r="38" spans="1:25">
      <c r="M38" s="581" t="str">
        <f>IF(COUNTBLANK($O$17:$P$30)&lt;&gt;0,"",IF($O$22="win",M21,Q21))</f>
        <v>Gerardo &amp; Marcelo</v>
      </c>
      <c r="N38" s="582"/>
      <c r="O38" s="119">
        <v>9</v>
      </c>
      <c r="P38" s="120">
        <v>18</v>
      </c>
      <c r="Q38" s="583" t="str">
        <f>IF(COUNTBLANK($O$17:$P$30)&lt;&gt;0,"",IF($O$26="win",M25,Q25))</f>
        <v>Fiorella &amp; Rafa</v>
      </c>
      <c r="R38" s="584"/>
      <c r="T38" s="66"/>
      <c r="U38" s="66"/>
      <c r="V38" s="66"/>
      <c r="W38" s="66"/>
      <c r="X38" s="66"/>
    </row>
    <row r="39" spans="1:25">
      <c r="M39" s="572"/>
      <c r="N39" s="573"/>
      <c r="O39" s="2" t="str">
        <f>IF(OR(O38="",P38=""),"",IF((O38&gt;P38),"WIN","LOSE"))</f>
        <v>LOSE</v>
      </c>
      <c r="P39" s="2" t="str">
        <f>IF(OR(O38="",P38=""),"",IF((O38&lt;P38),"WIN","LOSE"))</f>
        <v>WIN</v>
      </c>
      <c r="Q39" s="573"/>
      <c r="R39" s="574"/>
    </row>
    <row r="40" spans="1:25" ht="15.95" thickBot="1">
      <c r="M40" s="585">
        <v>27</v>
      </c>
      <c r="N40" s="586"/>
      <c r="O40" s="186" t="s">
        <v>302</v>
      </c>
      <c r="P40" s="186" t="s">
        <v>302</v>
      </c>
      <c r="Q40" s="586">
        <v>36</v>
      </c>
      <c r="R40" s="587"/>
    </row>
    <row r="41" spans="1:25" ht="29.1" customHeight="1">
      <c r="M41" s="560" t="s">
        <v>308</v>
      </c>
      <c r="N41" s="561"/>
      <c r="O41" s="561"/>
      <c r="P41" s="561"/>
      <c r="Q41" s="561"/>
      <c r="R41" s="562"/>
    </row>
    <row r="42" spans="1:25">
      <c r="M42" s="563" t="s">
        <v>193</v>
      </c>
      <c r="N42" s="543"/>
      <c r="O42" s="417" t="s">
        <v>195</v>
      </c>
      <c r="P42" s="418"/>
      <c r="Q42" s="542" t="s">
        <v>196</v>
      </c>
      <c r="R42" s="564"/>
    </row>
    <row r="43" spans="1:25">
      <c r="M43" s="565" t="str">
        <f>IF(COUNTBLANK($O$34:$P$40)&lt;&gt;0,"",IF($O$35="lose",M34,Q34))</f>
        <v>Hermano &amp; Guti</v>
      </c>
      <c r="N43" s="566"/>
      <c r="O43" s="119">
        <v>9</v>
      </c>
      <c r="P43" s="119">
        <v>18</v>
      </c>
      <c r="Q43" s="567" t="str">
        <f>IF(COUNTBLANK($O$34:$P$40)&lt;&gt;0,"",IF($O$39="lose",M38,Q38))</f>
        <v>Gerardo &amp; Marcelo</v>
      </c>
      <c r="R43" s="568"/>
    </row>
    <row r="44" spans="1:25">
      <c r="M44" s="572" t="str">
        <f>IF(COUNTBLANK(O43:P43)&lt;&gt;0,"",IF($O$44="lose",$U$6,$U$5))</f>
        <v>4th</v>
      </c>
      <c r="N44" s="573"/>
      <c r="O44" s="2" t="str">
        <f>IF(OR(O43="",P43=""),"",IF((O43&gt;P43),"WIN","LOSE"))</f>
        <v>LOSE</v>
      </c>
      <c r="P44" s="2" t="str">
        <f>IF(OR(O43="",P43=""),"",IF((O43&lt;P43),"WIN","LOSE"))</f>
        <v>WIN</v>
      </c>
      <c r="Q44" s="573" t="str">
        <f>IF(COUNTBLANK(O43:P43)&lt;&gt;0,"",IF($P$44="lose",$U$6,$U$5))</f>
        <v>3rd</v>
      </c>
      <c r="R44" s="574"/>
    </row>
    <row r="45" spans="1:25" ht="15.95" thickBot="1">
      <c r="M45" s="575"/>
      <c r="N45" s="576"/>
      <c r="O45" s="186" t="s">
        <v>302</v>
      </c>
      <c r="P45" s="186" t="s">
        <v>302</v>
      </c>
      <c r="Q45" s="576"/>
      <c r="R45" s="577"/>
    </row>
    <row r="46" spans="1:25" ht="30" customHeight="1">
      <c r="M46" s="560" t="s">
        <v>200</v>
      </c>
      <c r="N46" s="561"/>
      <c r="O46" s="561"/>
      <c r="P46" s="561"/>
      <c r="Q46" s="561"/>
      <c r="R46" s="562"/>
    </row>
    <row r="47" spans="1:25">
      <c r="M47" s="563" t="s">
        <v>193</v>
      </c>
      <c r="N47" s="543"/>
      <c r="O47" s="417" t="s">
        <v>195</v>
      </c>
      <c r="P47" s="418"/>
      <c r="Q47" s="542" t="s">
        <v>196</v>
      </c>
      <c r="R47" s="564"/>
    </row>
    <row r="48" spans="1:25">
      <c r="M48" s="565" t="str">
        <f>IF(COUNTBLANK($O$34:$P$40)&lt;&gt;0,"",IF($O$35="win",M34,Q34))</f>
        <v>Matheus &amp; Guina</v>
      </c>
      <c r="N48" s="566"/>
      <c r="O48" s="119"/>
      <c r="P48" s="119"/>
      <c r="Q48" s="567" t="str">
        <f>IF(COUNTBLANK($O$34:$P$40)&lt;&gt;0,"",IF($O$39="win",M38,Q38))</f>
        <v>Fiorella &amp; Rafa</v>
      </c>
      <c r="R48" s="568"/>
    </row>
    <row r="49" spans="13:18" ht="15.95" thickBot="1">
      <c r="M49" s="569" t="str">
        <f>IF(COUNTBLANK(O48:P48)&lt;&gt;0,"",IF($O$49="lose",$U$4,$U$3))</f>
        <v/>
      </c>
      <c r="N49" s="570"/>
      <c r="O49" s="187" t="str">
        <f>IF(OR(O48="",P48=""),"",IF((O48&gt;P48),"WIN","LOSE"))</f>
        <v/>
      </c>
      <c r="P49" s="187" t="str">
        <f>IF(OR(O48="",P48=""),"",IF((O48&lt;P48),"WIN","LOSE"))</f>
        <v/>
      </c>
      <c r="Q49" s="570" t="str">
        <f>IF(COUNTBLANK(O48:P48)&lt;&gt;0,"",IF($P$49="lose",$U$4,$U$3))</f>
        <v/>
      </c>
      <c r="R49" s="571"/>
    </row>
    <row r="50" spans="13:18">
      <c r="M50" s="559"/>
      <c r="N50" s="559"/>
      <c r="Q50" s="559"/>
      <c r="R50" s="559"/>
    </row>
  </sheetData>
  <sheetProtection algorithmName="SHA-512" hashValue="U5nB0+48rwYMVfbCSZl1aFJ16l4MUwurhzSkDR9bLfROPVYKDXWmKCt/9ZNX3DIFQfAXzVIobd+GsxBHC4Hc9A==" saltValue="A3KNjQ+QvYNRivytzM2QzA==" spinCount="100000" sheet="1" objects="1" scenarios="1"/>
  <mergeCells count="71">
    <mergeCell ref="A1:A13"/>
    <mergeCell ref="T1:U1"/>
    <mergeCell ref="A15:G15"/>
    <mergeCell ref="M15:R15"/>
    <mergeCell ref="M16:N16"/>
    <mergeCell ref="Q16:R16"/>
    <mergeCell ref="M17:N17"/>
    <mergeCell ref="Q17:R17"/>
    <mergeCell ref="M18:N18"/>
    <mergeCell ref="Q18:R18"/>
    <mergeCell ref="M19:N19"/>
    <mergeCell ref="Q19:R19"/>
    <mergeCell ref="M20:N20"/>
    <mergeCell ref="Q20:R20"/>
    <mergeCell ref="M21:N21"/>
    <mergeCell ref="Q21:R21"/>
    <mergeCell ref="M22:N22"/>
    <mergeCell ref="Q22:R22"/>
    <mergeCell ref="M23:N23"/>
    <mergeCell ref="Q23:R23"/>
    <mergeCell ref="M24:N24"/>
    <mergeCell ref="Q24:R24"/>
    <mergeCell ref="M25:N25"/>
    <mergeCell ref="Q25:R25"/>
    <mergeCell ref="M26:N26"/>
    <mergeCell ref="Q26:R26"/>
    <mergeCell ref="M27:N27"/>
    <mergeCell ref="Q27:R27"/>
    <mergeCell ref="M28:N28"/>
    <mergeCell ref="Q28:R28"/>
    <mergeCell ref="M35:N35"/>
    <mergeCell ref="Q35:R35"/>
    <mergeCell ref="M29:N29"/>
    <mergeCell ref="Q29:R29"/>
    <mergeCell ref="M30:N30"/>
    <mergeCell ref="Q30:R30"/>
    <mergeCell ref="M31:N31"/>
    <mergeCell ref="Q31:R31"/>
    <mergeCell ref="M32:R32"/>
    <mergeCell ref="M33:N33"/>
    <mergeCell ref="Q33:R33"/>
    <mergeCell ref="M34:N34"/>
    <mergeCell ref="Q34:R34"/>
    <mergeCell ref="M42:N42"/>
    <mergeCell ref="Q42:R42"/>
    <mergeCell ref="M36:N36"/>
    <mergeCell ref="Q36:R36"/>
    <mergeCell ref="M37:N37"/>
    <mergeCell ref="Q37:R37"/>
    <mergeCell ref="M38:N38"/>
    <mergeCell ref="Q38:R38"/>
    <mergeCell ref="M39:N39"/>
    <mergeCell ref="Q39:R39"/>
    <mergeCell ref="M40:N40"/>
    <mergeCell ref="Q40:R40"/>
    <mergeCell ref="M41:R41"/>
    <mergeCell ref="M43:N43"/>
    <mergeCell ref="Q43:R43"/>
    <mergeCell ref="M44:N44"/>
    <mergeCell ref="Q44:R44"/>
    <mergeCell ref="M45:N45"/>
    <mergeCell ref="Q45:R45"/>
    <mergeCell ref="M50:N50"/>
    <mergeCell ref="Q50:R50"/>
    <mergeCell ref="M46:R46"/>
    <mergeCell ref="M47:N47"/>
    <mergeCell ref="Q47:R47"/>
    <mergeCell ref="M48:N48"/>
    <mergeCell ref="Q48:R48"/>
    <mergeCell ref="M49:N49"/>
    <mergeCell ref="Q49:R49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3007-30AB-414D-85D3-CE9CB93D2340}">
  <sheetPr codeName="Sheet17"/>
  <dimension ref="A1:Y43"/>
  <sheetViews>
    <sheetView workbookViewId="0">
      <selection sqref="A1:A22"/>
    </sheetView>
    <sheetView workbookViewId="1">
      <selection sqref="A1:A22"/>
    </sheetView>
  </sheetViews>
  <sheetFormatPr defaultColWidth="8.85546875" defaultRowHeight="15"/>
  <cols>
    <col min="1" max="1" width="10.7109375" style="44" customWidth="1"/>
    <col min="2" max="4" width="20" style="44" customWidth="1"/>
    <col min="5" max="6" width="10.7109375" style="44" customWidth="1"/>
    <col min="7" max="7" width="20" style="44" customWidth="1"/>
    <col min="8" max="8" width="11.28515625" style="44" customWidth="1"/>
    <col min="9" max="9" width="12" style="44" hidden="1" customWidth="1"/>
    <col min="10" max="10" width="10.7109375" style="44" hidden="1" customWidth="1"/>
    <col min="11" max="11" width="14" style="44" hidden="1" customWidth="1"/>
    <col min="12" max="12" width="20" style="44" hidden="1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5" ht="15" customHeight="1">
      <c r="A1" s="551" t="s">
        <v>309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310</v>
      </c>
      <c r="H1" s="43" t="s">
        <v>166</v>
      </c>
      <c r="I1" s="43" t="s">
        <v>167</v>
      </c>
      <c r="J1" s="43" t="s">
        <v>168</v>
      </c>
      <c r="K1" s="43" t="s">
        <v>169</v>
      </c>
      <c r="L1" s="43" t="s">
        <v>178</v>
      </c>
      <c r="M1" s="43" t="s">
        <v>170</v>
      </c>
      <c r="N1" s="43" t="s">
        <v>171</v>
      </c>
      <c r="O1" s="43" t="s">
        <v>172</v>
      </c>
      <c r="P1" s="43" t="s">
        <v>173</v>
      </c>
      <c r="Q1" s="43" t="s">
        <v>174</v>
      </c>
      <c r="R1" s="43" t="s">
        <v>175</v>
      </c>
      <c r="S1" s="43" t="s">
        <v>176</v>
      </c>
      <c r="U1" s="544" t="s">
        <v>311</v>
      </c>
      <c r="V1" s="545"/>
      <c r="X1" s="44" t="str">
        <f>B26</f>
        <v>Kylie</v>
      </c>
      <c r="Y1" s="44">
        <f>COUNTIF(Games_2116[[ATHLETE 1]:[ATHLETE 4]],X1)</f>
        <v>6</v>
      </c>
    </row>
    <row r="2" spans="1:25" ht="15" customHeight="1">
      <c r="A2" s="551"/>
      <c r="B2" s="430">
        <v>1</v>
      </c>
      <c r="C2" s="2" t="str">
        <f>$B$30</f>
        <v>Tabata</v>
      </c>
      <c r="D2" s="38" t="str">
        <f>$B$32</f>
        <v>Guti</v>
      </c>
      <c r="E2" s="100">
        <v>20</v>
      </c>
      <c r="F2" s="101">
        <v>18</v>
      </c>
      <c r="G2" s="105"/>
      <c r="H2" s="135" t="str">
        <f>$B$35</f>
        <v>Edgar</v>
      </c>
      <c r="I2" s="135"/>
      <c r="J2" s="135"/>
      <c r="K2" s="135"/>
      <c r="L2" s="135"/>
      <c r="M2" s="67" t="str">
        <f>$B$38</f>
        <v>Mariana Venancio</v>
      </c>
      <c r="N2" s="430">
        <f>IF(OR(Games_2116[[#This Row],[SCORE 1]]="",Games_2116[[#This Row],[SCORE 2]]=""),"",Games_2116[[#This Row],[SCORE 1]]-Games_2116[[#This Row],[SCORE 2]])</f>
        <v>2</v>
      </c>
      <c r="O2" s="430">
        <f>IF(OR(Games_2116[[#This Row],[SCORE 1]]="",Games_2116[[#This Row],[SCORE 2]]=""),"",Games_2116[[#This Row],[SCORE 2]]-Games_2116[[#This Row],[SCORE 1]])</f>
        <v>-2</v>
      </c>
      <c r="P2" s="430">
        <f>IF(Games_2116[[#This Row],[SCORE 1]]="","",Games_2116[[#This Row],[SCORE 1]])</f>
        <v>20</v>
      </c>
      <c r="Q2" s="430">
        <f>IF(Games_2116[[#This Row],[SCORE 2]]="","",Games_2116[[#This Row],[SCORE 2]])</f>
        <v>18</v>
      </c>
      <c r="R2" s="430" t="str">
        <f>IF(OR(Games_2116[[#This Row],[SCORE 1]]="",Games_2116[[#This Row],[SCORE 2]]=""),"",IF(Games_2116[[#This Row],[SALDO 12]]&gt;0, "WIN","LOSE"))</f>
        <v>WIN</v>
      </c>
      <c r="S2" s="430" t="str">
        <f>IF(OR(Games_2116[[#This Row],[SCORE 2]]="",Games_2116[[#This Row],[SCORE 1]]=""),"",IF(Games_2116[[#This Row],[SALDO 34]]&gt;0, "WIN","LOSE"))</f>
        <v>LOSE</v>
      </c>
      <c r="U2" s="35" t="s">
        <v>179</v>
      </c>
      <c r="V2" s="35" t="s">
        <v>8</v>
      </c>
      <c r="X2" s="44" t="str">
        <f t="shared" ref="X2:X7" si="0">B27</f>
        <v>Will</v>
      </c>
      <c r="Y2" s="44">
        <f>COUNTIF(Games_2116[[ATHLETE 1]:[ATHLETE 4]],X2)</f>
        <v>6</v>
      </c>
    </row>
    <row r="3" spans="1:25">
      <c r="A3" s="551"/>
      <c r="B3" s="430">
        <v>2</v>
      </c>
      <c r="C3" s="2" t="str">
        <f>$B$31</f>
        <v>Chris</v>
      </c>
      <c r="D3" s="38" t="str">
        <f>$B$29</f>
        <v>Thor</v>
      </c>
      <c r="E3" s="100">
        <v>15</v>
      </c>
      <c r="F3" s="101">
        <v>18</v>
      </c>
      <c r="G3" s="105"/>
      <c r="H3" s="135" t="str">
        <f>$B$36</f>
        <v>Mariana Meirelles</v>
      </c>
      <c r="I3" s="135"/>
      <c r="J3" s="135"/>
      <c r="K3" s="135"/>
      <c r="L3" s="135"/>
      <c r="M3" s="67" t="str">
        <f>$B$40</f>
        <v>Talita</v>
      </c>
      <c r="N3" s="430">
        <f>IF(OR(Games_2116[[#This Row],[SCORE 1]]="",Games_2116[[#This Row],[SCORE 2]]=""),"",Games_2116[[#This Row],[SCORE 1]]-Games_2116[[#This Row],[SCORE 2]])</f>
        <v>-3</v>
      </c>
      <c r="O3" s="430">
        <f>IF(OR(Games_2116[[#This Row],[SCORE 1]]="",Games_2116[[#This Row],[SCORE 2]]=""),"",Games_2116[[#This Row],[SCORE 2]]-Games_2116[[#This Row],[SCORE 1]])</f>
        <v>3</v>
      </c>
      <c r="P3" s="430">
        <f>IF(Games_2116[[#This Row],[SCORE 1]]="","",Games_2116[[#This Row],[SCORE 1]])</f>
        <v>15</v>
      </c>
      <c r="Q3" s="430">
        <f>IF(Games_2116[[#This Row],[SCORE 2]]="","",Games_2116[[#This Row],[SCORE 2]])</f>
        <v>18</v>
      </c>
      <c r="R3" s="430" t="str">
        <f>IF(OR(Games_2116[[#This Row],[SCORE 1]]="",Games_2116[[#This Row],[SCORE 2]]=""),"",IF(Games_2116[[#This Row],[SALDO 12]]&gt;0, "WIN","LOSE"))</f>
        <v>LOSE</v>
      </c>
      <c r="S3" s="430" t="str">
        <f>IF(OR(Games_2116[[#This Row],[SCORE 2]]="",Games_2116[[#This Row],[SCORE 1]]=""),"",IF(Games_2116[[#This Row],[SALDO 34]]&gt;0, "WIN","LOSE"))</f>
        <v>WIN</v>
      </c>
      <c r="U3" s="2" t="str">
        <f>IFERROR(_xlfn.XLOOKUP(Table157223544789133510118[[#This Row],[Rank]],$M$27:$R$27,$M$26:$R$26),"")</f>
        <v/>
      </c>
      <c r="V3" s="2" t="s">
        <v>19</v>
      </c>
      <c r="X3" s="44" t="str">
        <f t="shared" si="0"/>
        <v>Rebecca</v>
      </c>
      <c r="Y3" s="44">
        <f>COUNTIF(Games_2116[[ATHLETE 1]:[ATHLETE 4]],X3)</f>
        <v>6</v>
      </c>
    </row>
    <row r="4" spans="1:25">
      <c r="A4" s="551"/>
      <c r="B4" s="430">
        <v>3</v>
      </c>
      <c r="C4" s="2" t="str">
        <f>$B$26</f>
        <v>Kylie</v>
      </c>
      <c r="D4" s="38" t="str">
        <f>$B$29</f>
        <v>Thor</v>
      </c>
      <c r="E4" s="100">
        <v>4</v>
      </c>
      <c r="F4" s="101">
        <v>18</v>
      </c>
      <c r="G4" s="105"/>
      <c r="H4" s="135" t="str">
        <f>$B$36</f>
        <v>Mariana Meirelles</v>
      </c>
      <c r="I4" s="135"/>
      <c r="J4" s="135"/>
      <c r="K4" s="135"/>
      <c r="L4" s="135"/>
      <c r="M4" s="67" t="str">
        <f>$B$37</f>
        <v>Matheus T.</v>
      </c>
      <c r="N4" s="430">
        <f>IF(OR(Games_2116[[#This Row],[SCORE 1]]="",Games_2116[[#This Row],[SCORE 2]]=""),"",Games_2116[[#This Row],[SCORE 1]]-Games_2116[[#This Row],[SCORE 2]])</f>
        <v>-14</v>
      </c>
      <c r="O4" s="430">
        <f>IF(OR(Games_2116[[#This Row],[SCORE 1]]="",Games_2116[[#This Row],[SCORE 2]]=""),"",Games_2116[[#This Row],[SCORE 2]]-Games_2116[[#This Row],[SCORE 1]])</f>
        <v>14</v>
      </c>
      <c r="P4" s="430">
        <f>IF(Games_2116[[#This Row],[SCORE 1]]="","",Games_2116[[#This Row],[SCORE 1]])</f>
        <v>4</v>
      </c>
      <c r="Q4" s="430">
        <f>IF(Games_2116[[#This Row],[SCORE 2]]="","",Games_2116[[#This Row],[SCORE 2]])</f>
        <v>18</v>
      </c>
      <c r="R4" s="430" t="str">
        <f>IF(OR(Games_2116[[#This Row],[SCORE 1]]="",Games_2116[[#This Row],[SCORE 2]]=""),"",IF(Games_2116[[#This Row],[SALDO 12]]&gt;0, "WIN","LOSE"))</f>
        <v>LOSE</v>
      </c>
      <c r="S4" s="430" t="str">
        <f>IF(OR(Games_2116[[#This Row],[SCORE 2]]="",Games_2116[[#This Row],[SCORE 1]]=""),"",IF(Games_2116[[#This Row],[SALDO 34]]&gt;0, "WIN","LOSE"))</f>
        <v>WIN</v>
      </c>
      <c r="U4" s="2" t="str">
        <f>IFERROR(_xlfn.XLOOKUP(Table157223544789133510118[[#This Row],[Rank]],$M$27:$R$27,$M$26:$R$26),"")</f>
        <v/>
      </c>
      <c r="V4" s="2" t="s">
        <v>22</v>
      </c>
      <c r="X4" s="44" t="str">
        <f t="shared" si="0"/>
        <v>Thor</v>
      </c>
      <c r="Y4" s="44">
        <f>COUNTIF(Games_2116[[ATHLETE 1]:[ATHLETE 4]],X4)</f>
        <v>6</v>
      </c>
    </row>
    <row r="5" spans="1:25">
      <c r="A5" s="551"/>
      <c r="B5" s="430">
        <v>4</v>
      </c>
      <c r="C5" s="2" t="str">
        <f>$B$31</f>
        <v>Chris</v>
      </c>
      <c r="D5" s="38" t="str">
        <f>$B$28</f>
        <v>Rebecca</v>
      </c>
      <c r="E5" s="100">
        <v>18</v>
      </c>
      <c r="F5" s="101">
        <v>5</v>
      </c>
      <c r="G5" s="105"/>
      <c r="H5" s="135" t="str">
        <f>$B$38</f>
        <v>Mariana Venancio</v>
      </c>
      <c r="I5" s="135"/>
      <c r="J5" s="135"/>
      <c r="K5" s="135"/>
      <c r="L5" s="135"/>
      <c r="M5" s="67" t="str">
        <f>$B$39</f>
        <v>Marie</v>
      </c>
      <c r="N5" s="11">
        <f>IF(OR(Games_2116[[#This Row],[SCORE 1]]="",Games_2116[[#This Row],[SCORE 2]]=""),"",Games_2116[[#This Row],[SCORE 1]]-Games_2116[[#This Row],[SCORE 2]])</f>
        <v>13</v>
      </c>
      <c r="O5" s="430">
        <f>IF(OR(Games_2116[[#This Row],[SCORE 1]]="",Games_2116[[#This Row],[SCORE 2]]=""),"",Games_2116[[#This Row],[SCORE 2]]-Games_2116[[#This Row],[SCORE 1]])</f>
        <v>-13</v>
      </c>
      <c r="P5" s="430">
        <f>IF(Games_2116[[#This Row],[SCORE 1]]="","",Games_2116[[#This Row],[SCORE 1]])</f>
        <v>18</v>
      </c>
      <c r="Q5" s="430">
        <f>IF(Games_2116[[#This Row],[SCORE 2]]="","",Games_2116[[#This Row],[SCORE 2]])</f>
        <v>5</v>
      </c>
      <c r="R5" s="430" t="str">
        <f>IF(OR(Games_2116[[#This Row],[SCORE 1]]="",Games_2116[[#This Row],[SCORE 2]]=""),"",IF(Games_2116[[#This Row],[SALDO 12]]&gt;0, "WIN","LOSE"))</f>
        <v>WIN</v>
      </c>
      <c r="S5" s="430" t="str">
        <f>IF(OR(Games_2116[[#This Row],[SCORE 2]]="",Games_2116[[#This Row],[SCORE 1]]=""),"",IF(Games_2116[[#This Row],[SALDO 34]]&gt;0, "WIN","LOSE"))</f>
        <v>LOSE</v>
      </c>
      <c r="U5" s="2"/>
      <c r="V5" s="2" t="s">
        <v>25</v>
      </c>
      <c r="X5" s="44" t="str">
        <f t="shared" si="0"/>
        <v>Tabata</v>
      </c>
      <c r="Y5" s="44">
        <f>COUNTIF(Games_2116[[ATHLETE 1]:[ATHLETE 4]],X5)</f>
        <v>6</v>
      </c>
    </row>
    <row r="6" spans="1:25">
      <c r="A6" s="551"/>
      <c r="B6" s="430">
        <v>5</v>
      </c>
      <c r="C6" s="2" t="str">
        <f>$B$26</f>
        <v>Kylie</v>
      </c>
      <c r="D6" s="38" t="str">
        <f>$B$31</f>
        <v>Chris</v>
      </c>
      <c r="E6" s="100">
        <v>13</v>
      </c>
      <c r="F6" s="101">
        <v>18</v>
      </c>
      <c r="G6" s="105"/>
      <c r="H6" s="135" t="str">
        <f>$B$38</f>
        <v>Mariana Venancio</v>
      </c>
      <c r="I6" s="135"/>
      <c r="J6" s="135"/>
      <c r="K6" s="135"/>
      <c r="L6" s="135"/>
      <c r="M6" s="67" t="str">
        <f>$B$41</f>
        <v>Zak</v>
      </c>
      <c r="N6" s="2">
        <f>IF(OR(Games_2116[[#This Row],[SCORE 1]]="",Games_2116[[#This Row],[SCORE 2]]=""),"",Games_2116[[#This Row],[SCORE 1]]-Games_2116[[#This Row],[SCORE 2]])</f>
        <v>-5</v>
      </c>
      <c r="O6" s="430">
        <f>IF(OR(Games_2116[[#This Row],[SCORE 1]]="",Games_2116[[#This Row],[SCORE 2]]=""),"",Games_2116[[#This Row],[SCORE 2]]-Games_2116[[#This Row],[SCORE 1]])</f>
        <v>5</v>
      </c>
      <c r="P6" s="430">
        <f>IF(Games_2116[[#This Row],[SCORE 1]]="","",Games_2116[[#This Row],[SCORE 1]])</f>
        <v>13</v>
      </c>
      <c r="Q6" s="430">
        <f>IF(Games_2116[[#This Row],[SCORE 2]]="","",Games_2116[[#This Row],[SCORE 2]])</f>
        <v>18</v>
      </c>
      <c r="R6" s="430" t="str">
        <f>IF(OR(Games_2116[[#This Row],[SCORE 1]]="",Games_2116[[#This Row],[SCORE 2]]=""),"",IF(Games_2116[[#This Row],[SALDO 12]]&gt;0, "WIN","LOSE"))</f>
        <v>LOSE</v>
      </c>
      <c r="S6" s="430" t="str">
        <f>IF(OR(Games_2116[[#This Row],[SCORE 2]]="",Games_2116[[#This Row],[SCORE 1]]=""),"",IF(Games_2116[[#This Row],[SALDO 34]]&gt;0, "WIN","LOSE"))</f>
        <v>WIN</v>
      </c>
      <c r="U6" s="2"/>
      <c r="V6" s="2" t="s">
        <v>28</v>
      </c>
      <c r="X6" s="44" t="str">
        <f t="shared" si="0"/>
        <v>Chris</v>
      </c>
      <c r="Y6" s="44">
        <f>COUNTIF(Games_2116[[ATHLETE 1]:[ATHLETE 4]],X6)</f>
        <v>6</v>
      </c>
    </row>
    <row r="7" spans="1:25">
      <c r="A7" s="551"/>
      <c r="B7" s="430">
        <v>6</v>
      </c>
      <c r="C7" s="2" t="str">
        <f>$B$29</f>
        <v>Thor</v>
      </c>
      <c r="D7" s="38" t="str">
        <f>$B$28</f>
        <v>Rebecca</v>
      </c>
      <c r="E7" s="100">
        <v>12</v>
      </c>
      <c r="F7" s="101">
        <v>18</v>
      </c>
      <c r="G7" s="105"/>
      <c r="H7" s="135" t="str">
        <f>$B$40</f>
        <v>Talita</v>
      </c>
      <c r="I7" s="135"/>
      <c r="J7" s="135"/>
      <c r="K7" s="135"/>
      <c r="L7" s="135"/>
      <c r="M7" s="67" t="str">
        <f>$B$35</f>
        <v>Edgar</v>
      </c>
      <c r="N7" s="2">
        <f>IF(OR(Games_2116[[#This Row],[SCORE 1]]="",Games_2116[[#This Row],[SCORE 2]]=""),"",Games_2116[[#This Row],[SCORE 1]]-Games_2116[[#This Row],[SCORE 2]])</f>
        <v>-6</v>
      </c>
      <c r="O7" s="430">
        <f>IF(OR(Games_2116[[#This Row],[SCORE 1]]="",Games_2116[[#This Row],[SCORE 2]]=""),"",Games_2116[[#This Row],[SCORE 2]]-Games_2116[[#This Row],[SCORE 1]])</f>
        <v>6</v>
      </c>
      <c r="P7" s="430">
        <f>IF(Games_2116[[#This Row],[SCORE 1]]="","",Games_2116[[#This Row],[SCORE 1]])</f>
        <v>12</v>
      </c>
      <c r="Q7" s="430">
        <f>IF(Games_2116[[#This Row],[SCORE 2]]="","",Games_2116[[#This Row],[SCORE 2]])</f>
        <v>18</v>
      </c>
      <c r="R7" s="430" t="str">
        <f>IF(OR(Games_2116[[#This Row],[SCORE 1]]="",Games_2116[[#This Row],[SCORE 2]]=""),"",IF(Games_2116[[#This Row],[SALDO 12]]&gt;0, "WIN","LOSE"))</f>
        <v>LOSE</v>
      </c>
      <c r="S7" s="430" t="str">
        <f>IF(OR(Games_2116[[#This Row],[SCORE 2]]="",Games_2116[[#This Row],[SCORE 1]]=""),"",IF(Games_2116[[#This Row],[SALDO 34]]&gt;0, "WIN","LOSE"))</f>
        <v>WIN</v>
      </c>
      <c r="U7" s="2" t="str" cm="1">
        <f t="array" ref="U7">_xlfn.TEXTJOIN(", ", TRUE, _xlfn._xlws.FILTER($K$26:$K$39, $J$26:$J$39=V7,""))</f>
        <v>Edgar</v>
      </c>
      <c r="V7" s="2" t="s">
        <v>31</v>
      </c>
      <c r="X7" s="44" t="str">
        <f t="shared" si="0"/>
        <v>Guti</v>
      </c>
      <c r="Y7" s="44">
        <f>COUNTIF(Games_2116[[ATHLETE 1]:[ATHLETE 4]],X7)</f>
        <v>6</v>
      </c>
    </row>
    <row r="8" spans="1:25">
      <c r="A8" s="551"/>
      <c r="B8" s="430">
        <v>7</v>
      </c>
      <c r="C8" s="2" t="str">
        <f>$B$27</f>
        <v>Will</v>
      </c>
      <c r="D8" s="38" t="str">
        <f>$B$26</f>
        <v>Kylie</v>
      </c>
      <c r="E8" s="100">
        <v>18</v>
      </c>
      <c r="F8" s="101">
        <v>16</v>
      </c>
      <c r="G8" s="105"/>
      <c r="H8" s="135" t="str">
        <f>$B$36</f>
        <v>Mariana Meirelles</v>
      </c>
      <c r="I8" s="135"/>
      <c r="J8" s="135"/>
      <c r="K8" s="135"/>
      <c r="L8" s="135"/>
      <c r="M8" s="67" t="str">
        <f>$B$35</f>
        <v>Edgar</v>
      </c>
      <c r="N8" s="2">
        <f>IF(OR(Games_2116[[#This Row],[SCORE 1]]="",Games_2116[[#This Row],[SCORE 2]]=""),"",Games_2116[[#This Row],[SCORE 1]]-Games_2116[[#This Row],[SCORE 2]])</f>
        <v>2</v>
      </c>
      <c r="O8" s="430">
        <f>IF(OR(Games_2116[[#This Row],[SCORE 1]]="",Games_2116[[#This Row],[SCORE 2]]=""),"",Games_2116[[#This Row],[SCORE 2]]-Games_2116[[#This Row],[SCORE 1]])</f>
        <v>-2</v>
      </c>
      <c r="P8" s="430">
        <f>IF(Games_2116[[#This Row],[SCORE 1]]="","",Games_2116[[#This Row],[SCORE 1]])</f>
        <v>18</v>
      </c>
      <c r="Q8" s="430">
        <f>IF(Games_2116[[#This Row],[SCORE 2]]="","",Games_2116[[#This Row],[SCORE 2]])</f>
        <v>16</v>
      </c>
      <c r="R8" s="430" t="str">
        <f>IF(OR(Games_2116[[#This Row],[SCORE 1]]="",Games_2116[[#This Row],[SCORE 2]]=""),"",IF(Games_2116[[#This Row],[SALDO 12]]&gt;0, "WIN","LOSE"))</f>
        <v>WIN</v>
      </c>
      <c r="S8" s="430" t="str">
        <f>IF(OR(Games_2116[[#This Row],[SCORE 2]]="",Games_2116[[#This Row],[SCORE 1]]=""),"",IF(Games_2116[[#This Row],[SALDO 34]]&gt;0, "WIN","LOSE"))</f>
        <v>LOSE</v>
      </c>
      <c r="U8" s="2" t="str" cm="1">
        <f t="array" ref="U8">_xlfn.TEXTJOIN(", ", TRUE, _xlfn._xlws.FILTER($K$26:$K$39, $J$26:$J$39=V8,""))</f>
        <v>Mariana Meirelles</v>
      </c>
      <c r="V8" s="2" t="s">
        <v>34</v>
      </c>
      <c r="X8" s="44" t="str">
        <f t="shared" ref="X8:X14" si="1">B35</f>
        <v>Edgar</v>
      </c>
      <c r="Y8" s="44">
        <f>COUNTIF(Games_2116[[ATHLETE 1]:[ATHLETE 4]],X8)</f>
        <v>6</v>
      </c>
    </row>
    <row r="9" spans="1:25">
      <c r="A9" s="551"/>
      <c r="B9" s="430">
        <v>8</v>
      </c>
      <c r="C9" s="2" t="str">
        <f>$B$32</f>
        <v>Guti</v>
      </c>
      <c r="D9" s="38" t="str">
        <f>$B$31</f>
        <v>Chris</v>
      </c>
      <c r="E9" s="100">
        <v>20</v>
      </c>
      <c r="F9" s="101">
        <v>18</v>
      </c>
      <c r="G9" s="105"/>
      <c r="H9" s="135" t="str">
        <f>$B$40</f>
        <v>Talita</v>
      </c>
      <c r="I9" s="135"/>
      <c r="J9" s="135"/>
      <c r="K9" s="135"/>
      <c r="L9" s="135"/>
      <c r="M9" s="67" t="str">
        <f>$B$37</f>
        <v>Matheus T.</v>
      </c>
      <c r="N9" s="2">
        <f>IF(OR(Games_2116[[#This Row],[SCORE 1]]="",Games_2116[[#This Row],[SCORE 2]]=""),"",Games_2116[[#This Row],[SCORE 1]]-Games_2116[[#This Row],[SCORE 2]])</f>
        <v>2</v>
      </c>
      <c r="O9" s="430">
        <f>IF(OR(Games_2116[[#This Row],[SCORE 1]]="",Games_2116[[#This Row],[SCORE 2]]=""),"",Games_2116[[#This Row],[SCORE 2]]-Games_2116[[#This Row],[SCORE 1]])</f>
        <v>-2</v>
      </c>
      <c r="P9" s="430">
        <f>IF(Games_2116[[#This Row],[SCORE 1]]="","",Games_2116[[#This Row],[SCORE 1]])</f>
        <v>20</v>
      </c>
      <c r="Q9" s="430">
        <f>IF(Games_2116[[#This Row],[SCORE 2]]="","",Games_2116[[#This Row],[SCORE 2]])</f>
        <v>18</v>
      </c>
      <c r="R9" s="430" t="str">
        <f>IF(OR(Games_2116[[#This Row],[SCORE 1]]="",Games_2116[[#This Row],[SCORE 2]]=""),"",IF(Games_2116[[#This Row],[SALDO 12]]&gt;0, "WIN","LOSE"))</f>
        <v>WIN</v>
      </c>
      <c r="S9" s="430" t="str">
        <f>IF(OR(Games_2116[[#This Row],[SCORE 2]]="",Games_2116[[#This Row],[SCORE 1]]=""),"",IF(Games_2116[[#This Row],[SALDO 34]]&gt;0, "WIN","LOSE"))</f>
        <v>LOSE</v>
      </c>
      <c r="U9" s="2" t="str" cm="1">
        <f t="array" ref="U9">_xlfn.TEXTJOIN(", ", TRUE, _xlfn._xlws.FILTER($K$26:$K$39, $J$26:$J$39=V9,""))</f>
        <v>Chris</v>
      </c>
      <c r="V9" s="2" t="s">
        <v>37</v>
      </c>
      <c r="X9" s="44" t="str">
        <f t="shared" si="1"/>
        <v>Mariana Meirelles</v>
      </c>
      <c r="Y9" s="44">
        <f>COUNTIF(Games_2116[[ATHLETE 1]:[ATHLETE 4]],X9)</f>
        <v>6</v>
      </c>
    </row>
    <row r="10" spans="1:25">
      <c r="A10" s="551"/>
      <c r="B10" s="430">
        <v>9</v>
      </c>
      <c r="C10" s="2" t="str">
        <f>$B$28</f>
        <v>Rebecca</v>
      </c>
      <c r="D10" s="38" t="str">
        <f>$B$26</f>
        <v>Kylie</v>
      </c>
      <c r="E10" s="100">
        <v>9</v>
      </c>
      <c r="F10" s="101">
        <v>18</v>
      </c>
      <c r="G10" s="105"/>
      <c r="H10" s="135" t="str">
        <f>$B$38</f>
        <v>Mariana Venancio</v>
      </c>
      <c r="I10" s="135"/>
      <c r="J10" s="135"/>
      <c r="K10" s="135"/>
      <c r="L10" s="135"/>
      <c r="M10" s="67" t="str">
        <f>$B$37</f>
        <v>Matheus T.</v>
      </c>
      <c r="N10" s="2">
        <f>IF(OR(Games_2116[[#This Row],[SCORE 1]]="",Games_2116[[#This Row],[SCORE 2]]=""),"",Games_2116[[#This Row],[SCORE 1]]-Games_2116[[#This Row],[SCORE 2]])</f>
        <v>-9</v>
      </c>
      <c r="O10" s="430">
        <f>IF(OR(Games_2116[[#This Row],[SCORE 1]]="",Games_2116[[#This Row],[SCORE 2]]=""),"",Games_2116[[#This Row],[SCORE 2]]-Games_2116[[#This Row],[SCORE 1]])</f>
        <v>9</v>
      </c>
      <c r="P10" s="430">
        <f>IF(Games_2116[[#This Row],[SCORE 1]]="","",Games_2116[[#This Row],[SCORE 1]])</f>
        <v>9</v>
      </c>
      <c r="Q10" s="430">
        <f>IF(Games_2116[[#This Row],[SCORE 2]]="","",Games_2116[[#This Row],[SCORE 2]])</f>
        <v>18</v>
      </c>
      <c r="R10" s="430" t="str">
        <f>IF(OR(Games_2116[[#This Row],[SCORE 1]]="",Games_2116[[#This Row],[SCORE 2]]=""),"",IF(Games_2116[[#This Row],[SALDO 12]]&gt;0, "WIN","LOSE"))</f>
        <v>LOSE</v>
      </c>
      <c r="S10" s="430" t="str">
        <f>IF(OR(Games_2116[[#This Row],[SCORE 2]]="",Games_2116[[#This Row],[SCORE 1]]=""),"",IF(Games_2116[[#This Row],[SALDO 34]]&gt;0, "WIN","LOSE"))</f>
        <v>WIN</v>
      </c>
      <c r="U10" s="2" t="str" cm="1">
        <f t="array" ref="U10">_xlfn.TEXTJOIN(", ", TRUE, _xlfn._xlws.FILTER($K$26:$K$39, $J$26:$J$39=V10,""))</f>
        <v>Mariana Venancio</v>
      </c>
      <c r="V10" s="2" t="s">
        <v>41</v>
      </c>
      <c r="X10" s="44" t="str">
        <f t="shared" si="1"/>
        <v>Matheus T.</v>
      </c>
      <c r="Y10" s="44">
        <f>COUNTIF(Games_2116[[ATHLETE 1]:[ATHLETE 4]],X10)</f>
        <v>6</v>
      </c>
    </row>
    <row r="11" spans="1:25">
      <c r="A11" s="551"/>
      <c r="B11" s="430">
        <v>10</v>
      </c>
      <c r="C11" s="2" t="str">
        <f>$B$27</f>
        <v>Will</v>
      </c>
      <c r="D11" s="38" t="str">
        <f>$B$31</f>
        <v>Chris</v>
      </c>
      <c r="E11" s="100">
        <v>19</v>
      </c>
      <c r="F11" s="112">
        <v>17</v>
      </c>
      <c r="G11" s="163"/>
      <c r="H11" s="135" t="str">
        <f>B$37</f>
        <v>Matheus T.</v>
      </c>
      <c r="I11" s="154"/>
      <c r="J11" s="154"/>
      <c r="K11" s="154"/>
      <c r="L11" s="154"/>
      <c r="M11" s="67" t="str">
        <f>B$39</f>
        <v>Marie</v>
      </c>
      <c r="N11" s="2">
        <f>IF(OR(Games_2116[[#This Row],[SCORE 1]]="",Games_2116[[#This Row],[SCORE 2]]=""),"",Games_2116[[#This Row],[SCORE 1]]-Games_2116[[#This Row],[SCORE 2]])</f>
        <v>2</v>
      </c>
      <c r="O11" s="11">
        <f>IF(OR(Games_2116[[#This Row],[SCORE 1]]="",Games_2116[[#This Row],[SCORE 2]]=""),"",Games_2116[[#This Row],[SCORE 2]]-Games_2116[[#This Row],[SCORE 1]])</f>
        <v>-2</v>
      </c>
      <c r="P11" s="11">
        <f>IF(Games_2116[[#This Row],[SCORE 1]]="","",Games_2116[[#This Row],[SCORE 1]])</f>
        <v>19</v>
      </c>
      <c r="Q11" s="11">
        <f>IF(Games_2116[[#This Row],[SCORE 2]]="","",Games_2116[[#This Row],[SCORE 2]])</f>
        <v>17</v>
      </c>
      <c r="R11" s="11" t="str">
        <f>IF(OR(Games_2116[[#This Row],[SCORE 1]]="",Games_2116[[#This Row],[SCORE 2]]=""),"",IF(Games_2116[[#This Row],[SALDO 12]]&gt;0, "WIN","LOSE"))</f>
        <v>WIN</v>
      </c>
      <c r="S11" s="11" t="str">
        <f>IF(OR(Games_2116[[#This Row],[SCORE 2]]="",Games_2116[[#This Row],[SCORE 1]]=""),"",IF(Games_2116[[#This Row],[SALDO 34]]&gt;0, "WIN","LOSE"))</f>
        <v>LOSE</v>
      </c>
      <c r="U11" s="2" t="str" cm="1">
        <f t="array" ref="U11">_xlfn.TEXTJOIN(", ", TRUE, _xlfn._xlws.FILTER($K$26:$K$39, $J$26:$J$39=V11,""))</f>
        <v>Guti</v>
      </c>
      <c r="V11" s="2" t="s">
        <v>44</v>
      </c>
      <c r="X11" s="44" t="str">
        <f t="shared" si="1"/>
        <v>Mariana Venancio</v>
      </c>
      <c r="Y11" s="44">
        <f>COUNTIF(Games_2116[[ATHLETE 1]:[ATHLETE 4]],X11)</f>
        <v>6</v>
      </c>
    </row>
    <row r="12" spans="1:25">
      <c r="A12" s="551"/>
      <c r="B12" s="430">
        <v>11</v>
      </c>
      <c r="C12" s="2" t="str">
        <f>$B$32</f>
        <v>Guti</v>
      </c>
      <c r="D12" s="38" t="str">
        <f>$B$29</f>
        <v>Thor</v>
      </c>
      <c r="E12" s="100">
        <v>8</v>
      </c>
      <c r="F12" s="112">
        <v>18</v>
      </c>
      <c r="G12" s="163"/>
      <c r="H12" s="135" t="str">
        <f>$B$39</f>
        <v>Marie</v>
      </c>
      <c r="I12" s="154"/>
      <c r="J12" s="154"/>
      <c r="K12" s="154"/>
      <c r="L12" s="154"/>
      <c r="M12" s="67" t="str">
        <f>$B$41</f>
        <v>Zak</v>
      </c>
      <c r="N12" s="2">
        <f>IF(OR(Games_2116[[#This Row],[SCORE 1]]="",Games_2116[[#This Row],[SCORE 2]]=""),"",Games_2116[[#This Row],[SCORE 1]]-Games_2116[[#This Row],[SCORE 2]])</f>
        <v>-10</v>
      </c>
      <c r="O12" s="11">
        <f>IF(OR(Games_2116[[#This Row],[SCORE 1]]="",Games_2116[[#This Row],[SCORE 2]]=""),"",Games_2116[[#This Row],[SCORE 2]]-Games_2116[[#This Row],[SCORE 1]])</f>
        <v>10</v>
      </c>
      <c r="P12" s="11">
        <f>IF(Games_2116[[#This Row],[SCORE 1]]="","",Games_2116[[#This Row],[SCORE 1]])</f>
        <v>8</v>
      </c>
      <c r="Q12" s="11">
        <f>IF(Games_2116[[#This Row],[SCORE 2]]="","",Games_2116[[#This Row],[SCORE 2]])</f>
        <v>18</v>
      </c>
      <c r="R12" s="11" t="str">
        <f>IF(OR(Games_2116[[#This Row],[SCORE 1]]="",Games_2116[[#This Row],[SCORE 2]]=""),"",IF(Games_2116[[#This Row],[SALDO 12]]&gt;0, "WIN","LOSE"))</f>
        <v>LOSE</v>
      </c>
      <c r="S12" s="11" t="str">
        <f>IF(OR(Games_2116[[#This Row],[SCORE 2]]="",Games_2116[[#This Row],[SCORE 1]]=""),"",IF(Games_2116[[#This Row],[SALDO 34]]&gt;0, "WIN","LOSE"))</f>
        <v>WIN</v>
      </c>
      <c r="U12" s="2" t="str" cm="1">
        <f t="array" ref="U12">_xlfn.TEXTJOIN(", ", TRUE, _xlfn._xlws.FILTER($K$26:$K$39, $J$26:$J$39=V12,""))</f>
        <v>Tabata</v>
      </c>
      <c r="V12" s="2" t="s">
        <v>39</v>
      </c>
      <c r="X12" s="44" t="str">
        <f t="shared" si="1"/>
        <v>Marie</v>
      </c>
      <c r="Y12" s="44">
        <f>COUNTIF(Games_2116[[ATHLETE 1]:[ATHLETE 4]],X12)</f>
        <v>6</v>
      </c>
    </row>
    <row r="13" spans="1:25">
      <c r="A13" s="551"/>
      <c r="B13" s="430">
        <v>12</v>
      </c>
      <c r="C13" s="2" t="str">
        <f>$B$30</f>
        <v>Tabata</v>
      </c>
      <c r="D13" s="38" t="str">
        <f>$B$27</f>
        <v>Will</v>
      </c>
      <c r="E13" s="100">
        <v>18</v>
      </c>
      <c r="F13" s="112">
        <v>16</v>
      </c>
      <c r="G13" s="163"/>
      <c r="H13" s="135" t="str">
        <f>$B$37</f>
        <v>Matheus T.</v>
      </c>
      <c r="I13" s="154"/>
      <c r="J13" s="154"/>
      <c r="K13" s="154"/>
      <c r="L13" s="154"/>
      <c r="M13" s="67" t="str">
        <f>$B$35</f>
        <v>Edgar</v>
      </c>
      <c r="N13" s="2">
        <f>IF(OR(Games_2116[[#This Row],[SCORE 1]]="",Games_2116[[#This Row],[SCORE 2]]=""),"",Games_2116[[#This Row],[SCORE 1]]-Games_2116[[#This Row],[SCORE 2]])</f>
        <v>2</v>
      </c>
      <c r="O13" s="11">
        <f>IF(OR(Games_2116[[#This Row],[SCORE 1]]="",Games_2116[[#This Row],[SCORE 2]]=""),"",Games_2116[[#This Row],[SCORE 2]]-Games_2116[[#This Row],[SCORE 1]])</f>
        <v>-2</v>
      </c>
      <c r="P13" s="11">
        <f>IF(Games_2116[[#This Row],[SCORE 1]]="","",Games_2116[[#This Row],[SCORE 1]])</f>
        <v>18</v>
      </c>
      <c r="Q13" s="11">
        <f>IF(Games_2116[[#This Row],[SCORE 2]]="","",Games_2116[[#This Row],[SCORE 2]])</f>
        <v>16</v>
      </c>
      <c r="R13" s="11" t="str">
        <f>IF(OR(Games_2116[[#This Row],[SCORE 1]]="",Games_2116[[#This Row],[SCORE 2]]=""),"",IF(Games_2116[[#This Row],[SALDO 12]]&gt;0, "WIN","LOSE"))</f>
        <v>WIN</v>
      </c>
      <c r="S13" s="11" t="str">
        <f>IF(OR(Games_2116[[#This Row],[SCORE 2]]="",Games_2116[[#This Row],[SCORE 1]]=""),"",IF(Games_2116[[#This Row],[SALDO 34]]&gt;0, "WIN","LOSE"))</f>
        <v>LOSE</v>
      </c>
      <c r="U13" s="2" t="str" cm="1">
        <f t="array" ref="U13">_xlfn.TEXTJOIN(", ", TRUE, _xlfn._xlws.FILTER($K$26:$K$39, $J$26:$J$39=V13,""))</f>
        <v>Marie</v>
      </c>
      <c r="V13" s="2" t="s">
        <v>49</v>
      </c>
      <c r="X13" s="44" t="str">
        <f t="shared" si="1"/>
        <v>Talita</v>
      </c>
      <c r="Y13" s="44">
        <f>COUNTIF(Games_2116[[ATHLETE 1]:[ATHLETE 4]],X13)</f>
        <v>6</v>
      </c>
    </row>
    <row r="14" spans="1:25">
      <c r="A14" s="551"/>
      <c r="B14" s="430">
        <v>13</v>
      </c>
      <c r="C14" s="2" t="str">
        <f>$B$26</f>
        <v>Kylie</v>
      </c>
      <c r="D14" s="38" t="str">
        <f>$B$32</f>
        <v>Guti</v>
      </c>
      <c r="E14" s="100">
        <v>3</v>
      </c>
      <c r="F14" s="112">
        <v>18</v>
      </c>
      <c r="G14" s="163"/>
      <c r="H14" s="41" t="str">
        <f>$B$41</f>
        <v>Zak</v>
      </c>
      <c r="I14" s="97"/>
      <c r="J14" s="97"/>
      <c r="K14" s="97"/>
      <c r="L14" s="97"/>
      <c r="M14" s="2" t="str">
        <f>$B$37</f>
        <v>Matheus T.</v>
      </c>
      <c r="N14" s="2">
        <f>IF(OR(Games_2116[[#This Row],[SCORE 1]]="",Games_2116[[#This Row],[SCORE 2]]=""),"",Games_2116[[#This Row],[SCORE 1]]-Games_2116[[#This Row],[SCORE 2]])</f>
        <v>-15</v>
      </c>
      <c r="O14" s="11">
        <f>IF(OR(Games_2116[[#This Row],[SCORE 1]]="",Games_2116[[#This Row],[SCORE 2]]=""),"",Games_2116[[#This Row],[SCORE 2]]-Games_2116[[#This Row],[SCORE 1]])</f>
        <v>15</v>
      </c>
      <c r="P14" s="11">
        <f>IF(Games_2116[[#This Row],[SCORE 1]]="","",Games_2116[[#This Row],[SCORE 1]])</f>
        <v>3</v>
      </c>
      <c r="Q14" s="11">
        <f>IF(Games_2116[[#This Row],[SCORE 2]]="","",Games_2116[[#This Row],[SCORE 2]])</f>
        <v>18</v>
      </c>
      <c r="R14" s="11" t="str">
        <f>IF(OR(Games_2116[[#This Row],[SCORE 1]]="",Games_2116[[#This Row],[SCORE 2]]=""),"",IF(Games_2116[[#This Row],[SALDO 12]]&gt;0, "WIN","LOSE"))</f>
        <v>LOSE</v>
      </c>
      <c r="S14" s="11" t="str">
        <f>IF(OR(Games_2116[[#This Row],[SCORE 2]]="",Games_2116[[#This Row],[SCORE 1]]=""),"",IF(Games_2116[[#This Row],[SALDO 34]]&gt;0, "WIN","LOSE"))</f>
        <v>WIN</v>
      </c>
      <c r="U14" s="2" t="str" cm="1">
        <f t="array" ref="U14">_xlfn.TEXTJOIN(", ", TRUE, _xlfn._xlws.FILTER($K$26:$K$39, $J$26:$J$39=V14,""))</f>
        <v>Rebecca</v>
      </c>
      <c r="V14" s="2" t="s">
        <v>51</v>
      </c>
      <c r="X14" s="44" t="str">
        <f t="shared" si="1"/>
        <v>Zak</v>
      </c>
      <c r="Y14" s="44">
        <f>COUNTIF(Games_2116[[ATHLETE 1]:[ATHLETE 4]],X14)</f>
        <v>6</v>
      </c>
    </row>
    <row r="15" spans="1:25">
      <c r="A15" s="551"/>
      <c r="B15" s="430">
        <v>14</v>
      </c>
      <c r="C15" s="2" t="str">
        <f>$B$28</f>
        <v>Rebecca</v>
      </c>
      <c r="D15" s="38" t="str">
        <f>$B$27</f>
        <v>Will</v>
      </c>
      <c r="E15" s="100">
        <v>13</v>
      </c>
      <c r="F15" s="112">
        <v>18</v>
      </c>
      <c r="G15" s="163"/>
      <c r="H15" s="135" t="str">
        <f>$B$39</f>
        <v>Marie</v>
      </c>
      <c r="I15" s="154"/>
      <c r="J15" s="154"/>
      <c r="K15" s="154"/>
      <c r="L15" s="154"/>
      <c r="M15" s="67" t="str">
        <f>$B$35</f>
        <v>Edgar</v>
      </c>
      <c r="N15" s="2">
        <f>IF(OR(Games_2116[[#This Row],[SCORE 1]]="",Games_2116[[#This Row],[SCORE 2]]=""),"",Games_2116[[#This Row],[SCORE 1]]-Games_2116[[#This Row],[SCORE 2]])</f>
        <v>-5</v>
      </c>
      <c r="O15" s="11">
        <f>IF(OR(Games_2116[[#This Row],[SCORE 1]]="",Games_2116[[#This Row],[SCORE 2]]=""),"",Games_2116[[#This Row],[SCORE 2]]-Games_2116[[#This Row],[SCORE 1]])</f>
        <v>5</v>
      </c>
      <c r="P15" s="11">
        <f>IF(Games_2116[[#This Row],[SCORE 1]]="","",Games_2116[[#This Row],[SCORE 1]])</f>
        <v>13</v>
      </c>
      <c r="Q15" s="11">
        <f>IF(Games_2116[[#This Row],[SCORE 2]]="","",Games_2116[[#This Row],[SCORE 2]])</f>
        <v>18</v>
      </c>
      <c r="R15" s="11" t="str">
        <f>IF(OR(Games_2116[[#This Row],[SCORE 1]]="",Games_2116[[#This Row],[SCORE 2]]=""),"",IF(Games_2116[[#This Row],[SALDO 12]]&gt;0, "WIN","LOSE"))</f>
        <v>LOSE</v>
      </c>
      <c r="S15" s="11" t="str">
        <f>IF(OR(Games_2116[[#This Row],[SCORE 2]]="",Games_2116[[#This Row],[SCORE 1]]=""),"",IF(Games_2116[[#This Row],[SALDO 34]]&gt;0, "WIN","LOSE"))</f>
        <v>WIN</v>
      </c>
      <c r="U15" s="2" t="str" cm="1">
        <f t="array" ref="U15">_xlfn.TEXTJOIN(", ", TRUE, _xlfn._xlws.FILTER($K$26:$K$39, $J$26:$J$39=V15,""))</f>
        <v>Kylie</v>
      </c>
      <c r="V15" s="2" t="s">
        <v>47</v>
      </c>
    </row>
    <row r="16" spans="1:25">
      <c r="A16" s="551"/>
      <c r="B16" s="430">
        <v>15</v>
      </c>
      <c r="C16" s="2" t="str">
        <f>$B$29</f>
        <v>Thor</v>
      </c>
      <c r="D16" s="38" t="str">
        <f>$B$30</f>
        <v>Tabata</v>
      </c>
      <c r="E16" s="100">
        <v>14</v>
      </c>
      <c r="F16" s="112">
        <v>18</v>
      </c>
      <c r="G16" s="163"/>
      <c r="H16" s="41" t="str">
        <f>$B$41</f>
        <v>Zak</v>
      </c>
      <c r="I16" s="97"/>
      <c r="J16" s="97"/>
      <c r="K16" s="97"/>
      <c r="L16" s="97"/>
      <c r="M16" s="2" t="str">
        <f>$B$35</f>
        <v>Edgar</v>
      </c>
      <c r="N16" s="2">
        <f>IF(OR(Games_2116[[#This Row],[SCORE 1]]="",Games_2116[[#This Row],[SCORE 2]]=""),"",Games_2116[[#This Row],[SCORE 1]]-Games_2116[[#This Row],[SCORE 2]])</f>
        <v>-4</v>
      </c>
      <c r="O16" s="11">
        <f>IF(OR(Games_2116[[#This Row],[SCORE 1]]="",Games_2116[[#This Row],[SCORE 2]]=""),"",Games_2116[[#This Row],[SCORE 2]]-Games_2116[[#This Row],[SCORE 1]])</f>
        <v>4</v>
      </c>
      <c r="P16" s="11">
        <f>IF(Games_2116[[#This Row],[SCORE 1]]="","",Games_2116[[#This Row],[SCORE 1]])</f>
        <v>14</v>
      </c>
      <c r="Q16" s="11">
        <f>IF(Games_2116[[#This Row],[SCORE 2]]="","",Games_2116[[#This Row],[SCORE 2]])</f>
        <v>18</v>
      </c>
      <c r="R16" s="11" t="str">
        <f>IF(OR(Games_2116[[#This Row],[SCORE 1]]="",Games_2116[[#This Row],[SCORE 2]]=""),"",IF(Games_2116[[#This Row],[SALDO 12]]&gt;0, "WIN","LOSE"))</f>
        <v>LOSE</v>
      </c>
      <c r="S16" s="11" t="str">
        <f>IF(OR(Games_2116[[#This Row],[SCORE 2]]="",Games_2116[[#This Row],[SCORE 1]]=""),"",IF(Games_2116[[#This Row],[SALDO 34]]&gt;0, "WIN","LOSE"))</f>
        <v>WIN</v>
      </c>
      <c r="U16" s="2" t="str" cm="1">
        <f t="array" ref="U16">_xlfn.TEXTJOIN(", ", TRUE, _xlfn._xlws.FILTER($K$26:$K$39, $J$26:$J$39=V16,""))</f>
        <v>Thor</v>
      </c>
      <c r="V16" s="2" t="s">
        <v>57</v>
      </c>
    </row>
    <row r="17" spans="1:19">
      <c r="A17" s="551"/>
      <c r="B17" s="430">
        <v>16</v>
      </c>
      <c r="C17" s="2" t="str">
        <f>$B$32</f>
        <v>Guti</v>
      </c>
      <c r="D17" s="38" t="str">
        <f>$B$27</f>
        <v>Will</v>
      </c>
      <c r="E17" s="100">
        <v>18</v>
      </c>
      <c r="F17" s="112">
        <v>3</v>
      </c>
      <c r="G17" s="163"/>
      <c r="H17" s="135" t="str">
        <f>$B$39</f>
        <v>Marie</v>
      </c>
      <c r="I17" s="154"/>
      <c r="J17" s="154"/>
      <c r="K17" s="154"/>
      <c r="L17" s="154"/>
      <c r="M17" s="67" t="str">
        <f>$B$36</f>
        <v>Mariana Meirelles</v>
      </c>
      <c r="N17" s="2">
        <f>IF(OR(Games_2116[[#This Row],[SCORE 1]]="",Games_2116[[#This Row],[SCORE 2]]=""),"",Games_2116[[#This Row],[SCORE 1]]-Games_2116[[#This Row],[SCORE 2]])</f>
        <v>15</v>
      </c>
      <c r="O17" s="11">
        <f>IF(OR(Games_2116[[#This Row],[SCORE 1]]="",Games_2116[[#This Row],[SCORE 2]]=""),"",Games_2116[[#This Row],[SCORE 2]]-Games_2116[[#This Row],[SCORE 1]])</f>
        <v>-15</v>
      </c>
      <c r="P17" s="11">
        <f>IF(Games_2116[[#This Row],[SCORE 1]]="","",Games_2116[[#This Row],[SCORE 1]])</f>
        <v>18</v>
      </c>
      <c r="Q17" s="11">
        <f>IF(Games_2116[[#This Row],[SCORE 2]]="","",Games_2116[[#This Row],[SCORE 2]])</f>
        <v>3</v>
      </c>
      <c r="R17" s="11" t="str">
        <f>IF(OR(Games_2116[[#This Row],[SCORE 1]]="",Games_2116[[#This Row],[SCORE 2]]=""),"",IF(Games_2116[[#This Row],[SALDO 12]]&gt;0, "WIN","LOSE"))</f>
        <v>WIN</v>
      </c>
      <c r="S17" s="11" t="str">
        <f>IF(OR(Games_2116[[#This Row],[SCORE 2]]="",Games_2116[[#This Row],[SCORE 1]]=""),"",IF(Games_2116[[#This Row],[SALDO 34]]&gt;0, "WIN","LOSE"))</f>
        <v>LOSE</v>
      </c>
    </row>
    <row r="18" spans="1:19">
      <c r="A18" s="551"/>
      <c r="B18" s="430">
        <v>17</v>
      </c>
      <c r="C18" s="2" t="str">
        <f>$B$26</f>
        <v>Kylie</v>
      </c>
      <c r="D18" s="38" t="str">
        <f>$B$30</f>
        <v>Tabata</v>
      </c>
      <c r="E18" s="100">
        <v>5</v>
      </c>
      <c r="F18" s="112">
        <v>18</v>
      </c>
      <c r="G18" s="163"/>
      <c r="H18" s="135" t="str">
        <f>$B$36</f>
        <v>Mariana Meirelles</v>
      </c>
      <c r="I18" s="154"/>
      <c r="J18" s="154"/>
      <c r="K18" s="154"/>
      <c r="L18" s="154"/>
      <c r="M18" s="67" t="str">
        <f>$B$41</f>
        <v>Zak</v>
      </c>
      <c r="N18" s="2">
        <f>IF(OR(Games_2116[[#This Row],[SCORE 1]]="",Games_2116[[#This Row],[SCORE 2]]=""),"",Games_2116[[#This Row],[SCORE 1]]-Games_2116[[#This Row],[SCORE 2]])</f>
        <v>-13</v>
      </c>
      <c r="O18" s="11">
        <f>IF(OR(Games_2116[[#This Row],[SCORE 1]]="",Games_2116[[#This Row],[SCORE 2]]=""),"",Games_2116[[#This Row],[SCORE 2]]-Games_2116[[#This Row],[SCORE 1]])</f>
        <v>13</v>
      </c>
      <c r="P18" s="11">
        <f>IF(Games_2116[[#This Row],[SCORE 1]]="","",Games_2116[[#This Row],[SCORE 1]])</f>
        <v>5</v>
      </c>
      <c r="Q18" s="11">
        <f>IF(Games_2116[[#This Row],[SCORE 2]]="","",Games_2116[[#This Row],[SCORE 2]])</f>
        <v>18</v>
      </c>
      <c r="R18" s="11" t="str">
        <f>IF(OR(Games_2116[[#This Row],[SCORE 1]]="",Games_2116[[#This Row],[SCORE 2]]=""),"",IF(Games_2116[[#This Row],[SALDO 12]]&gt;0, "WIN","LOSE"))</f>
        <v>LOSE</v>
      </c>
      <c r="S18" s="11" t="str">
        <f>IF(OR(Games_2116[[#This Row],[SCORE 2]]="",Games_2116[[#This Row],[SCORE 1]]=""),"",IF(Games_2116[[#This Row],[SALDO 34]]&gt;0, "WIN","LOSE"))</f>
        <v>WIN</v>
      </c>
    </row>
    <row r="19" spans="1:19">
      <c r="A19" s="551"/>
      <c r="B19" s="430">
        <v>18</v>
      </c>
      <c r="C19" s="2" t="str">
        <f>$B$32</f>
        <v>Guti</v>
      </c>
      <c r="D19" s="38" t="str">
        <f>$B$28</f>
        <v>Rebecca</v>
      </c>
      <c r="E19" s="100">
        <v>17</v>
      </c>
      <c r="F19" s="112">
        <v>19</v>
      </c>
      <c r="G19" s="163"/>
      <c r="H19" s="135" t="str">
        <f>$B$40</f>
        <v>Talita</v>
      </c>
      <c r="I19" s="154"/>
      <c r="J19" s="154"/>
      <c r="K19" s="154"/>
      <c r="L19" s="154"/>
      <c r="M19" s="67" t="str">
        <f>$B$39</f>
        <v>Marie</v>
      </c>
      <c r="N19" s="2">
        <f>IF(OR(Games_2116[[#This Row],[SCORE 1]]="",Games_2116[[#This Row],[SCORE 2]]=""),"",Games_2116[[#This Row],[SCORE 1]]-Games_2116[[#This Row],[SCORE 2]])</f>
        <v>-2</v>
      </c>
      <c r="O19" s="11">
        <f>IF(OR(Games_2116[[#This Row],[SCORE 1]]="",Games_2116[[#This Row],[SCORE 2]]=""),"",Games_2116[[#This Row],[SCORE 2]]-Games_2116[[#This Row],[SCORE 1]])</f>
        <v>2</v>
      </c>
      <c r="P19" s="11">
        <f>IF(Games_2116[[#This Row],[SCORE 1]]="","",Games_2116[[#This Row],[SCORE 1]])</f>
        <v>17</v>
      </c>
      <c r="Q19" s="11">
        <f>IF(Games_2116[[#This Row],[SCORE 2]]="","",Games_2116[[#This Row],[SCORE 2]])</f>
        <v>19</v>
      </c>
      <c r="R19" s="11" t="str">
        <f>IF(OR(Games_2116[[#This Row],[SCORE 1]]="",Games_2116[[#This Row],[SCORE 2]]=""),"",IF(Games_2116[[#This Row],[SALDO 12]]&gt;0, "WIN","LOSE"))</f>
        <v>LOSE</v>
      </c>
      <c r="S19" s="11" t="str">
        <f>IF(OR(Games_2116[[#This Row],[SCORE 2]]="",Games_2116[[#This Row],[SCORE 1]]=""),"",IF(Games_2116[[#This Row],[SALDO 34]]&gt;0, "WIN","LOSE"))</f>
        <v>WIN</v>
      </c>
    </row>
    <row r="20" spans="1:19">
      <c r="A20" s="551"/>
      <c r="B20" s="430">
        <v>19</v>
      </c>
      <c r="C20" s="2" t="str">
        <f>$B$29</f>
        <v>Thor</v>
      </c>
      <c r="D20" s="38" t="str">
        <f>$B$27</f>
        <v>Will</v>
      </c>
      <c r="E20" s="100">
        <v>11</v>
      </c>
      <c r="F20" s="112">
        <v>18</v>
      </c>
      <c r="G20" s="163"/>
      <c r="H20" s="135" t="str">
        <f>$B$40</f>
        <v>Talita</v>
      </c>
      <c r="I20" s="154"/>
      <c r="J20" s="154"/>
      <c r="K20" s="154"/>
      <c r="L20" s="154"/>
      <c r="M20" s="67" t="str">
        <f>$B$38</f>
        <v>Mariana Venancio</v>
      </c>
      <c r="N20" s="2">
        <f>IF(OR(Games_2116[[#This Row],[SCORE 1]]="",Games_2116[[#This Row],[SCORE 2]]=""),"",Games_2116[[#This Row],[SCORE 1]]-Games_2116[[#This Row],[SCORE 2]])</f>
        <v>-7</v>
      </c>
      <c r="O20" s="11">
        <f>IF(OR(Games_2116[[#This Row],[SCORE 1]]="",Games_2116[[#This Row],[SCORE 2]]=""),"",Games_2116[[#This Row],[SCORE 2]]-Games_2116[[#This Row],[SCORE 1]])</f>
        <v>7</v>
      </c>
      <c r="P20" s="11">
        <f>IF(Games_2116[[#This Row],[SCORE 1]]="","",Games_2116[[#This Row],[SCORE 1]])</f>
        <v>11</v>
      </c>
      <c r="Q20" s="11">
        <f>IF(Games_2116[[#This Row],[SCORE 2]]="","",Games_2116[[#This Row],[SCORE 2]])</f>
        <v>18</v>
      </c>
      <c r="R20" s="11" t="str">
        <f>IF(OR(Games_2116[[#This Row],[SCORE 1]]="",Games_2116[[#This Row],[SCORE 2]]=""),"",IF(Games_2116[[#This Row],[SALDO 12]]&gt;0, "WIN","LOSE"))</f>
        <v>LOSE</v>
      </c>
      <c r="S20" s="11" t="str">
        <f>IF(OR(Games_2116[[#This Row],[SCORE 2]]="",Games_2116[[#This Row],[SCORE 1]]=""),"",IF(Games_2116[[#This Row],[SALDO 34]]&gt;0, "WIN","LOSE"))</f>
        <v>WIN</v>
      </c>
    </row>
    <row r="21" spans="1:19">
      <c r="A21" s="551"/>
      <c r="B21" s="430">
        <v>20</v>
      </c>
      <c r="C21" s="2" t="str">
        <f>$B$28</f>
        <v>Rebecca</v>
      </c>
      <c r="D21" s="38" t="str">
        <f>$B$30</f>
        <v>Tabata</v>
      </c>
      <c r="E21" s="100">
        <v>18</v>
      </c>
      <c r="F21" s="112">
        <v>12</v>
      </c>
      <c r="G21" s="163"/>
      <c r="H21" s="135" t="str">
        <f>$B$38</f>
        <v>Mariana Venancio</v>
      </c>
      <c r="I21" s="154"/>
      <c r="J21" s="154"/>
      <c r="K21" s="154"/>
      <c r="L21" s="154"/>
      <c r="M21" s="67" t="str">
        <f>$B$36</f>
        <v>Mariana Meirelles</v>
      </c>
      <c r="N21" s="2">
        <f>IF(OR(Games_2116[[#This Row],[SCORE 1]]="",Games_2116[[#This Row],[SCORE 2]]=""),"",Games_2116[[#This Row],[SCORE 1]]-Games_2116[[#This Row],[SCORE 2]])</f>
        <v>6</v>
      </c>
      <c r="O21" s="11">
        <f>IF(OR(Games_2116[[#This Row],[SCORE 1]]="",Games_2116[[#This Row],[SCORE 2]]=""),"",Games_2116[[#This Row],[SCORE 2]]-Games_2116[[#This Row],[SCORE 1]])</f>
        <v>-6</v>
      </c>
      <c r="P21" s="11">
        <f>IF(Games_2116[[#This Row],[SCORE 1]]="","",Games_2116[[#This Row],[SCORE 1]])</f>
        <v>18</v>
      </c>
      <c r="Q21" s="11">
        <f>IF(Games_2116[[#This Row],[SCORE 2]]="","",Games_2116[[#This Row],[SCORE 2]])</f>
        <v>12</v>
      </c>
      <c r="R21" s="11" t="str">
        <f>IF(OR(Games_2116[[#This Row],[SCORE 1]]="",Games_2116[[#This Row],[SCORE 2]]=""),"",IF(Games_2116[[#This Row],[SALDO 12]]&gt;0, "WIN","LOSE"))</f>
        <v>WIN</v>
      </c>
      <c r="S21" s="11" t="str">
        <f>IF(OR(Games_2116[[#This Row],[SCORE 2]]="",Games_2116[[#This Row],[SCORE 1]]=""),"",IF(Games_2116[[#This Row],[SALDO 34]]&gt;0, "WIN","LOSE"))</f>
        <v>LOSE</v>
      </c>
    </row>
    <row r="22" spans="1:19">
      <c r="A22" s="550"/>
      <c r="B22" s="430">
        <v>21</v>
      </c>
      <c r="C22" s="2" t="str">
        <f>$B$30</f>
        <v>Tabata</v>
      </c>
      <c r="D22" s="38" t="str">
        <f>$B$31</f>
        <v>Chris</v>
      </c>
      <c r="E22" s="100">
        <v>14</v>
      </c>
      <c r="F22" s="112">
        <v>18</v>
      </c>
      <c r="G22" s="163"/>
      <c r="H22" s="135" t="str">
        <f>$B$40</f>
        <v>Talita</v>
      </c>
      <c r="I22" s="154"/>
      <c r="J22" s="154"/>
      <c r="K22" s="154"/>
      <c r="L22" s="154"/>
      <c r="M22" s="67" t="str">
        <f>$B$41</f>
        <v>Zak</v>
      </c>
      <c r="N22" s="2">
        <f>IF(OR(Games_2116[[#This Row],[SCORE 1]]="",Games_2116[[#This Row],[SCORE 2]]=""),"",Games_2116[[#This Row],[SCORE 1]]-Games_2116[[#This Row],[SCORE 2]])</f>
        <v>-4</v>
      </c>
      <c r="O22" s="11">
        <f>IF(OR(Games_2116[[#This Row],[SCORE 1]]="",Games_2116[[#This Row],[SCORE 2]]=""),"",Games_2116[[#This Row],[SCORE 2]]-Games_2116[[#This Row],[SCORE 1]])</f>
        <v>4</v>
      </c>
      <c r="P22" s="11">
        <f>IF(Games_2116[[#This Row],[SCORE 1]]="","",Games_2116[[#This Row],[SCORE 1]])</f>
        <v>14</v>
      </c>
      <c r="Q22" s="11">
        <f>IF(Games_2116[[#This Row],[SCORE 2]]="","",Games_2116[[#This Row],[SCORE 2]])</f>
        <v>18</v>
      </c>
      <c r="R22" s="11" t="str">
        <f>IF(OR(Games_2116[[#This Row],[SCORE 1]]="",Games_2116[[#This Row],[SCORE 2]]=""),"",IF(Games_2116[[#This Row],[SALDO 12]]&gt;0, "WIN","LOSE"))</f>
        <v>LOSE</v>
      </c>
      <c r="S22" s="11" t="str">
        <f>IF(OR(Games_2116[[#This Row],[SCORE 2]]="",Games_2116[[#This Row],[SCORE 1]]=""),"",IF(Games_2116[[#This Row],[SALDO 34]]&gt;0, "WIN","LOSE"))</f>
        <v>WIN</v>
      </c>
    </row>
    <row r="23" spans="1:19" ht="30" customHeight="1"/>
    <row r="24" spans="1:19" ht="30" customHeight="1">
      <c r="A24" s="546" t="s">
        <v>182</v>
      </c>
      <c r="B24" s="547"/>
      <c r="C24" s="547"/>
      <c r="D24" s="547"/>
      <c r="E24" s="547"/>
      <c r="F24" s="547"/>
      <c r="G24" s="547"/>
      <c r="H24" s="420"/>
      <c r="I24" s="420"/>
      <c r="J24" s="420"/>
      <c r="K24" s="420"/>
      <c r="M24" s="547" t="s">
        <v>199</v>
      </c>
      <c r="N24" s="547"/>
      <c r="O24" s="547"/>
      <c r="P24" s="547"/>
      <c r="Q24" s="547"/>
      <c r="R24" s="547"/>
    </row>
    <row r="25" spans="1:19" ht="15.95">
      <c r="A25" s="6" t="s">
        <v>246</v>
      </c>
      <c r="B25" s="43" t="s">
        <v>203</v>
      </c>
      <c r="C25" s="43" t="s">
        <v>186</v>
      </c>
      <c r="D25" s="43" t="s">
        <v>187</v>
      </c>
      <c r="E25" s="43" t="s">
        <v>188</v>
      </c>
      <c r="F25" s="43" t="s">
        <v>189</v>
      </c>
      <c r="G25" s="43" t="s">
        <v>8</v>
      </c>
      <c r="H25" s="425" t="s">
        <v>204</v>
      </c>
      <c r="I25" s="425" t="s">
        <v>191</v>
      </c>
      <c r="J25" s="425" t="s">
        <v>192</v>
      </c>
      <c r="K25" s="425" t="s">
        <v>1</v>
      </c>
      <c r="L25" s="425" t="s">
        <v>192</v>
      </c>
      <c r="M25" s="426" t="s">
        <v>193</v>
      </c>
      <c r="N25" s="426" t="s">
        <v>194</v>
      </c>
      <c r="O25" s="558" t="s">
        <v>195</v>
      </c>
      <c r="P25" s="558"/>
      <c r="Q25" s="426" t="s">
        <v>196</v>
      </c>
      <c r="R25" s="426" t="s">
        <v>197</v>
      </c>
    </row>
    <row r="26" spans="1:19">
      <c r="A26" s="3" t="s">
        <v>205</v>
      </c>
      <c r="B26" s="152" t="s">
        <v>312</v>
      </c>
      <c r="C26" s="14">
        <f>SUM(COUNTIFS(Games_2116[ATHLETE 1],Analysis_3117[[#This Row],[Athletes]],Games_2116[RESULT 12],Analysis_3117[[#Headers],[WIN]]),COUNTIFS(Games_2116[ATHLETE 2],Analysis_3117[[#This Row],[Athletes]],Games_2116[RESULT 12],Analysis_3117[[#Headers],[WIN]]),COUNTIFS(Games_2116[ATHLETE 3],Analysis_3117[[#This Row],[Athletes]],Games_2116[RESULT 34],Analysis_3117[[#Headers],[WIN]]),COUNTIFS(Games_2116[ATHLETE 4],Analysis_3117[[#This Row],[Athletes]],Games_2116[RESULT 34],Analysis_3117[[#Headers],[WIN]]))</f>
        <v>1</v>
      </c>
      <c r="D26" s="14">
        <f>SUM(COUNTIFS(Games_2116[ATHLETE 1],Analysis_3117[[#This Row],[Athletes]],Games_2116[RESULT 12],Analysis_3117[[#Headers],[LOSE]]),COUNTIFS(Games_2116[ATHLETE 2],Analysis_3117[[#This Row],[Athletes]],Games_2116[RESULT 12],Analysis_3117[[#Headers],[LOSE]]),COUNTIFS(Games_2116[ATHLETE 3],Analysis_3117[[#This Row],[Athletes]],Games_2116[RESULT 34],Analysis_3117[[#Headers],[LOSE]]),COUNTIFS(Games_2116[ATHLETE 4],Analysis_3117[[#This Row],[Athletes]],Games_2116[RESULT 34],Analysis_3117[[#Headers],[LOSE]]))</f>
        <v>5</v>
      </c>
      <c r="E26" s="19">
        <f>SUM(SUMIF(Games_2116[ATHLETE 1],Analysis_3117[[#This Row],[Athletes]],Games_2116[SALDO 12]),SUMIF(Games_2116[ATHLETE 2],Analysis_3117[[#This Row],[Athletes]],Games_2116[SALDO 12]),SUMIF(Games_2116[ATHLETE 3],Analysis_3117[[#This Row],[Athletes]],Games_2116[SALDO 34]),SUMIF(Games_2116[ATHLETE 4],Analysis_3117[[#This Row],[Athletes]],Games_2116[SALDO 34]))</f>
        <v>-54</v>
      </c>
      <c r="F26" s="19">
        <f>SUM(SUMIF(Games_2116[ATHLETE 1],Analysis_3117[[#This Row],[Athletes]],Games_2116[PM 12]),SUMIF(Games_2116[ATHLETE 2],Analysis_3117[[#This Row],[Athletes]],Games_2116[PM 12]),SUMIF(Games_2116[ATHLETE 3],Analysis_3117[[#This Row],[Athletes]],Games_2116[PM 34]),SUMIF(Games_2116[ATHLETE 4],Analysis_3117[[#This Row],[Athletes]],Games_2116[PM 34]))</f>
        <v>52</v>
      </c>
      <c r="G26" s="430" t="str">
        <f>IF(COUNTBLANK(Games_2116[[SCORE 1]:[SCORE 2]])=0,IF(RANK(H26,$H$26:$H$32)=1,RANK(H26,$H$26:$H$32)&amp;"st",IF(RANK(H26,$H$26:$H$32)=2,RANK(H26,$H$26:$H$32)&amp;"nd",IF(RANK(H26,$H$26:$H$32)=3,RANK(H26,$H$26:$H$32)&amp;"rd",RANK(H26,$H$26:$H$32)&amp;"th"))),"")</f>
        <v>6th</v>
      </c>
      <c r="H26" s="51">
        <f>Analysis_3117[[#This Row],[WIN]]*1000000+Analysis_3117[[#This Row],[Saldo]]*1000+Analysis_3117[[#This Row],[PM]]</f>
        <v>946052</v>
      </c>
      <c r="I26" s="51">
        <f>H26</f>
        <v>946052</v>
      </c>
      <c r="J26" s="2" t="str">
        <f>IF(COUNTBLANK(Games_2116[[SCORE 1]:[SCORE 2]])=0,IF(RANK(I26,$I$26:$I$39)=1,RANK(I26,$I$26:$I$39)&amp;"st",IF(RANK(I26,$I$26:$I$39)=2,RANK(I26,$I$26:$I$39)&amp;"nd",IF(RANK(I26,$I$26:$I$39)=3,RANK(I26,$I$26:$I$39)&amp;"rd",RANK(I26,$I$26:$I$39)&amp;"th"))),"")</f>
        <v>13th</v>
      </c>
      <c r="K26" s="51" t="str">
        <f>Analysis_3117[[#This Row],[Athletes]]</f>
        <v>Kylie</v>
      </c>
      <c r="L26" s="2" t="str">
        <f>J26</f>
        <v>13th</v>
      </c>
      <c r="M26" s="160" t="str" cm="1">
        <f t="array" ref="M26">_xlfn.TEXTJOIN(", ", TRUE, _xlfn._xlws.FILTER($K$26:$K$39, $J$26:$J$39=V3,""))</f>
        <v>Zak</v>
      </c>
      <c r="N26" s="160" t="str" cm="1">
        <f t="array" ref="N26">_xlfn.TEXTJOIN(", ", TRUE, _xlfn._xlws.FILTER($K$26:$K$39, $J$26:$J$39=V4,""))</f>
        <v>Talita</v>
      </c>
      <c r="O26" s="157"/>
      <c r="P26" s="158"/>
      <c r="Q26" s="164" t="str">
        <f>B35</f>
        <v>Edgar</v>
      </c>
      <c r="R26" s="164" t="str">
        <f>B36</f>
        <v>Mariana Meirelles</v>
      </c>
    </row>
    <row r="27" spans="1:19">
      <c r="A27" s="3" t="s">
        <v>206</v>
      </c>
      <c r="B27" s="152" t="s">
        <v>313</v>
      </c>
      <c r="C27" s="14">
        <f>SUM(COUNTIFS(Games_2116[ATHLETE 1],Analysis_3117[[#This Row],[Athletes]],Games_2116[RESULT 12],Analysis_3117[[#Headers],[WIN]]),COUNTIFS(Games_2116[ATHLETE 2],Analysis_3117[[#This Row],[Athletes]],Games_2116[RESULT 12],Analysis_3117[[#Headers],[WIN]]),COUNTIFS(Games_2116[ATHLETE 3],Analysis_3117[[#This Row],[Athletes]],Games_2116[RESULT 34],Analysis_3117[[#Headers],[WIN]]),COUNTIFS(Games_2116[ATHLETE 4],Analysis_3117[[#This Row],[Athletes]],Games_2116[RESULT 34],Analysis_3117[[#Headers],[WIN]]))</f>
        <v>4</v>
      </c>
      <c r="D27" s="14">
        <f>SUM(COUNTIFS(Games_2116[ATHLETE 1],Analysis_3117[[#This Row],[Athletes]],Games_2116[RESULT 12],Analysis_3117[[#Headers],[LOSE]]),COUNTIFS(Games_2116[ATHLETE 2],Analysis_3117[[#This Row],[Athletes]],Games_2116[RESULT 12],Analysis_3117[[#Headers],[LOSE]]),COUNTIFS(Games_2116[ATHLETE 3],Analysis_3117[[#This Row],[Athletes]],Games_2116[RESULT 34],Analysis_3117[[#Headers],[LOSE]]),COUNTIFS(Games_2116[ATHLETE 4],Analysis_3117[[#This Row],[Athletes]],Games_2116[RESULT 34],Analysis_3117[[#Headers],[LOSE]]))</f>
        <v>2</v>
      </c>
      <c r="E27" s="19">
        <f>SUM(SUMIF(Games_2116[ATHLETE 1],Analysis_3117[[#This Row],[Athletes]],Games_2116[SALDO 12]),SUMIF(Games_2116[ATHLETE 2],Analysis_3117[[#This Row],[Athletes]],Games_2116[SALDO 12]),SUMIF(Games_2116[ATHLETE 3],Analysis_3117[[#This Row],[Athletes]],Games_2116[SALDO 34]),SUMIF(Games_2116[ATHLETE 4],Analysis_3117[[#This Row],[Athletes]],Games_2116[SALDO 34]))</f>
        <v>9</v>
      </c>
      <c r="F27" s="19">
        <f>SUM(SUMIF(Games_2116[ATHLETE 1],Analysis_3117[[#This Row],[Athletes]],Games_2116[PM 12]),SUMIF(Games_2116[ATHLETE 2],Analysis_3117[[#This Row],[Athletes]],Games_2116[PM 12]),SUMIF(Games_2116[ATHLETE 3],Analysis_3117[[#This Row],[Athletes]],Games_2116[PM 34]),SUMIF(Games_2116[ATHLETE 4],Analysis_3117[[#This Row],[Athletes]],Games_2116[PM 34]))</f>
        <v>97</v>
      </c>
      <c r="G27" s="430" t="str">
        <f>IF(COUNTBLANK(Games_2116[[SCORE 1]:[SCORE 2]])=0,IF(RANK(H27,$H$26:$H$32)=1,RANK(H27,$H$26:$H$32)&amp;"st",IF(RANK(H27,$H$26:$H$32)=2,RANK(H27,$H$26:$H$32)&amp;"nd",IF(RANK(H27,$H$26:$H$32)=3,RANK(H27,$H$26:$H$32)&amp;"rd",RANK(H27,$H$26:$H$32)&amp;"th"))),"")</f>
        <v>1st</v>
      </c>
      <c r="H27" s="51">
        <f>Analysis_3117[[#This Row],[WIN]]*1000000+Analysis_3117[[#This Row],[Saldo]]*1000+Analysis_3117[[#This Row],[PM]]</f>
        <v>4009097</v>
      </c>
      <c r="I27" s="51">
        <f t="shared" ref="I27:I32" si="2">H27</f>
        <v>4009097</v>
      </c>
      <c r="J27" s="2" t="str">
        <f>IF(COUNTBLANK(Games_2116[[SCORE 1]:[SCORE 2]])=0,IF(RANK(I27,$I$26:$I$39)=1,RANK(I27,$I$26:$I$39)&amp;"st",IF(RANK(I27,$I$26:$I$39)=2,RANK(I27,$I$26:$I$39)&amp;"nd",IF(RANK(I27,$I$26:$I$39)=3,RANK(I27,$I$26:$I$39)&amp;"rd",RANK(I27,$I$26:$I$39)&amp;"th"))),"")</f>
        <v>3rd</v>
      </c>
      <c r="K27" s="51" t="str">
        <f>Analysis_3117[[#This Row],[Athletes]]</f>
        <v>Will</v>
      </c>
      <c r="L27" s="2" t="str">
        <f t="shared" ref="L27:L32" si="3">J27</f>
        <v>3rd</v>
      </c>
      <c r="M27" s="62" t="str">
        <f>IF($O$27="lose",$V$5,"")</f>
        <v/>
      </c>
      <c r="N27" s="62" t="str">
        <f>IF($O$27="lose",$V$6,"")</f>
        <v/>
      </c>
      <c r="O27" s="2" t="str">
        <f>IF(OR(O26="",P26=""),"",IF((O26&gt;P26),"WIN","LOSE"))</f>
        <v/>
      </c>
      <c r="P27" s="2" t="str">
        <f>IF(OR(O26="",P26=""),"",IF((O26&lt;P26),"WIN","LOSE"))</f>
        <v/>
      </c>
      <c r="Q27" s="62" t="str">
        <f>IF($P$27="lose",$V$5,"")</f>
        <v/>
      </c>
      <c r="R27" s="62" t="str">
        <f>IF($P$27="lose",$V$6,"")</f>
        <v/>
      </c>
      <c r="S27" s="47"/>
    </row>
    <row r="28" spans="1:19" ht="15.95">
      <c r="A28" s="5" t="s">
        <v>207</v>
      </c>
      <c r="B28" s="152" t="s">
        <v>314</v>
      </c>
      <c r="C28" s="14">
        <f>SUM(COUNTIFS(Games_2116[ATHLETE 1],Analysis_3117[[#This Row],[Athletes]],Games_2116[RESULT 12],Analysis_3117[[#Headers],[WIN]]),COUNTIFS(Games_2116[ATHLETE 2],Analysis_3117[[#This Row],[Athletes]],Games_2116[RESULT 12],Analysis_3117[[#Headers],[WIN]]),COUNTIFS(Games_2116[ATHLETE 3],Analysis_3117[[#This Row],[Athletes]],Games_2116[RESULT 34],Analysis_3117[[#Headers],[WIN]]),COUNTIFS(Games_2116[ATHLETE 4],Analysis_3117[[#This Row],[Athletes]],Games_2116[RESULT 34],Analysis_3117[[#Headers],[WIN]]))</f>
        <v>2</v>
      </c>
      <c r="D28" s="14">
        <f>SUM(COUNTIFS(Games_2116[ATHLETE 1],Analysis_3117[[#This Row],[Athletes]],Games_2116[RESULT 12],Analysis_3117[[#Headers],[LOSE]]),COUNTIFS(Games_2116[ATHLETE 2],Analysis_3117[[#This Row],[Athletes]],Games_2116[RESULT 12],Analysis_3117[[#Headers],[LOSE]]),COUNTIFS(Games_2116[ATHLETE 3],Analysis_3117[[#This Row],[Athletes]],Games_2116[RESULT 34],Analysis_3117[[#Headers],[LOSE]]),COUNTIFS(Games_2116[ATHLETE 4],Analysis_3117[[#This Row],[Athletes]],Games_2116[RESULT 34],Analysis_3117[[#Headers],[LOSE]]))</f>
        <v>4</v>
      </c>
      <c r="E28" s="19">
        <f>SUM(SUMIF(Games_2116[ATHLETE 1],Analysis_3117[[#This Row],[Athletes]],Games_2116[SALDO 12]),SUMIF(Games_2116[ATHLETE 2],Analysis_3117[[#This Row],[Athletes]],Games_2116[SALDO 12]),SUMIF(Games_2116[ATHLETE 3],Analysis_3117[[#This Row],[Athletes]],Games_2116[SALDO 34]),SUMIF(Games_2116[ATHLETE 4],Analysis_3117[[#This Row],[Athletes]],Games_2116[SALDO 34]))</f>
        <v>-3</v>
      </c>
      <c r="F28" s="19">
        <f>SUM(SUMIF(Games_2116[ATHLETE 1],Analysis_3117[[#This Row],[Athletes]],Games_2116[PM 12]),SUMIF(Games_2116[ATHLETE 2],Analysis_3117[[#This Row],[Athletes]],Games_2116[PM 12]),SUMIF(Games_2116[ATHLETE 3],Analysis_3117[[#This Row],[Athletes]],Games_2116[PM 34]),SUMIF(Games_2116[ATHLETE 4],Analysis_3117[[#This Row],[Athletes]],Games_2116[PM 34]))</f>
        <v>87</v>
      </c>
      <c r="G28" s="430" t="str">
        <f>IF(COUNTBLANK(Games_2116[[SCORE 1]:[SCORE 2]])=0,IF(RANK(H28,$H$26:$H$32)=1,RANK(H28,$H$26:$H$32)&amp;"st",IF(RANK(H28,$H$26:$H$32)=2,RANK(H28,$H$26:$H$32)&amp;"nd",IF(RANK(H28,$H$26:$H$32)=3,RANK(H28,$H$26:$H$32)&amp;"rd",RANK(H28,$H$26:$H$32)&amp;"th"))),"")</f>
        <v>5th</v>
      </c>
      <c r="H28" s="51">
        <f>Analysis_3117[[#This Row],[WIN]]*1000000+Analysis_3117[[#This Row],[Saldo]]*1000+Analysis_3117[[#This Row],[PM]]</f>
        <v>1997087</v>
      </c>
      <c r="I28" s="51">
        <f t="shared" si="2"/>
        <v>1997087</v>
      </c>
      <c r="J28" s="2" t="str">
        <f>IF(COUNTBLANK(Games_2116[[SCORE 1]:[SCORE 2]])=0,IF(RANK(I28,$I$26:$I$39)=1,RANK(I28,$I$26:$I$39)&amp;"st",IF(RANK(I28,$I$26:$I$39)=2,RANK(I28,$I$26:$I$39)&amp;"nd",IF(RANK(I28,$I$26:$I$39)=3,RANK(I28,$I$26:$I$39)&amp;"rd",RANK(I28,$I$26:$I$39)&amp;"th"))),"")</f>
        <v>12th</v>
      </c>
      <c r="K28" s="51" t="str">
        <f>Analysis_3117[[#This Row],[Athletes]]</f>
        <v>Rebecca</v>
      </c>
      <c r="L28" s="2" t="str">
        <f t="shared" si="3"/>
        <v>12th</v>
      </c>
      <c r="M28" s="61"/>
      <c r="N28" s="61"/>
      <c r="O28"/>
      <c r="P28"/>
      <c r="Q28" s="61"/>
      <c r="R28" s="61"/>
    </row>
    <row r="29" spans="1:19">
      <c r="A29" s="3" t="s">
        <v>208</v>
      </c>
      <c r="B29" s="152" t="s">
        <v>146</v>
      </c>
      <c r="C29" s="14">
        <f>SUM(COUNTIFS(Games_2116[ATHLETE 1],Analysis_3117[[#This Row],[Athletes]],Games_2116[RESULT 12],Analysis_3117[[#Headers],[WIN]]),COUNTIFS(Games_2116[ATHLETE 2],Analysis_3117[[#This Row],[Athletes]],Games_2116[RESULT 12],Analysis_3117[[#Headers],[WIN]]),COUNTIFS(Games_2116[ATHLETE 3],Analysis_3117[[#This Row],[Athletes]],Games_2116[RESULT 34],Analysis_3117[[#Headers],[WIN]]),COUNTIFS(Games_2116[ATHLETE 4],Analysis_3117[[#This Row],[Athletes]],Games_2116[RESULT 34],Analysis_3117[[#Headers],[WIN]]))</f>
        <v>0</v>
      </c>
      <c r="D29" s="14">
        <f>SUM(COUNTIFS(Games_2116[ATHLETE 1],Analysis_3117[[#This Row],[Athletes]],Games_2116[RESULT 12],Analysis_3117[[#Headers],[LOSE]]),COUNTIFS(Games_2116[ATHLETE 2],Analysis_3117[[#This Row],[Athletes]],Games_2116[RESULT 12],Analysis_3117[[#Headers],[LOSE]]),COUNTIFS(Games_2116[ATHLETE 3],Analysis_3117[[#This Row],[Athletes]],Games_2116[RESULT 34],Analysis_3117[[#Headers],[LOSE]]),COUNTIFS(Games_2116[ATHLETE 4],Analysis_3117[[#This Row],[Athletes]],Games_2116[RESULT 34],Analysis_3117[[#Headers],[LOSE]]))</f>
        <v>6</v>
      </c>
      <c r="E29" s="19">
        <f>SUM(SUMIF(Games_2116[ATHLETE 1],Analysis_3117[[#This Row],[Athletes]],Games_2116[SALDO 12]),SUMIF(Games_2116[ATHLETE 2],Analysis_3117[[#This Row],[Athletes]],Games_2116[SALDO 12]),SUMIF(Games_2116[ATHLETE 3],Analysis_3117[[#This Row],[Athletes]],Games_2116[SALDO 34]),SUMIF(Games_2116[ATHLETE 4],Analysis_3117[[#This Row],[Athletes]],Games_2116[SALDO 34]))</f>
        <v>-44</v>
      </c>
      <c r="F29" s="19">
        <f>SUM(SUMIF(Games_2116[ATHLETE 1],Analysis_3117[[#This Row],[Athletes]],Games_2116[PM 12]),SUMIF(Games_2116[ATHLETE 2],Analysis_3117[[#This Row],[Athletes]],Games_2116[PM 12]),SUMIF(Games_2116[ATHLETE 3],Analysis_3117[[#This Row],[Athletes]],Games_2116[PM 34]),SUMIF(Games_2116[ATHLETE 4],Analysis_3117[[#This Row],[Athletes]],Games_2116[PM 34]))</f>
        <v>64</v>
      </c>
      <c r="G29" s="430" t="str">
        <f>IF(COUNTBLANK(Games_2116[[SCORE 1]:[SCORE 2]])=0,IF(RANK(H29,$H$26:$H$32)=1,RANK(H29,$H$26:$H$32)&amp;"st",IF(RANK(H29,$H$26:$H$32)=2,RANK(H29,$H$26:$H$32)&amp;"nd",IF(RANK(H29,$H$26:$H$32)=3,RANK(H29,$H$26:$H$32)&amp;"rd",RANK(H29,$H$26:$H$32)&amp;"th"))),"")</f>
        <v>7th</v>
      </c>
      <c r="H29" s="51">
        <f>Analysis_3117[[#This Row],[WIN]]*1000000+Analysis_3117[[#This Row],[Saldo]]*1000+Analysis_3117[[#This Row],[PM]]</f>
        <v>-43936</v>
      </c>
      <c r="I29" s="51">
        <f t="shared" si="2"/>
        <v>-43936</v>
      </c>
      <c r="J29" s="2" t="str">
        <f>IF(COUNTBLANK(Games_2116[[SCORE 1]:[SCORE 2]])=0,IF(RANK(I29,$I$26:$I$39)=1,RANK(I29,$I$26:$I$39)&amp;"st",IF(RANK(I29,$I$26:$I$39)=2,RANK(I29,$I$26:$I$39)&amp;"nd",IF(RANK(I29,$I$26:$I$39)=3,RANK(I29,$I$26:$I$39)&amp;"rd",RANK(I29,$I$26:$I$39)&amp;"th"))),"")</f>
        <v>14th</v>
      </c>
      <c r="K29" s="51" t="str">
        <f>Analysis_3117[[#This Row],[Athletes]]</f>
        <v>Thor</v>
      </c>
      <c r="L29" s="2" t="str">
        <f t="shared" si="3"/>
        <v>14th</v>
      </c>
      <c r="M29"/>
      <c r="N29"/>
      <c r="O29"/>
      <c r="P29"/>
      <c r="Q29"/>
      <c r="R29"/>
    </row>
    <row r="30" spans="1:19" ht="29.1">
      <c r="A30" s="2" t="s">
        <v>230</v>
      </c>
      <c r="B30" s="153" t="s">
        <v>315</v>
      </c>
      <c r="C30" s="14">
        <f>SUM(COUNTIFS(Games_2116[ATHLETE 1],Analysis_3117[[#This Row],[Athletes]],Games_2116[RESULT 12],Analysis_3117[[#Headers],[WIN]]),COUNTIFS(Games_2116[ATHLETE 2],Analysis_3117[[#This Row],[Athletes]],Games_2116[RESULT 12],Analysis_3117[[#Headers],[WIN]]),COUNTIFS(Games_2116[ATHLETE 3],Analysis_3117[[#This Row],[Athletes]],Games_2116[RESULT 34],Analysis_3117[[#Headers],[WIN]]),COUNTIFS(Games_2116[ATHLETE 4],Analysis_3117[[#This Row],[Athletes]],Games_2116[RESULT 34],Analysis_3117[[#Headers],[WIN]]))</f>
        <v>3</v>
      </c>
      <c r="D30" s="14">
        <f>SUM(COUNTIFS(Games_2116[ATHLETE 1],Analysis_3117[[#This Row],[Athletes]],Games_2116[RESULT 12],Analysis_3117[[#Headers],[LOSE]]),COUNTIFS(Games_2116[ATHLETE 2],Analysis_3117[[#This Row],[Athletes]],Games_2116[RESULT 12],Analysis_3117[[#Headers],[LOSE]]),COUNTIFS(Games_2116[ATHLETE 3],Analysis_3117[[#This Row],[Athletes]],Games_2116[RESULT 34],Analysis_3117[[#Headers],[LOSE]]),COUNTIFS(Games_2116[ATHLETE 4],Analysis_3117[[#This Row],[Athletes]],Games_2116[RESULT 34],Analysis_3117[[#Headers],[LOSE]]))</f>
        <v>3</v>
      </c>
      <c r="E30" s="19">
        <f>SUM(SUMIF(Games_2116[ATHLETE 1],Analysis_3117[[#This Row],[Athletes]],Games_2116[SALDO 12]),SUMIF(Games_2116[ATHLETE 2],Analysis_3117[[#This Row],[Athletes]],Games_2116[SALDO 12]),SUMIF(Games_2116[ATHLETE 3],Analysis_3117[[#This Row],[Athletes]],Games_2116[SALDO 34]),SUMIF(Games_2116[ATHLETE 4],Analysis_3117[[#This Row],[Athletes]],Games_2116[SALDO 34]))</f>
        <v>-11</v>
      </c>
      <c r="F30" s="19">
        <f>SUM(SUMIF(Games_2116[ATHLETE 1],Analysis_3117[[#This Row],[Athletes]],Games_2116[PM 12]),SUMIF(Games_2116[ATHLETE 2],Analysis_3117[[#This Row],[Athletes]],Games_2116[PM 12]),SUMIF(Games_2116[ATHLETE 3],Analysis_3117[[#This Row],[Athletes]],Games_2116[PM 34]),SUMIF(Games_2116[ATHLETE 4],Analysis_3117[[#This Row],[Athletes]],Games_2116[PM 34]))</f>
        <v>89</v>
      </c>
      <c r="G30" s="430" t="str">
        <f>IF(COUNTBLANK(Games_2116[[SCORE 1]:[SCORE 2]])=0,IF(RANK(H30,$H$26:$H$32)=1,RANK(H30,$H$26:$H$32)&amp;"st",IF(RANK(H30,$H$26:$H$32)=2,RANK(H30,$H$26:$H$32)&amp;"nd",IF(RANK(H30,$H$26:$H$32)=3,RANK(H30,$H$26:$H$32)&amp;"rd",RANK(H30,$H$26:$H$32)&amp;"th"))),"")</f>
        <v>4th</v>
      </c>
      <c r="H30" s="51">
        <f>Analysis_3117[[#This Row],[WIN]]*1000000+Analysis_3117[[#This Row],[Saldo]]*1000+Analysis_3117[[#This Row],[PM]]</f>
        <v>2989089</v>
      </c>
      <c r="I30" s="51">
        <f t="shared" si="2"/>
        <v>2989089</v>
      </c>
      <c r="J30" s="2" t="str">
        <f>IF(COUNTBLANK(Games_2116[[SCORE 1]:[SCORE 2]])=0,IF(RANK(I30,$I$26:$I$39)=1,RANK(I30,$I$26:$I$39)&amp;"st",IF(RANK(I30,$I$26:$I$39)=2,RANK(I30,$I$26:$I$39)&amp;"nd",IF(RANK(I30,$I$26:$I$39)=3,RANK(I30,$I$26:$I$39)&amp;"rd",RANK(I30,$I$26:$I$39)&amp;"th"))),"")</f>
        <v>10th</v>
      </c>
      <c r="K30" s="51" t="str">
        <f>Analysis_3117[[#This Row],[Athletes]]</f>
        <v>Tabata</v>
      </c>
      <c r="L30" s="2" t="str">
        <f t="shared" si="3"/>
        <v>10th</v>
      </c>
      <c r="M30" s="556" t="s">
        <v>200</v>
      </c>
      <c r="N30" s="557"/>
      <c r="O30" s="557"/>
      <c r="P30" s="557"/>
      <c r="Q30" s="557"/>
      <c r="R30" s="557"/>
    </row>
    <row r="31" spans="1:19" ht="28.5" customHeight="1">
      <c r="A31" s="2" t="s">
        <v>245</v>
      </c>
      <c r="B31" s="153" t="s">
        <v>316</v>
      </c>
      <c r="C31" s="14">
        <f>SUM(COUNTIFS(Games_2116[ATHLETE 1],Analysis_3117[[#This Row],[Athletes]],Games_2116[RESULT 12],Analysis_3117[[#Headers],[WIN]]),COUNTIFS(Games_2116[ATHLETE 2],Analysis_3117[[#This Row],[Athletes]],Games_2116[RESULT 12],Analysis_3117[[#Headers],[WIN]]),COUNTIFS(Games_2116[ATHLETE 3],Analysis_3117[[#This Row],[Athletes]],Games_2116[RESULT 34],Analysis_3117[[#Headers],[WIN]]),COUNTIFS(Games_2116[ATHLETE 4],Analysis_3117[[#This Row],[Athletes]],Games_2116[RESULT 34],Analysis_3117[[#Headers],[WIN]]))</f>
        <v>3</v>
      </c>
      <c r="D31" s="14">
        <f>SUM(COUNTIFS(Games_2116[ATHLETE 1],Analysis_3117[[#This Row],[Athletes]],Games_2116[RESULT 12],Analysis_3117[[#Headers],[LOSE]]),COUNTIFS(Games_2116[ATHLETE 2],Analysis_3117[[#This Row],[Athletes]],Games_2116[RESULT 12],Analysis_3117[[#Headers],[LOSE]]),COUNTIFS(Games_2116[ATHLETE 3],Analysis_3117[[#This Row],[Athletes]],Games_2116[RESULT 34],Analysis_3117[[#Headers],[LOSE]]),COUNTIFS(Games_2116[ATHLETE 4],Analysis_3117[[#This Row],[Athletes]],Games_2116[RESULT 34],Analysis_3117[[#Headers],[LOSE]]))</f>
        <v>3</v>
      </c>
      <c r="E31" s="19">
        <f>SUM(SUMIF(Games_2116[ATHLETE 1],Analysis_3117[[#This Row],[Athletes]],Games_2116[SALDO 12]),SUMIF(Games_2116[ATHLETE 2],Analysis_3117[[#This Row],[Athletes]],Games_2116[SALDO 12]),SUMIF(Games_2116[ATHLETE 3],Analysis_3117[[#This Row],[Athletes]],Games_2116[SALDO 34]),SUMIF(Games_2116[ATHLETE 4],Analysis_3117[[#This Row],[Athletes]],Games_2116[SALDO 34]))</f>
        <v>5</v>
      </c>
      <c r="F31" s="19">
        <f>SUM(SUMIF(Games_2116[ATHLETE 1],Analysis_3117[[#This Row],[Athletes]],Games_2116[PM 12]),SUMIF(Games_2116[ATHLETE 2],Analysis_3117[[#This Row],[Athletes]],Games_2116[PM 12]),SUMIF(Games_2116[ATHLETE 3],Analysis_3117[[#This Row],[Athletes]],Games_2116[PM 34]),SUMIF(Games_2116[ATHLETE 4],Analysis_3117[[#This Row],[Athletes]],Games_2116[PM 34]))</f>
        <v>99</v>
      </c>
      <c r="G31" s="430" t="str">
        <f>IF(COUNTBLANK(Games_2116[[SCORE 1]:[SCORE 2]])=0,IF(RANK(H31,$H$26:$H$32)=1,RANK(H31,$H$26:$H$32)&amp;"st",IF(RANK(H31,$H$26:$H$32)=2,RANK(H31,$H$26:$H$32)&amp;"nd",IF(RANK(H31,$H$26:$H$32)=3,RANK(H31,$H$26:$H$32)&amp;"rd",RANK(H31,$H$26:$H$32)&amp;"th"))),"")</f>
        <v>2nd</v>
      </c>
      <c r="H31" s="51">
        <f>Analysis_3117[[#This Row],[WIN]]*1000000+Analysis_3117[[#This Row],[Saldo]]*1000+Analysis_3117[[#This Row],[PM]]</f>
        <v>3005099</v>
      </c>
      <c r="I31" s="51">
        <f t="shared" si="2"/>
        <v>3005099</v>
      </c>
      <c r="J31" s="2" t="str">
        <f>IF(COUNTBLANK(Games_2116[[SCORE 1]:[SCORE 2]])=0,IF(RANK(I31,$I$26:$I$39)=1,RANK(I31,$I$26:$I$39)&amp;"st",IF(RANK(I31,$I$26:$I$39)=2,RANK(I31,$I$26:$I$39)&amp;"nd",IF(RANK(I31,$I$26:$I$39)=3,RANK(I31,$I$26:$I$39)&amp;"rd",RANK(I31,$I$26:$I$39)&amp;"th"))),"")</f>
        <v>7th</v>
      </c>
      <c r="K31" s="51" t="str">
        <f>Analysis_3117[[#This Row],[Athletes]]</f>
        <v>Chris</v>
      </c>
      <c r="L31" s="2" t="str">
        <f t="shared" si="3"/>
        <v>7th</v>
      </c>
      <c r="M31" s="424" t="s">
        <v>193</v>
      </c>
      <c r="N31" s="424" t="s">
        <v>194</v>
      </c>
      <c r="O31" s="552" t="s">
        <v>195</v>
      </c>
      <c r="P31" s="553"/>
      <c r="Q31" s="424" t="s">
        <v>196</v>
      </c>
      <c r="R31" s="424" t="s">
        <v>197</v>
      </c>
    </row>
    <row r="32" spans="1:19" ht="28.5" customHeight="1">
      <c r="A32" s="2" t="s">
        <v>317</v>
      </c>
      <c r="B32" s="113" t="s">
        <v>93</v>
      </c>
      <c r="C32" s="14">
        <f>SUM(COUNTIFS(Games_2116[ATHLETE 1],Analysis_3117[[#This Row],[Athletes]],Games_2116[RESULT 12],Analysis_3117[[#Headers],[WIN]]),COUNTIFS(Games_2116[ATHLETE 2],Analysis_3117[[#This Row],[Athletes]],Games_2116[RESULT 12],Analysis_3117[[#Headers],[WIN]]),COUNTIFS(Games_2116[ATHLETE 3],Analysis_3117[[#This Row],[Athletes]],Games_2116[RESULT 34],Analysis_3117[[#Headers],[WIN]]),COUNTIFS(Games_2116[ATHLETE 4],Analysis_3117[[#This Row],[Athletes]],Games_2116[RESULT 34],Analysis_3117[[#Headers],[WIN]]))</f>
        <v>3</v>
      </c>
      <c r="D32" s="14">
        <f>SUM(COUNTIFS(Games_2116[ATHLETE 1],Analysis_3117[[#This Row],[Athletes]],Games_2116[RESULT 12],Analysis_3117[[#Headers],[LOSE]]),COUNTIFS(Games_2116[ATHLETE 2],Analysis_3117[[#This Row],[Athletes]],Games_2116[RESULT 12],Analysis_3117[[#Headers],[LOSE]]),COUNTIFS(Games_2116[ATHLETE 3],Analysis_3117[[#This Row],[Athletes]],Games_2116[RESULT 34],Analysis_3117[[#Headers],[LOSE]]),COUNTIFS(Games_2116[ATHLETE 4],Analysis_3117[[#This Row],[Athletes]],Games_2116[RESULT 34],Analysis_3117[[#Headers],[LOSE]]))</f>
        <v>3</v>
      </c>
      <c r="E32" s="19">
        <f>SUM(SUMIF(Games_2116[ATHLETE 1],Analysis_3117[[#This Row],[Athletes]],Games_2116[SALDO 12]),SUMIF(Games_2116[ATHLETE 2],Analysis_3117[[#This Row],[Athletes]],Games_2116[SALDO 12]),SUMIF(Games_2116[ATHLETE 3],Analysis_3117[[#This Row],[Athletes]],Games_2116[SALDO 34]),SUMIF(Games_2116[ATHLETE 4],Analysis_3117[[#This Row],[Athletes]],Games_2116[SALDO 34]))</f>
        <v>-8</v>
      </c>
      <c r="F32" s="19">
        <f>SUM(SUMIF(Games_2116[ATHLETE 1],Analysis_3117[[#This Row],[Athletes]],Games_2116[PM 12]),SUMIF(Games_2116[ATHLETE 2],Analysis_3117[[#This Row],[Athletes]],Games_2116[PM 12]),SUMIF(Games_2116[ATHLETE 3],Analysis_3117[[#This Row],[Athletes]],Games_2116[PM 34]),SUMIF(Games_2116[ATHLETE 4],Analysis_3117[[#This Row],[Athletes]],Games_2116[PM 34]))</f>
        <v>86</v>
      </c>
      <c r="G32" s="430" t="str">
        <f>IF(COUNTBLANK(Games_2116[[SCORE 1]:[SCORE 2]])=0,IF(RANK(H32,$H$26:$H$32)=1,RANK(H32,$H$26:$H$32)&amp;"st",IF(RANK(H32,$H$26:$H$32)=2,RANK(H32,$H$26:$H$32)&amp;"nd",IF(RANK(H32,$H$26:$H$32)=3,RANK(H32,$H$26:$H$32)&amp;"rd",RANK(H32,$H$26:$H$32)&amp;"th"))),"")</f>
        <v>3rd</v>
      </c>
      <c r="H32" s="51">
        <f>Analysis_3117[[#This Row],[WIN]]*1000000+Analysis_3117[[#This Row],[Saldo]]*1000+Analysis_3117[[#This Row],[PM]]</f>
        <v>2992086</v>
      </c>
      <c r="I32" s="51">
        <f t="shared" si="2"/>
        <v>2992086</v>
      </c>
      <c r="J32" s="2" t="str">
        <f>IF(COUNTBLANK(Games_2116[[SCORE 1]:[SCORE 2]])=0,IF(RANK(I32,$I$26:$I$39)=1,RANK(I32,$I$26:$I$39)&amp;"st",IF(RANK(I32,$I$26:$I$39)=2,RANK(I32,$I$26:$I$39)&amp;"nd",IF(RANK(I32,$I$26:$I$39)=3,RANK(I32,$I$26:$I$39)&amp;"rd",RANK(I32,$I$26:$I$39)&amp;"th"))),"")</f>
        <v>9th</v>
      </c>
      <c r="K32" s="51" t="str">
        <f>Analysis_3117[[#This Row],[Athletes]]</f>
        <v>Guti</v>
      </c>
      <c r="L32" s="2" t="str">
        <f t="shared" si="3"/>
        <v>9th</v>
      </c>
      <c r="M32" s="432" t="str">
        <f>IF(COUNTBLANK($O$26:$P$26)=0,IF($O$27="lose",$Q$26,$M$26),"")</f>
        <v/>
      </c>
      <c r="N32" s="115"/>
      <c r="O32" s="99"/>
      <c r="P32" s="98"/>
      <c r="Q32" s="432" t="str">
        <f>IF(COUNTBLANK($O$26:$P$26)=0,IF($O$27="lose",$R$26,$N$26),"")</f>
        <v/>
      </c>
      <c r="R32" s="115"/>
    </row>
    <row r="33" spans="1:17">
      <c r="I33" s="51">
        <f>H35</f>
        <v>3009104</v>
      </c>
      <c r="J33" s="2" t="str">
        <f>IF(COUNTBLANK(Games_2116[[SCORE 1]:[SCORE 2]])=0,IF(RANK(I33,$I$26:$I$39)=1,RANK(I33,$I$26:$I$39)&amp;"st",IF(RANK(I33,$I$26:$I$39)=2,RANK(I33,$I$26:$I$39)&amp;"nd",IF(RANK(I33,$I$26:$I$39)=3,RANK(I33,$I$26:$I$39)&amp;"rd",RANK(I33,$I$26:$I$39)&amp;"th"))),"")</f>
        <v>5th</v>
      </c>
      <c r="K33" s="51" t="str">
        <f>B35</f>
        <v>Edgar</v>
      </c>
      <c r="L33" s="2"/>
      <c r="M33" s="161" t="str">
        <f>IF(COUNTBLANK($O$32:$P$32)=0,IF($O$33="lose",$V$4,$V$3),"")</f>
        <v/>
      </c>
      <c r="O33" s="2" t="str">
        <f>IF(OR(O32="",P32=""),"",IF((O32&gt;P32),"WIN","LOSE"))</f>
        <v/>
      </c>
      <c r="P33" s="2" t="str">
        <f>IF(OR(O32="",P32=""),"",IF((O32&lt;P32),"WIN","LOSE"))</f>
        <v/>
      </c>
      <c r="Q33" s="161" t="str">
        <f>IF(COUNTBLANK($O$32:$P$32)=0,IF($P$33="lose",$V$4,$V$3),"")</f>
        <v/>
      </c>
    </row>
    <row r="34" spans="1:17" ht="15.95">
      <c r="A34" s="110" t="s">
        <v>246</v>
      </c>
      <c r="B34" s="43" t="s">
        <v>203</v>
      </c>
      <c r="C34" s="43" t="s">
        <v>186</v>
      </c>
      <c r="D34" s="43" t="s">
        <v>187</v>
      </c>
      <c r="E34" s="43" t="s">
        <v>188</v>
      </c>
      <c r="F34" s="43" t="s">
        <v>189</v>
      </c>
      <c r="G34" s="419" t="s">
        <v>8</v>
      </c>
      <c r="H34" s="419" t="s">
        <v>204</v>
      </c>
      <c r="I34" s="51">
        <f t="shared" ref="I34:I38" si="4">H36</f>
        <v>3007085</v>
      </c>
      <c r="J34" s="2" t="str">
        <f>IF(COUNTBLANK(Games_2116[[SCORE 1]:[SCORE 2]])=0,IF(RANK(I34,$I$26:$I$39)=1,RANK(I34,$I$26:$I$39)&amp;"st",IF(RANK(I34,$I$26:$I$39)=2,RANK(I34,$I$26:$I$39)&amp;"nd",IF(RANK(I34,$I$26:$I$39)=3,RANK(I34,$I$26:$I$39)&amp;"rd",RANK(I34,$I$26:$I$39)&amp;"th"))),"")</f>
        <v>6th</v>
      </c>
      <c r="K34" s="51" t="str">
        <f t="shared" ref="K34:K39" si="5">B36</f>
        <v>Mariana Meirelles</v>
      </c>
      <c r="L34" s="425" t="s">
        <v>192</v>
      </c>
    </row>
    <row r="35" spans="1:17">
      <c r="A35" s="96" t="s">
        <v>209</v>
      </c>
      <c r="B35" s="152" t="s">
        <v>156</v>
      </c>
      <c r="C35" s="14">
        <f>SUM(COUNTIFS(Games_2116[ATHLETE 1],Analysis_4119[[#This Row],[Athletes]],Games_2116[RESULT 12],Analysis_3117[[#Headers],[WIN]]),COUNTIFS(Games_2116[ATHLETE 2],Analysis_4119[[#This Row],[Athletes]],Games_2116[RESULT 12],Analysis_3117[[#Headers],[WIN]]),COUNTIFS(Games_2116[ATHLETE 3],Analysis_4119[[#This Row],[Athletes]],Games_2116[RESULT 34],Analysis_3117[[#Headers],[WIN]]),COUNTIFS(Games_2116[ATHLETE 4],Analysis_4119[[#This Row],[Athletes]],Games_2116[RESULT 34],Analysis_3117[[#Headers],[WIN]]))</f>
        <v>3</v>
      </c>
      <c r="D35" s="14">
        <f>SUM(COUNTIFS(Games_2116[ATHLETE 1],Analysis_4119[[#This Row],[Athletes]],Games_2116[RESULT 12],Analysis_3117[[#Headers],[LOSE]]),COUNTIFS(Games_2116[ATHLETE 2],Analysis_4119[[#This Row],[Athletes]],Games_2116[RESULT 12],Analysis_3117[[#Headers],[LOSE]]),COUNTIFS(Games_2116[ATHLETE 3],Analysis_4119[[#This Row],[Athletes]],Games_2116[RESULT 34],Analysis_3117[[#Headers],[LOSE]]),COUNTIFS(Games_2116[ATHLETE 4],Analysis_4119[[#This Row],[Athletes]],Games_2116[RESULT 34],Analysis_3117[[#Headers],[LOSE]]))</f>
        <v>3</v>
      </c>
      <c r="E35" s="46">
        <f>SUM(SUMIF(Games_2116[ATHLETE 1],Analysis_4119[[#This Row],[Athletes]],Games_2116[SALDO 12]),SUMIF(Games_2116[ATHLETE 2],Analysis_4119[[#This Row],[Athletes]],Games_2116[SALDO 12]),SUMIF(Games_2116[ATHLETE 3],Analysis_4119[[#This Row],[Athletes]],Games_2116[SALDO 34]),SUMIF(Games_2116[ATHLETE 4],Analysis_4119[[#This Row],[Athletes]],Games_2116[SALDO 34]))</f>
        <v>9</v>
      </c>
      <c r="F35" s="46">
        <f>SUM(SUMIF(Games_2116[ATHLETE 1],Analysis_4119[[#This Row],[Athletes]],Games_2116[PM 12]),SUMIF(Games_2116[ATHLETE 2],Analysis_4119[[#This Row],[Athletes]],Games_2116[PM 12]),SUMIF(Games_2116[ATHLETE 3],Analysis_4119[[#This Row],[Athletes]],Games_2116[PM 34]),SUMIF(Games_2116[ATHLETE 4],Analysis_4119[[#This Row],[Athletes]],Games_2116[PM 34]))</f>
        <v>104</v>
      </c>
      <c r="G35" s="430" t="str">
        <f>IF(COUNTBLANK(Games_2116[[SCORE 1]:[SCORE 2]])=0,IF(RANK(H35,$H$35:$H$41)=1,RANK(H35,$H$35:$H$41)&amp;"st",IF(RANK(H35,$H$35:$H$41)=2,RANK(H35,$H$35:$H$41)&amp;"nd",IF(RANK(H35,$H$35:$H$41)=3,RANK(H35,$H$35:$H$41)&amp;"rd",RANK(H35,$H$35:$H$41)&amp;"th"))),"")</f>
        <v>4th</v>
      </c>
      <c r="H35" s="51">
        <f>Analysis_4119[[#This Row],[WIN]]*1000000+Analysis_4119[[#This Row],[Saldo]]*1000+Analysis_4119[[#This Row],[PM]]</f>
        <v>3009104</v>
      </c>
      <c r="I35" s="51">
        <f t="shared" si="4"/>
        <v>3032105</v>
      </c>
      <c r="J35" s="2" t="str">
        <f>IF(COUNTBLANK(Games_2116[[SCORE 1]:[SCORE 2]])=0,IF(RANK(I35,$I$26:$I$39)=1,RANK(I35,$I$26:$I$39)&amp;"st",IF(RANK(I35,$I$26:$I$39)=2,RANK(I35,$I$26:$I$39)&amp;"nd",IF(RANK(I35,$I$26:$I$39)=3,RANK(I35,$I$26:$I$39)&amp;"rd",RANK(I35,$I$26:$I$39)&amp;"th"))),"")</f>
        <v>4th</v>
      </c>
      <c r="K35" s="51" t="str">
        <f t="shared" si="5"/>
        <v>Matheus T.</v>
      </c>
      <c r="L35" s="2" t="str">
        <f>J33</f>
        <v>5th</v>
      </c>
    </row>
    <row r="36" spans="1:17">
      <c r="A36" s="430" t="s">
        <v>210</v>
      </c>
      <c r="B36" s="152" t="s">
        <v>318</v>
      </c>
      <c r="C36" s="14">
        <f>SUM(COUNTIFS(Games_2116[ATHLETE 1],Analysis_4119[[#This Row],[Athletes]],Games_2116[RESULT 12],Analysis_3117[[#Headers],[WIN]]),COUNTIFS(Games_2116[ATHLETE 2],Analysis_4119[[#This Row],[Athletes]],Games_2116[RESULT 12],Analysis_3117[[#Headers],[WIN]]),COUNTIFS(Games_2116[ATHLETE 3],Analysis_4119[[#This Row],[Athletes]],Games_2116[RESULT 34],Analysis_3117[[#Headers],[WIN]]),COUNTIFS(Games_2116[ATHLETE 4],Analysis_4119[[#This Row],[Athletes]],Games_2116[RESULT 34],Analysis_3117[[#Headers],[WIN]]))</f>
        <v>3</v>
      </c>
      <c r="D36" s="14">
        <f>SUM(COUNTIFS(Games_2116[ATHLETE 1],Analysis_4119[[#This Row],[Athletes]],Games_2116[RESULT 12],Analysis_3117[[#Headers],[LOSE]]),COUNTIFS(Games_2116[ATHLETE 2],Analysis_4119[[#This Row],[Athletes]],Games_2116[RESULT 12],Analysis_3117[[#Headers],[LOSE]]),COUNTIFS(Games_2116[ATHLETE 3],Analysis_4119[[#This Row],[Athletes]],Games_2116[RESULT 34],Analysis_3117[[#Headers],[LOSE]]),COUNTIFS(Games_2116[ATHLETE 4],Analysis_4119[[#This Row],[Athletes]],Games_2116[RESULT 34],Analysis_3117[[#Headers],[LOSE]]))</f>
        <v>3</v>
      </c>
      <c r="E36" s="46">
        <f>SUM(SUMIF(Games_2116[ATHLETE 1],Analysis_4119[[#This Row],[Athletes]],Games_2116[SALDO 12]),SUMIF(Games_2116[ATHLETE 2],Analysis_4119[[#This Row],[Athletes]],Games_2116[SALDO 12]),SUMIF(Games_2116[ATHLETE 3],Analysis_4119[[#This Row],[Athletes]],Games_2116[SALDO 34]),SUMIF(Games_2116[ATHLETE 4],Analysis_4119[[#This Row],[Athletes]],Games_2116[SALDO 34]))</f>
        <v>7</v>
      </c>
      <c r="F36" s="46">
        <f>SUM(SUMIF(Games_2116[ATHLETE 1],Analysis_4119[[#This Row],[Athletes]],Games_2116[PM 12]),SUMIF(Games_2116[ATHLETE 2],Analysis_4119[[#This Row],[Athletes]],Games_2116[PM 12]),SUMIF(Games_2116[ATHLETE 3],Analysis_4119[[#This Row],[Athletes]],Games_2116[PM 34]),SUMIF(Games_2116[ATHLETE 4],Analysis_4119[[#This Row],[Athletes]],Games_2116[PM 34]))</f>
        <v>85</v>
      </c>
      <c r="G36" s="430" t="str">
        <f>IF(COUNTBLANK(Games_2116[[SCORE 1]:[SCORE 2]])=0,IF(RANK(H36,$H$35:$H$41)=1,RANK(H36,$H$35:$H$41)&amp;"st",IF(RANK(H36,$H$35:$H$41)=2,RANK(H36,$H$35:$H$41)&amp;"nd",IF(RANK(H36,$H$35:$H$41)=3,RANK(H36,$H$35:$H$41)&amp;"rd",RANK(H36,$H$35:$H$41)&amp;"th"))),"")</f>
        <v>5th</v>
      </c>
      <c r="H36" s="51">
        <f>Analysis_4119[[#This Row],[WIN]]*1000000+Analysis_4119[[#This Row],[Saldo]]*1000+Analysis_4119[[#This Row],[PM]]</f>
        <v>3007085</v>
      </c>
      <c r="I36" s="51">
        <f t="shared" si="4"/>
        <v>3000089</v>
      </c>
      <c r="J36" s="2" t="str">
        <f>IF(COUNTBLANK(Games_2116[[SCORE 1]:[SCORE 2]])=0,IF(RANK(I36,$I$26:$I$39)=1,RANK(I36,$I$26:$I$39)&amp;"st",IF(RANK(I36,$I$26:$I$39)=2,RANK(I36,$I$26:$I$39)&amp;"nd",IF(RANK(I36,$I$26:$I$39)=3,RANK(I36,$I$26:$I$39)&amp;"rd",RANK(I36,$I$26:$I$39)&amp;"th"))),"")</f>
        <v>8th</v>
      </c>
      <c r="K36" s="51" t="str">
        <f t="shared" si="5"/>
        <v>Mariana Venancio</v>
      </c>
      <c r="L36" s="2" t="str">
        <f t="shared" ref="L36:L41" si="6">J34</f>
        <v>6th</v>
      </c>
    </row>
    <row r="37" spans="1:17">
      <c r="A37" s="96" t="s">
        <v>211</v>
      </c>
      <c r="B37" s="152" t="s">
        <v>87</v>
      </c>
      <c r="C37" s="14">
        <f>SUM(COUNTIFS(Games_2116[ATHLETE 1],Analysis_4119[[#This Row],[Athletes]],Games_2116[RESULT 12],Analysis_3117[[#Headers],[WIN]]),COUNTIFS(Games_2116[ATHLETE 2],Analysis_4119[[#This Row],[Athletes]],Games_2116[RESULT 12],Analysis_3117[[#Headers],[WIN]]),COUNTIFS(Games_2116[ATHLETE 3],Analysis_4119[[#This Row],[Athletes]],Games_2116[RESULT 34],Analysis_3117[[#Headers],[WIN]]),COUNTIFS(Games_2116[ATHLETE 4],Analysis_4119[[#This Row],[Athletes]],Games_2116[RESULT 34],Analysis_3117[[#Headers],[WIN]]))</f>
        <v>3</v>
      </c>
      <c r="D37" s="14">
        <f>SUM(COUNTIFS(Games_2116[ATHLETE 1],Analysis_4119[[#This Row],[Athletes]],Games_2116[RESULT 12],Analysis_3117[[#Headers],[LOSE]]),COUNTIFS(Games_2116[ATHLETE 2],Analysis_4119[[#This Row],[Athletes]],Games_2116[RESULT 12],Analysis_3117[[#Headers],[LOSE]]),COUNTIFS(Games_2116[ATHLETE 3],Analysis_4119[[#This Row],[Athletes]],Games_2116[RESULT 34],Analysis_3117[[#Headers],[LOSE]]),COUNTIFS(Games_2116[ATHLETE 4],Analysis_4119[[#This Row],[Athletes]],Games_2116[RESULT 34],Analysis_3117[[#Headers],[LOSE]]))</f>
        <v>3</v>
      </c>
      <c r="E37" s="46">
        <f>SUM(SUMIF(Games_2116[ATHLETE 1],Analysis_4119[[#This Row],[Athletes]],Games_2116[SALDO 12]),SUMIF(Games_2116[ATHLETE 2],Analysis_4119[[#This Row],[Athletes]],Games_2116[SALDO 12]),SUMIF(Games_2116[ATHLETE 3],Analysis_4119[[#This Row],[Athletes]],Games_2116[SALDO 34]),SUMIF(Games_2116[ATHLETE 4],Analysis_4119[[#This Row],[Athletes]],Games_2116[SALDO 34]))</f>
        <v>32</v>
      </c>
      <c r="F37" s="46">
        <f>SUM(SUMIF(Games_2116[ATHLETE 1],Analysis_4119[[#This Row],[Athletes]],Games_2116[PM 12]),SUMIF(Games_2116[ATHLETE 2],Analysis_4119[[#This Row],[Athletes]],Games_2116[PM 12]),SUMIF(Games_2116[ATHLETE 3],Analysis_4119[[#This Row],[Athletes]],Games_2116[PM 34]),SUMIF(Games_2116[ATHLETE 4],Analysis_4119[[#This Row],[Athletes]],Games_2116[PM 34]))</f>
        <v>105</v>
      </c>
      <c r="G37" s="430" t="str">
        <f>IF(COUNTBLANK(Games_2116[[SCORE 1]:[SCORE 2]])=0,IF(RANK(H37,$H$35:$H$41)=1,RANK(H37,$H$35:$H$41)&amp;"st",IF(RANK(H37,$H$35:$H$41)=2,RANK(H37,$H$35:$H$41)&amp;"nd",IF(RANK(H37,$H$35:$H$41)=3,RANK(H37,$H$35:$H$41)&amp;"rd",RANK(H37,$H$35:$H$41)&amp;"th"))),"")</f>
        <v>3rd</v>
      </c>
      <c r="H37" s="51">
        <f>Analysis_4119[[#This Row],[WIN]]*1000000+Analysis_4119[[#This Row],[Saldo]]*1000+Analysis_4119[[#This Row],[PM]]</f>
        <v>3032105</v>
      </c>
      <c r="I37" s="51">
        <f t="shared" si="4"/>
        <v>2987080</v>
      </c>
      <c r="J37" s="2" t="str">
        <f>IF(COUNTBLANK(Games_2116[[SCORE 1]:[SCORE 2]])=0,IF(RANK(I37,$I$26:$I$39)=1,RANK(I37,$I$26:$I$39)&amp;"st",IF(RANK(I37,$I$26:$I$39)=2,RANK(I37,$I$26:$I$39)&amp;"nd",IF(RANK(I37,$I$26:$I$39)=3,RANK(I37,$I$26:$I$39)&amp;"rd",RANK(I37,$I$26:$I$39)&amp;"th"))),"")</f>
        <v>11th</v>
      </c>
      <c r="K37" s="51" t="str">
        <f t="shared" si="5"/>
        <v>Marie</v>
      </c>
      <c r="L37" s="2" t="str">
        <f t="shared" si="6"/>
        <v>4th</v>
      </c>
    </row>
    <row r="38" spans="1:17">
      <c r="A38" s="430" t="s">
        <v>212</v>
      </c>
      <c r="B38" s="152" t="s">
        <v>319</v>
      </c>
      <c r="C38" s="14">
        <f>SUM(COUNTIFS(Games_2116[ATHLETE 1],Analysis_4119[[#This Row],[Athletes]],Games_2116[RESULT 12],Analysis_3117[[#Headers],[WIN]]),COUNTIFS(Games_2116[ATHLETE 2],Analysis_4119[[#This Row],[Athletes]],Games_2116[RESULT 12],Analysis_3117[[#Headers],[WIN]]),COUNTIFS(Games_2116[ATHLETE 3],Analysis_4119[[#This Row],[Athletes]],Games_2116[RESULT 34],Analysis_3117[[#Headers],[WIN]]),COUNTIFS(Games_2116[ATHLETE 4],Analysis_4119[[#This Row],[Athletes]],Games_2116[RESULT 34],Analysis_3117[[#Headers],[WIN]]))</f>
        <v>3</v>
      </c>
      <c r="D38" s="14">
        <f>SUM(COUNTIFS(Games_2116[ATHLETE 1],Analysis_4119[[#This Row],[Athletes]],Games_2116[RESULT 12],Analysis_3117[[#Headers],[LOSE]]),COUNTIFS(Games_2116[ATHLETE 2],Analysis_4119[[#This Row],[Athletes]],Games_2116[RESULT 12],Analysis_3117[[#Headers],[LOSE]]),COUNTIFS(Games_2116[ATHLETE 3],Analysis_4119[[#This Row],[Athletes]],Games_2116[RESULT 34],Analysis_3117[[#Headers],[LOSE]]),COUNTIFS(Games_2116[ATHLETE 4],Analysis_4119[[#This Row],[Athletes]],Games_2116[RESULT 34],Analysis_3117[[#Headers],[LOSE]]))</f>
        <v>3</v>
      </c>
      <c r="E38" s="46">
        <f>SUM(SUMIF(Games_2116[ATHLETE 1],Analysis_4119[[#This Row],[Athletes]],Games_2116[SALDO 12]),SUMIF(Games_2116[ATHLETE 2],Analysis_4119[[#This Row],[Athletes]],Games_2116[SALDO 12]),SUMIF(Games_2116[ATHLETE 3],Analysis_4119[[#This Row],[Athletes]],Games_2116[SALDO 34]),SUMIF(Games_2116[ATHLETE 4],Analysis_4119[[#This Row],[Athletes]],Games_2116[SALDO 34]))</f>
        <v>0</v>
      </c>
      <c r="F38" s="46">
        <f>SUM(SUMIF(Games_2116[ATHLETE 1],Analysis_4119[[#This Row],[Athletes]],Games_2116[PM 12]),SUMIF(Games_2116[ATHLETE 2],Analysis_4119[[#This Row],[Athletes]],Games_2116[PM 12]),SUMIF(Games_2116[ATHLETE 3],Analysis_4119[[#This Row],[Athletes]],Games_2116[PM 34]),SUMIF(Games_2116[ATHLETE 4],Analysis_4119[[#This Row],[Athletes]],Games_2116[PM 34]))</f>
        <v>89</v>
      </c>
      <c r="G38" s="430" t="str">
        <f>IF(COUNTBLANK(Games_2116[[SCORE 1]:[SCORE 2]])=0,IF(RANK(H38,$H$35:$H$41)=1,RANK(H38,$H$35:$H$41)&amp;"st",IF(RANK(H38,$H$35:$H$41)=2,RANK(H38,$H$35:$H$41)&amp;"nd",IF(RANK(H38,$H$35:$H$41)=3,RANK(H38,$H$35:$H$41)&amp;"rd",RANK(H38,$H$35:$H$41)&amp;"th"))),"")</f>
        <v>6th</v>
      </c>
      <c r="H38" s="51">
        <f>Analysis_4119[[#This Row],[WIN]]*1000000+Analysis_4119[[#This Row],[Saldo]]*1000+Analysis_4119[[#This Row],[PM]]</f>
        <v>3000089</v>
      </c>
      <c r="I38" s="51">
        <f t="shared" si="4"/>
        <v>5020109</v>
      </c>
      <c r="J38" s="2" t="str">
        <f>IF(COUNTBLANK(Games_2116[[SCORE 1]:[SCORE 2]])=0,IF(RANK(I38,$I$26:$I$39)=1,RANK(I38,$I$26:$I$39)&amp;"st",IF(RANK(I38,$I$26:$I$39)=2,RANK(I38,$I$26:$I$39)&amp;"nd",IF(RANK(I38,$I$26:$I$39)=3,RANK(I38,$I$26:$I$39)&amp;"rd",RANK(I38,$I$26:$I$39)&amp;"th"))),"")</f>
        <v>2nd</v>
      </c>
      <c r="K38" s="51" t="str">
        <f t="shared" si="5"/>
        <v>Talita</v>
      </c>
      <c r="L38" s="2" t="str">
        <f t="shared" si="6"/>
        <v>8th</v>
      </c>
    </row>
    <row r="39" spans="1:17">
      <c r="A39" s="96" t="s">
        <v>231</v>
      </c>
      <c r="B39" s="152" t="s">
        <v>101</v>
      </c>
      <c r="C39" s="14">
        <f>SUM(COUNTIFS(Games_2116[ATHLETE 1],Analysis_4119[[#This Row],[Athletes]],Games_2116[RESULT 12],Analysis_3117[[#Headers],[WIN]]),COUNTIFS(Games_2116[ATHLETE 2],Analysis_4119[[#This Row],[Athletes]],Games_2116[RESULT 12],Analysis_3117[[#Headers],[WIN]]),COUNTIFS(Games_2116[ATHLETE 3],Analysis_4119[[#This Row],[Athletes]],Games_2116[RESULT 34],Analysis_3117[[#Headers],[WIN]]),COUNTIFS(Games_2116[ATHLETE 4],Analysis_4119[[#This Row],[Athletes]],Games_2116[RESULT 34],Analysis_3117[[#Headers],[WIN]]))</f>
        <v>3</v>
      </c>
      <c r="D39" s="14">
        <f>SUM(COUNTIFS(Games_2116[ATHLETE 1],Analysis_4119[[#This Row],[Athletes]],Games_2116[RESULT 12],Analysis_3117[[#Headers],[LOSE]]),COUNTIFS(Games_2116[ATHLETE 2],Analysis_4119[[#This Row],[Athletes]],Games_2116[RESULT 12],Analysis_3117[[#Headers],[LOSE]]),COUNTIFS(Games_2116[ATHLETE 3],Analysis_4119[[#This Row],[Athletes]],Games_2116[RESULT 34],Analysis_3117[[#Headers],[LOSE]]),COUNTIFS(Games_2116[ATHLETE 4],Analysis_4119[[#This Row],[Athletes]],Games_2116[RESULT 34],Analysis_3117[[#Headers],[LOSE]]))</f>
        <v>3</v>
      </c>
      <c r="E39" s="46">
        <f>SUM(SUMIF(Games_2116[ATHLETE 1],Analysis_4119[[#This Row],[Athletes]],Games_2116[SALDO 12]),SUMIF(Games_2116[ATHLETE 2],Analysis_4119[[#This Row],[Athletes]],Games_2116[SALDO 12]),SUMIF(Games_2116[ATHLETE 3],Analysis_4119[[#This Row],[Athletes]],Games_2116[SALDO 34]),SUMIF(Games_2116[ATHLETE 4],Analysis_4119[[#This Row],[Athletes]],Games_2116[SALDO 34]))</f>
        <v>-13</v>
      </c>
      <c r="F39" s="46">
        <f>SUM(SUMIF(Games_2116[ATHLETE 1],Analysis_4119[[#This Row],[Athletes]],Games_2116[PM 12]),SUMIF(Games_2116[ATHLETE 2],Analysis_4119[[#This Row],[Athletes]],Games_2116[PM 12]),SUMIF(Games_2116[ATHLETE 3],Analysis_4119[[#This Row],[Athletes]],Games_2116[PM 34]),SUMIF(Games_2116[ATHLETE 4],Analysis_4119[[#This Row],[Athletes]],Games_2116[PM 34]))</f>
        <v>80</v>
      </c>
      <c r="G39" s="430" t="str">
        <f>IF(COUNTBLANK(Games_2116[[SCORE 1]:[SCORE 2]])=0,IF(RANK(H39,$H$35:$H$41)=1,RANK(H39,$H$35:$H$41)&amp;"st",IF(RANK(H39,$H$35:$H$41)=2,RANK(H39,$H$35:$H$41)&amp;"nd",IF(RANK(H39,$H$35:$H$41)=3,RANK(H39,$H$35:$H$41)&amp;"rd",RANK(H39,$H$35:$H$41)&amp;"th"))),"")</f>
        <v>7th</v>
      </c>
      <c r="H39" s="51">
        <f>Analysis_4119[[#This Row],[WIN]]*1000000+Analysis_4119[[#This Row],[Saldo]]*1000+Analysis_4119[[#This Row],[PM]]</f>
        <v>2987080</v>
      </c>
      <c r="I39" s="51">
        <f>H41</f>
        <v>6051108</v>
      </c>
      <c r="J39" s="2" t="str">
        <f>IF(COUNTBLANK(Games_2116[[SCORE 1]:[SCORE 2]])=0,IF(RANK(I39,$I$26:$I$39)=1,RANK(I39,$I$26:$I$39)&amp;"st",IF(RANK(I39,$I$26:$I$39)=2,RANK(I39,$I$26:$I$39)&amp;"nd",IF(RANK(I39,$I$26:$I$39)=3,RANK(I39,$I$26:$I$39)&amp;"rd",RANK(I39,$I$26:$I$39)&amp;"th"))),"")</f>
        <v>1st</v>
      </c>
      <c r="K39" s="51" t="str">
        <f t="shared" si="5"/>
        <v>Zak</v>
      </c>
      <c r="L39" s="2" t="str">
        <f t="shared" si="6"/>
        <v>11th</v>
      </c>
    </row>
    <row r="40" spans="1:17">
      <c r="A40" s="430" t="s">
        <v>320</v>
      </c>
      <c r="B40" s="155" t="s">
        <v>70</v>
      </c>
      <c r="C40" s="14">
        <f>SUM(COUNTIFS(Games_2116[ATHLETE 1],Analysis_4119[[#This Row],[Athletes]],Games_2116[RESULT 12],Analysis_3117[[#Headers],[WIN]]),COUNTIFS(Games_2116[ATHLETE 2],Analysis_4119[[#This Row],[Athletes]],Games_2116[RESULT 12],Analysis_3117[[#Headers],[WIN]]),COUNTIFS(Games_2116[ATHLETE 3],Analysis_4119[[#This Row],[Athletes]],Games_2116[RESULT 34],Analysis_3117[[#Headers],[WIN]]),COUNTIFS(Games_2116[ATHLETE 4],Analysis_4119[[#This Row],[Athletes]],Games_2116[RESULT 34],Analysis_3117[[#Headers],[WIN]]))</f>
        <v>5</v>
      </c>
      <c r="D40" s="14">
        <f>SUM(COUNTIFS(Games_2116[ATHLETE 1],Analysis_4119[[#This Row],[Athletes]],Games_2116[RESULT 12],Analysis_3117[[#Headers],[LOSE]]),COUNTIFS(Games_2116[ATHLETE 2],Analysis_4119[[#This Row],[Athletes]],Games_2116[RESULT 12],Analysis_3117[[#Headers],[LOSE]]),COUNTIFS(Games_2116[ATHLETE 3],Analysis_4119[[#This Row],[Athletes]],Games_2116[RESULT 34],Analysis_3117[[#Headers],[LOSE]]),COUNTIFS(Games_2116[ATHLETE 4],Analysis_4119[[#This Row],[Athletes]],Games_2116[RESULT 34],Analysis_3117[[#Headers],[LOSE]]))</f>
        <v>1</v>
      </c>
      <c r="E40" s="46">
        <f>SUM(SUMIF(Games_2116[ATHLETE 1],Analysis_4119[[#This Row],[Athletes]],Games_2116[SALDO 12]),SUMIF(Games_2116[ATHLETE 2],Analysis_4119[[#This Row],[Athletes]],Games_2116[SALDO 12]),SUMIF(Games_2116[ATHLETE 3],Analysis_4119[[#This Row],[Athletes]],Games_2116[SALDO 34]),SUMIF(Games_2116[ATHLETE 4],Analysis_4119[[#This Row],[Athletes]],Games_2116[SALDO 34]))</f>
        <v>20</v>
      </c>
      <c r="F40" s="46">
        <f>SUM(SUMIF(Games_2116[ATHLETE 1],Analysis_4119[[#This Row],[Athletes]],Games_2116[PM 12]),SUMIF(Games_2116[ATHLETE 2],Analysis_4119[[#This Row],[Athletes]],Games_2116[PM 12]),SUMIF(Games_2116[ATHLETE 3],Analysis_4119[[#This Row],[Athletes]],Games_2116[PM 34]),SUMIF(Games_2116[ATHLETE 4],Analysis_4119[[#This Row],[Athletes]],Games_2116[PM 34]))</f>
        <v>109</v>
      </c>
      <c r="G40" s="430" t="str">
        <f>IF(COUNTBLANK(Games_2116[[SCORE 1]:[SCORE 2]])=0,IF(RANK(H40,$H$35:$H$41)=1,RANK(H40,$H$35:$H$41)&amp;"st",IF(RANK(H40,$H$35:$H$41)=2,RANK(H40,$H$35:$H$41)&amp;"nd",IF(RANK(H40,$H$35:$H$41)=3,RANK(H40,$H$35:$H$41)&amp;"rd",RANK(H40,$H$35:$H$41)&amp;"th"))),"")</f>
        <v>2nd</v>
      </c>
      <c r="H40" s="51">
        <f>Analysis_4119[[#This Row],[WIN]]*1000000+Analysis_4119[[#This Row],[Saldo]]*1000+Analysis_4119[[#This Row],[PM]]</f>
        <v>5020109</v>
      </c>
      <c r="L40" s="2" t="str">
        <f t="shared" si="6"/>
        <v>2nd</v>
      </c>
    </row>
    <row r="41" spans="1:17">
      <c r="A41" s="11" t="s">
        <v>321</v>
      </c>
      <c r="B41" s="153" t="s">
        <v>86</v>
      </c>
      <c r="C41" s="14">
        <f>SUM(COUNTIFS(Games_2116[ATHLETE 1],Analysis_4119[[#This Row],[Athletes]],Games_2116[RESULT 12],Analysis_3117[[#Headers],[WIN]]),COUNTIFS(Games_2116[ATHLETE 2],Analysis_4119[[#This Row],[Athletes]],Games_2116[RESULT 12],Analysis_3117[[#Headers],[WIN]]),COUNTIFS(Games_2116[ATHLETE 3],Analysis_4119[[#This Row],[Athletes]],Games_2116[RESULT 34],Analysis_3117[[#Headers],[WIN]]),COUNTIFS(Games_2116[ATHLETE 4],Analysis_4119[[#This Row],[Athletes]],Games_2116[RESULT 34],Analysis_3117[[#Headers],[WIN]]))</f>
        <v>6</v>
      </c>
      <c r="D41" s="14">
        <f>SUM(COUNTIFS(Games_2116[ATHLETE 1],Analysis_4119[[#This Row],[Athletes]],Games_2116[RESULT 12],Analysis_3117[[#Headers],[LOSE]]),COUNTIFS(Games_2116[ATHLETE 2],Analysis_4119[[#This Row],[Athletes]],Games_2116[RESULT 12],Analysis_3117[[#Headers],[LOSE]]),COUNTIFS(Games_2116[ATHLETE 3],Analysis_4119[[#This Row],[Athletes]],Games_2116[RESULT 34],Analysis_3117[[#Headers],[LOSE]]),COUNTIFS(Games_2116[ATHLETE 4],Analysis_4119[[#This Row],[Athletes]],Games_2116[RESULT 34],Analysis_3117[[#Headers],[LOSE]]))</f>
        <v>0</v>
      </c>
      <c r="E41" s="46">
        <f>SUM(SUMIF(Games_2116[ATHLETE 1],Analysis_4119[[#This Row],[Athletes]],Games_2116[SALDO 12]),SUMIF(Games_2116[ATHLETE 2],Analysis_4119[[#This Row],[Athletes]],Games_2116[SALDO 12]),SUMIF(Games_2116[ATHLETE 3],Analysis_4119[[#This Row],[Athletes]],Games_2116[SALDO 34]),SUMIF(Games_2116[ATHLETE 4],Analysis_4119[[#This Row],[Athletes]],Games_2116[SALDO 34]))</f>
        <v>51</v>
      </c>
      <c r="F41" s="46">
        <f>SUM(SUMIF(Games_2116[ATHLETE 1],Analysis_4119[[#This Row],[Athletes]],Games_2116[PM 12]),SUMIF(Games_2116[ATHLETE 2],Analysis_4119[[#This Row],[Athletes]],Games_2116[PM 12]),SUMIF(Games_2116[ATHLETE 3],Analysis_4119[[#This Row],[Athletes]],Games_2116[PM 34]),SUMIF(Games_2116[ATHLETE 4],Analysis_4119[[#This Row],[Athletes]],Games_2116[PM 34]))</f>
        <v>108</v>
      </c>
      <c r="G41" s="430" t="str">
        <f>IF(COUNTBLANK(Games_2116[[SCORE 1]:[SCORE 2]])=0,IF(RANK(H41,$H$35:$H$41)=1,RANK(H41,$H$35:$H$41)&amp;"st",IF(RANK(H41,$H$35:$H$41)=2,RANK(H41,$H$35:$H$41)&amp;"nd",IF(RANK(H41,$H$35:$H$41)=3,RANK(H41,$H$35:$H$41)&amp;"rd",RANK(H41,$H$35:$H$41)&amp;"th"))),"")</f>
        <v>1st</v>
      </c>
      <c r="H41" s="51">
        <f>Analysis_4119[[#This Row],[WIN]]*1000000+Analysis_4119[[#This Row],[Saldo]]*1000+Analysis_4119[[#This Row],[PM]]</f>
        <v>6051108</v>
      </c>
      <c r="L41" s="2" t="str">
        <f t="shared" si="6"/>
        <v>1st</v>
      </c>
    </row>
    <row r="42" spans="1:17" ht="15.95" thickBot="1"/>
    <row r="43" spans="1:17" ht="15.95" thickBot="1">
      <c r="A43" s="123" t="s">
        <v>218</v>
      </c>
      <c r="B43" s="124">
        <v>45787</v>
      </c>
      <c r="C43" s="44" t="s">
        <v>256</v>
      </c>
    </row>
  </sheetData>
  <sheetProtection algorithmName="SHA-512" hashValue="4qrImJtODDY3aAyzGDIlEhdptAUvV2h8xim7XD9be0Q4rkUUW9GZVizNc1e/18jW/2EZjwb03uArF7rdPww67w==" saltValue="OivvdC/PUvhgx8tfkoXoPQ==" spinCount="100000" sheet="1" objects="1" scenarios="1"/>
  <mergeCells count="7">
    <mergeCell ref="M30:R30"/>
    <mergeCell ref="O31:P31"/>
    <mergeCell ref="A1:A22"/>
    <mergeCell ref="U1:V1"/>
    <mergeCell ref="A24:G24"/>
    <mergeCell ref="M24:R24"/>
    <mergeCell ref="O25:P25"/>
  </mergeCells>
  <phoneticPr fontId="1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3516-071F-184C-85FB-80962753FE2D}">
  <sheetPr codeName="Sheet18"/>
  <dimension ref="A1:X21"/>
  <sheetViews>
    <sheetView workbookViewId="0">
      <selection sqref="A1:A5"/>
    </sheetView>
    <sheetView workbookViewId="1">
      <selection sqref="A1:A5"/>
    </sheetView>
  </sheetViews>
  <sheetFormatPr defaultColWidth="8.85546875" defaultRowHeight="15"/>
  <cols>
    <col min="1" max="1" width="10.7109375" style="44" customWidth="1"/>
    <col min="2" max="4" width="20" style="44" customWidth="1"/>
    <col min="5" max="6" width="10.7109375" style="44" customWidth="1"/>
    <col min="7" max="7" width="20" style="44" customWidth="1"/>
    <col min="8" max="8" width="11.28515625" style="44" hidden="1" customWidth="1"/>
    <col min="9" max="9" width="12" style="44" hidden="1" customWidth="1"/>
    <col min="10" max="10" width="10.85546875" style="44" hidden="1" customWidth="1"/>
    <col min="11" max="11" width="8" style="44" hidden="1" customWidth="1"/>
    <col min="12" max="12" width="20" style="44" customWidth="1"/>
    <col min="13" max="13" width="13.42578125" style="44" bestFit="1" customWidth="1"/>
    <col min="14" max="14" width="20" style="44" customWidth="1"/>
    <col min="15" max="16" width="10.7109375" style="44" customWidth="1"/>
    <col min="17" max="17" width="20" style="44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>
      <c r="A1" s="550" t="s">
        <v>322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323</v>
      </c>
      <c r="U1" s="545"/>
      <c r="W1" s="44" t="s">
        <v>205</v>
      </c>
      <c r="X1" s="44">
        <f>COUNTIF(Games_1[[ATHLETE 1]:[ATHLETE 4]],W1)</f>
        <v>2</v>
      </c>
    </row>
    <row r="2" spans="1:24" ht="15" customHeight="1">
      <c r="A2" s="554"/>
      <c r="B2" s="430" t="s">
        <v>178</v>
      </c>
      <c r="C2" s="2" t="str">
        <f>$B$11</f>
        <v>EA1</v>
      </c>
      <c r="D2" s="38" t="str">
        <f>B9</f>
        <v>A1</v>
      </c>
      <c r="E2" s="100"/>
      <c r="F2" s="101"/>
      <c r="G2" s="41" t="str">
        <f>$B$15</f>
        <v>EB1</v>
      </c>
      <c r="H2" s="41"/>
      <c r="I2" s="41"/>
      <c r="J2" s="41"/>
      <c r="K2" s="41"/>
      <c r="L2" s="2" t="str">
        <f>B13</f>
        <v>B1</v>
      </c>
      <c r="M2" s="430" t="str">
        <f>IF(OR(Games_1[[#This Row],[SCORE 1]]="",Games_1[[#This Row],[SCORE 2]]=""),"",Games_1[[#This Row],[SCORE 1]]-Games_1[[#This Row],[SCORE 2]])</f>
        <v/>
      </c>
      <c r="N2" s="430" t="str">
        <f>IF(OR(Games_1[[#This Row],[SCORE 1]]="",Games_1[[#This Row],[SCORE 2]]=""),"",Games_1[[#This Row],[SCORE 2]]-Games_1[[#This Row],[SCORE 1]])</f>
        <v/>
      </c>
      <c r="O2" s="430" t="str">
        <f>IF(Games_1[[#This Row],[SCORE 1]]="","",Games_1[[#This Row],[SCORE 1]])</f>
        <v/>
      </c>
      <c r="P2" s="430" t="str">
        <f>IF(Games_1[[#This Row],[SCORE 2]]="","",Games_1[[#This Row],[SCORE 2]])</f>
        <v/>
      </c>
      <c r="Q2" s="430" t="str">
        <f>IF(OR(Games_1[[#This Row],[SCORE 1]]="",Games_1[[#This Row],[SCORE 2]]=""),"",IF(Games_1[[#This Row],[SALDO 12]]&gt;0, "WIN","LOSE"))</f>
        <v/>
      </c>
      <c r="R2" s="430" t="str">
        <f>IF(OR(Games_1[[#This Row],[SCORE 2]]="",Games_1[[#This Row],[SCORE 1]]=""),"",IF(Games_1[[#This Row],[SALDO 34]]&gt;0, "WIN","LOSE"))</f>
        <v/>
      </c>
      <c r="T2" s="35" t="s">
        <v>179</v>
      </c>
      <c r="U2" s="35" t="s">
        <v>8</v>
      </c>
      <c r="W2" s="44" t="s">
        <v>206</v>
      </c>
      <c r="X2" s="44">
        <f>COUNTIF(Games_1[[ATHLETE 1]:[ATHLETE 4]],W2)</f>
        <v>2</v>
      </c>
    </row>
    <row r="3" spans="1:24">
      <c r="A3" s="554"/>
      <c r="B3" s="430" t="s">
        <v>178</v>
      </c>
      <c r="C3" s="2" t="str">
        <f>$B$11</f>
        <v>EA1</v>
      </c>
      <c r="D3" s="38" t="str">
        <f>B10</f>
        <v>A2</v>
      </c>
      <c r="E3" s="100"/>
      <c r="F3" s="101"/>
      <c r="G3" s="41" t="str">
        <f t="shared" ref="G3:G5" si="0">$B$15</f>
        <v>EB1</v>
      </c>
      <c r="H3" s="41"/>
      <c r="I3" s="41"/>
      <c r="J3" s="41"/>
      <c r="K3" s="41"/>
      <c r="L3" s="2" t="str">
        <f>B14</f>
        <v>B2</v>
      </c>
      <c r="M3" s="430" t="str">
        <f>IF(OR(Games_1[[#This Row],[SCORE 1]]="",Games_1[[#This Row],[SCORE 2]]=""),"",Games_1[[#This Row],[SCORE 1]]-Games_1[[#This Row],[SCORE 2]])</f>
        <v/>
      </c>
      <c r="N3" s="430" t="str">
        <f>IF(OR(Games_1[[#This Row],[SCORE 1]]="",Games_1[[#This Row],[SCORE 2]]=""),"",Games_1[[#This Row],[SCORE 2]]-Games_1[[#This Row],[SCORE 1]])</f>
        <v/>
      </c>
      <c r="O3" s="430" t="str">
        <f>IF(Games_1[[#This Row],[SCORE 1]]="","",Games_1[[#This Row],[SCORE 1]])</f>
        <v/>
      </c>
      <c r="P3" s="430" t="str">
        <f>IF(Games_1[[#This Row],[SCORE 2]]="","",Games_1[[#This Row],[SCORE 2]])</f>
        <v/>
      </c>
      <c r="Q3" s="430" t="str">
        <f>IF(OR(Games_1[[#This Row],[SCORE 1]]="",Games_1[[#This Row],[SCORE 2]]=""),"",IF(Games_1[[#This Row],[SALDO 12]]&gt;0, "WIN","LOSE"))</f>
        <v/>
      </c>
      <c r="R3" s="430" t="str">
        <f>IF(OR(Games_1[[#This Row],[SCORE 2]]="",Games_1[[#This Row],[SCORE 1]]=""),"",IF(Games_1[[#This Row],[SALDO 34]]&gt;0, "WIN","LOSE"))</f>
        <v/>
      </c>
      <c r="T3" s="2" t="str">
        <f>_xlfn.XLOOKUP(Table1572235447891335[[#This Row],[Rank]],$M$15:$R$15,$M$14:$R$14,"")</f>
        <v/>
      </c>
      <c r="U3" s="2" t="s">
        <v>19</v>
      </c>
      <c r="W3" s="44" t="str">
        <f>B13</f>
        <v>B1</v>
      </c>
      <c r="X3" s="44">
        <f>COUNTIF(Games_1[[ATHLETE 1]:[ATHLETE 4]],W3)</f>
        <v>2</v>
      </c>
    </row>
    <row r="4" spans="1:24">
      <c r="A4" s="554"/>
      <c r="B4" s="430" t="s">
        <v>178</v>
      </c>
      <c r="C4" s="2" t="str">
        <f>$B$11</f>
        <v>EA1</v>
      </c>
      <c r="D4" s="38" t="str">
        <f>B9</f>
        <v>A1</v>
      </c>
      <c r="E4" s="100"/>
      <c r="F4" s="101"/>
      <c r="G4" s="41" t="str">
        <f t="shared" si="0"/>
        <v>EB1</v>
      </c>
      <c r="H4" s="41"/>
      <c r="I4" s="41"/>
      <c r="J4" s="41"/>
      <c r="K4" s="41"/>
      <c r="L4" s="2" t="str">
        <f>B14</f>
        <v>B2</v>
      </c>
      <c r="M4" s="430" t="str">
        <f>IF(OR(Games_1[[#This Row],[SCORE 1]]="",Games_1[[#This Row],[SCORE 2]]=""),"",Games_1[[#This Row],[SCORE 1]]-Games_1[[#This Row],[SCORE 2]])</f>
        <v/>
      </c>
      <c r="N4" s="430" t="str">
        <f>IF(OR(Games_1[[#This Row],[SCORE 1]]="",Games_1[[#This Row],[SCORE 2]]=""),"",Games_1[[#This Row],[SCORE 2]]-Games_1[[#This Row],[SCORE 1]])</f>
        <v/>
      </c>
      <c r="O4" s="430" t="str">
        <f>IF(Games_1[[#This Row],[SCORE 1]]="","",Games_1[[#This Row],[SCORE 1]])</f>
        <v/>
      </c>
      <c r="P4" s="430" t="str">
        <f>IF(Games_1[[#This Row],[SCORE 2]]="","",Games_1[[#This Row],[SCORE 2]])</f>
        <v/>
      </c>
      <c r="Q4" s="430" t="str">
        <f>IF(OR(Games_1[[#This Row],[SCORE 1]]="",Games_1[[#This Row],[SCORE 2]]=""),"",IF(Games_1[[#This Row],[SALDO 12]]&gt;0, "WIN","LOSE"))</f>
        <v/>
      </c>
      <c r="R4" s="430" t="str">
        <f>IF(OR(Games_1[[#This Row],[SCORE 2]]="",Games_1[[#This Row],[SCORE 1]]=""),"",IF(Games_1[[#This Row],[SALDO 34]]&gt;0, "WIN","LOSE"))</f>
        <v/>
      </c>
      <c r="T4" s="2" t="str">
        <f>_xlfn.XLOOKUP(Table1572235447891335[[#This Row],[Rank]],$M$15:$R$15,$M$14:$R$14,"")</f>
        <v/>
      </c>
      <c r="U4" s="2" t="s">
        <v>22</v>
      </c>
      <c r="W4" s="44" t="str">
        <f>B14</f>
        <v>B2</v>
      </c>
      <c r="X4" s="44">
        <f>COUNTIF(Games_1[[ATHLETE 1]:[ATHLETE 4]],W4)</f>
        <v>2</v>
      </c>
    </row>
    <row r="5" spans="1:24">
      <c r="A5" s="554"/>
      <c r="B5" s="430" t="s">
        <v>178</v>
      </c>
      <c r="C5" s="2" t="str">
        <f>$B$11</f>
        <v>EA1</v>
      </c>
      <c r="D5" s="38" t="str">
        <f>B10</f>
        <v>A2</v>
      </c>
      <c r="E5" s="100"/>
      <c r="F5" s="101"/>
      <c r="G5" s="41" t="str">
        <f t="shared" si="0"/>
        <v>EB1</v>
      </c>
      <c r="H5" s="41"/>
      <c r="I5" s="41"/>
      <c r="J5" s="41"/>
      <c r="K5" s="41"/>
      <c r="L5" s="2" t="str">
        <f>B13</f>
        <v>B1</v>
      </c>
      <c r="M5" s="11" t="str">
        <f>IF(OR(Games_1[[#This Row],[SCORE 1]]="",Games_1[[#This Row],[SCORE 2]]=""),"",Games_1[[#This Row],[SCORE 1]]-Games_1[[#This Row],[SCORE 2]])</f>
        <v/>
      </c>
      <c r="N5" s="430" t="str">
        <f>IF(OR(Games_1[[#This Row],[SCORE 1]]="",Games_1[[#This Row],[SCORE 2]]=""),"",Games_1[[#This Row],[SCORE 2]]-Games_1[[#This Row],[SCORE 1]])</f>
        <v/>
      </c>
      <c r="O5" s="430" t="str">
        <f>IF(Games_1[[#This Row],[SCORE 1]]="","",Games_1[[#This Row],[SCORE 1]])</f>
        <v/>
      </c>
      <c r="P5" s="430" t="str">
        <f>IF(Games_1[[#This Row],[SCORE 2]]="","",Games_1[[#This Row],[SCORE 2]])</f>
        <v/>
      </c>
      <c r="Q5" s="430" t="str">
        <f>IF(OR(Games_1[[#This Row],[SCORE 1]]="",Games_1[[#This Row],[SCORE 2]]=""),"",IF(Games_1[[#This Row],[SALDO 12]]&gt;0, "WIN","LOSE"))</f>
        <v/>
      </c>
      <c r="R5" s="430" t="str">
        <f>IF(OR(Games_1[[#This Row],[SCORE 2]]="",Games_1[[#This Row],[SCORE 1]]=""),"",IF(Games_1[[#This Row],[SALDO 34]]&gt;0, "WIN","LOSE"))</f>
        <v/>
      </c>
      <c r="T5" s="2" t="str">
        <f>_xlfn.XLOOKUP(Table1572235447891335[[#This Row],[Rank]],$M$10:$R$10,$M$9:$R$9,"")</f>
        <v/>
      </c>
      <c r="U5" s="2" t="s">
        <v>25</v>
      </c>
    </row>
    <row r="6" spans="1:24" ht="30" customHeight="1">
      <c r="T6" s="2" t="str">
        <f>_xlfn.XLOOKUP(Table1572235447891335[[#This Row],[Rank]],$M$10:$R$10,$M$9:$R$9,"")</f>
        <v/>
      </c>
      <c r="U6" s="2" t="s">
        <v>28</v>
      </c>
    </row>
    <row r="7" spans="1:24" ht="30" customHeight="1">
      <c r="A7" s="546" t="s">
        <v>271</v>
      </c>
      <c r="B7" s="547"/>
      <c r="C7" s="547"/>
      <c r="D7" s="547"/>
      <c r="E7" s="547"/>
      <c r="F7" s="547"/>
      <c r="G7" s="547"/>
      <c r="H7" s="420"/>
      <c r="I7" s="420"/>
      <c r="J7" s="420"/>
      <c r="K7" s="420"/>
      <c r="M7" s="555" t="s">
        <v>272</v>
      </c>
      <c r="N7" s="549"/>
      <c r="O7" s="549"/>
      <c r="P7" s="549"/>
      <c r="Q7" s="549"/>
      <c r="R7" s="549"/>
    </row>
    <row r="8" spans="1:24" ht="15.95">
      <c r="A8" s="6" t="s">
        <v>246</v>
      </c>
      <c r="B8" s="43" t="s">
        <v>185</v>
      </c>
      <c r="C8" s="43" t="s">
        <v>186</v>
      </c>
      <c r="D8" s="43" t="s">
        <v>187</v>
      </c>
      <c r="E8" s="43" t="s">
        <v>188</v>
      </c>
      <c r="F8" s="43" t="s">
        <v>189</v>
      </c>
      <c r="G8" s="43" t="s">
        <v>8</v>
      </c>
      <c r="H8" s="425" t="s">
        <v>204</v>
      </c>
      <c r="I8" s="425" t="s">
        <v>191</v>
      </c>
      <c r="J8" s="425" t="s">
        <v>192</v>
      </c>
      <c r="K8" s="425" t="s">
        <v>1</v>
      </c>
      <c r="M8" s="424" t="s">
        <v>193</v>
      </c>
      <c r="N8" s="424" t="s">
        <v>194</v>
      </c>
      <c r="O8" s="552" t="s">
        <v>195</v>
      </c>
      <c r="P8" s="553"/>
      <c r="Q8" s="424" t="s">
        <v>196</v>
      </c>
      <c r="R8" s="424" t="s">
        <v>197</v>
      </c>
    </row>
    <row r="9" spans="1:24">
      <c r="A9" s="3" t="s">
        <v>205</v>
      </c>
      <c r="B9" s="102" t="s">
        <v>205</v>
      </c>
      <c r="C9" s="14">
        <f>SUM(COUNTIF($Q$2,Analysis_1[[#Headers],[WIN]]),COUNTIF($Q$4,Analysis_1[[#Headers],[WIN]]))</f>
        <v>0</v>
      </c>
      <c r="D9" s="14">
        <f>SUM(COUNTIF($Q$2,Analysis_1[[#Headers],[LOSE]]),COUNTIF($Q$4,Analysis_1[[#Headers],[LOSE]]))</f>
        <v>0</v>
      </c>
      <c r="E9" s="46">
        <f>SUM($M$2,$M$4)</f>
        <v>0</v>
      </c>
      <c r="F9" s="46">
        <f>SUM($O$2,$O$4)</f>
        <v>0</v>
      </c>
      <c r="G9" s="427" t="str">
        <f>IF(COUNTBLANK(Games_1[[SCORE 1]:[SCORE 2]])=0,IF(RANK(H9,$H$9:$H$12)=1,RANK(H9,$H$9:$H$12)&amp;"st",IF(RANK(H9,$H$9:$H$12)=2,RANK(H9,$H$9:$H$12)&amp;"nd",IF(RANK(H9,$H$9:$H$12)=3,RANK(H9,$H$9:$H$12)&amp;"rd",RANK(H9,$H$9:$H$12)&amp;"th"))),"")</f>
        <v/>
      </c>
      <c r="H9" s="51">
        <f>Analysis_1[[#This Row],[WIN]]*1000000+Analysis_1[[#This Row],[Saldo]]*1000+Analysis_1[[#This Row],[PM]]</f>
        <v>0</v>
      </c>
      <c r="I9" s="51">
        <f>H9</f>
        <v>0</v>
      </c>
      <c r="J9" s="51" t="str">
        <f>IF(RANK(I9,$I$9:$I$12)=1,RANK(I9,$I$9:$I$12)&amp;"st",IF(RANK(I9,$I$9:$I$12)=2,RANK(I9,$I$9:$I$12)&amp;"nd",RANK(I9,$I$9:$I$12)&amp;"th"))</f>
        <v>1st</v>
      </c>
      <c r="K9" s="51" t="str">
        <f>Analysis_1[[#This Row],[Atheletes ]]</f>
        <v>A1</v>
      </c>
      <c r="M9" s="107" t="str">
        <f>B15</f>
        <v>EB1</v>
      </c>
      <c r="N9" s="105"/>
      <c r="O9" s="99"/>
      <c r="P9" s="98"/>
      <c r="Q9" s="106"/>
      <c r="R9" s="108" t="str">
        <f>B11</f>
        <v>EA1</v>
      </c>
    </row>
    <row r="10" spans="1:24">
      <c r="A10" s="3" t="s">
        <v>206</v>
      </c>
      <c r="B10" s="102" t="s">
        <v>206</v>
      </c>
      <c r="C10" s="14">
        <f>SUM(COUNTIF($Q$3,Analysis_1[[#Headers],[WIN]]),COUNTIF($Q$5,Analysis_1[[#Headers],[WIN]]))</f>
        <v>0</v>
      </c>
      <c r="D10" s="14">
        <f>SUM(COUNTIF($Q$3,Analysis_1[[#Headers],[LOSE]]),COUNTIF($Q$5,Analysis_1[[#Headers],[LOSE]]))</f>
        <v>0</v>
      </c>
      <c r="E10" s="46">
        <f>SUM($M$3,$M$5)</f>
        <v>0</v>
      </c>
      <c r="F10" s="46">
        <f>SUM($O$3,$O$5)</f>
        <v>0</v>
      </c>
      <c r="G10" s="427" t="str">
        <f>IF(COUNTBLANK(Games_1[[SCORE 1]:[SCORE 2]])=0,IF(RANK(H10,$H$9:$H$12)=1,RANK(H10,$H$9:$H$12)&amp;"st",IF(RANK(H10,$H$9:$H$12)=2,RANK(H10,$H$9:$H$12)&amp;"nd",IF(RANK(H10,$H$9:$H$12)=3,RANK(H10,$H$9:$H$12)&amp;"rd",RANK(H10,$H$9:$H$12)&amp;"th"))),"")</f>
        <v/>
      </c>
      <c r="H10" s="51">
        <f>Analysis_1[[#This Row],[WIN]]*1000000+Analysis_1[[#This Row],[Saldo]]*1000+Analysis_1[[#This Row],[PM]]</f>
        <v>0</v>
      </c>
      <c r="I10" s="51">
        <f t="shared" ref="I10:I12" si="1">H10</f>
        <v>0</v>
      </c>
      <c r="J10" s="51" t="str">
        <f>IF(RANK(I10,$I$9:$I$12)=1,RANK(I10,$I$9:$I$12)&amp;"st",IF(RANK(I10,$I$9:$I$12)=2,RANK(I10,$I$9:$I$12)&amp;"nd",RANK(I10,$I$9:$I$12)&amp;"th"))</f>
        <v>1st</v>
      </c>
      <c r="K10" s="51" t="str">
        <f>Analysis_1[[#This Row],[Atheletes ]]</f>
        <v>A2</v>
      </c>
      <c r="N10" s="50" t="str">
        <f>IF(OR($O$9="",$P$9=""),"",IF($O$10="win",$U$5,$U$6))</f>
        <v/>
      </c>
      <c r="O10" s="2" t="str">
        <f>IF(OR(O9="",P9=""),"",IF((O9&gt;P9),"WIN","LOSE"))</f>
        <v/>
      </c>
      <c r="P10" s="2" t="str">
        <f>IF(OR(O9="",P9=""),"",IF((O9&lt;P9),"WIN","LOSE"))</f>
        <v/>
      </c>
      <c r="Q10" s="50" t="str">
        <f>IF(OR($O$9="",$P$9=""),"",IF($P$10="win",$U$5,$U$6))</f>
        <v/>
      </c>
      <c r="S10" s="47"/>
    </row>
    <row r="11" spans="1:24" ht="15.95">
      <c r="A11" s="5" t="s">
        <v>247</v>
      </c>
      <c r="B11" s="102" t="s">
        <v>247</v>
      </c>
      <c r="C11" s="14" t="s">
        <v>249</v>
      </c>
      <c r="D11" s="14" t="s">
        <v>249</v>
      </c>
      <c r="E11" s="46" t="s">
        <v>249</v>
      </c>
      <c r="F11" s="46" t="s">
        <v>249</v>
      </c>
      <c r="G11" s="427" t="s">
        <v>249</v>
      </c>
      <c r="H11" s="51">
        <f>C13*1000000+E13*1000+F13</f>
        <v>0</v>
      </c>
      <c r="I11" s="51">
        <f t="shared" si="1"/>
        <v>0</v>
      </c>
      <c r="J11" s="51" t="str">
        <f>IF(RANK(I11,$I$9:$I$12)=1,RANK(I11,$I$9:$I$12)&amp;"st",IF(RANK(I11,$I$9:$I$12)=2,RANK(I11,$I$9:$I$12)&amp;"nd",RANK(I11,$I$9:$I$12)&amp;"th"))</f>
        <v>1st</v>
      </c>
      <c r="K11" s="51" t="str">
        <f>B13</f>
        <v>B1</v>
      </c>
    </row>
    <row r="12" spans="1:24" ht="29.1">
      <c r="A12" s="6" t="s">
        <v>246</v>
      </c>
      <c r="B12" s="43" t="s">
        <v>185</v>
      </c>
      <c r="C12" s="43" t="s">
        <v>186</v>
      </c>
      <c r="D12" s="43" t="s">
        <v>187</v>
      </c>
      <c r="E12" s="43" t="s">
        <v>188</v>
      </c>
      <c r="F12" s="43" t="s">
        <v>189</v>
      </c>
      <c r="G12" s="43" t="s">
        <v>8</v>
      </c>
      <c r="H12" s="51">
        <f>C14*1000000+E14*1000+F14</f>
        <v>0</v>
      </c>
      <c r="I12" s="51">
        <f t="shared" si="1"/>
        <v>0</v>
      </c>
      <c r="J12" s="51" t="str">
        <f>IF(RANK(I12,$I$9:$I$12)=1,RANK(I12,$I$9:$I$12)&amp;"st",IF(RANK(I12,$I$9:$I$12)=2,RANK(I12,$I$9:$I$12)&amp;"nd",RANK(I12,$I$9:$I$12)&amp;"th"))</f>
        <v>1st</v>
      </c>
      <c r="K12" s="51" t="str">
        <f>B14</f>
        <v>B2</v>
      </c>
      <c r="M12" s="548" t="s">
        <v>200</v>
      </c>
      <c r="N12" s="549"/>
      <c r="O12" s="549"/>
      <c r="P12" s="549"/>
      <c r="Q12" s="549"/>
      <c r="R12" s="549"/>
    </row>
    <row r="13" spans="1:24">
      <c r="A13" s="2" t="s">
        <v>209</v>
      </c>
      <c r="B13" s="103" t="s">
        <v>209</v>
      </c>
      <c r="C13" s="14">
        <f>SUM(COUNTIF($R$2,Analysis_1[[#Headers],[WIN]]),COUNTIF($R$5,Analysis_1[[#Headers],[WIN]]))</f>
        <v>0</v>
      </c>
      <c r="D13" s="14">
        <f>SUM(COUNTIF($R$2,Analysis_1[[#Headers],[LOSE]]),COUNTIF($R$5,Analysis_1[[#Headers],[LOSE]]))</f>
        <v>0</v>
      </c>
      <c r="E13" s="46">
        <f>SUM($N$2,$N$5)</f>
        <v>0</v>
      </c>
      <c r="F13" s="46">
        <f>SUM($P$2,$P$5)</f>
        <v>0</v>
      </c>
      <c r="G13" s="427" t="str">
        <f>IF(COUNTBLANK(Games_1[[SCORE 1]:[SCORE 2]])=0,IF(RANK(H11,$H$9:$H$12)=1,RANK(H11,$H$9:$H$12)&amp;"st",IF(RANK(H11,$H$9:$H$12)=2,RANK(H11,$H$9:$H$12)&amp;"nd",IF(RANK(H11,$H$9:$H$12)=3,RANK(H11,$H$9:$H$12)&amp;"rd",RANK(H11,$H$9:$H$12)&amp;"th"))),"")</f>
        <v/>
      </c>
      <c r="I13" s="95"/>
      <c r="J13" s="95"/>
      <c r="K13" s="95"/>
      <c r="M13" s="424" t="s">
        <v>193</v>
      </c>
      <c r="N13" s="424" t="s">
        <v>194</v>
      </c>
      <c r="O13" s="552" t="s">
        <v>195</v>
      </c>
      <c r="P13" s="553"/>
      <c r="Q13" s="424" t="s">
        <v>196</v>
      </c>
      <c r="R13" s="424" t="s">
        <v>197</v>
      </c>
    </row>
    <row r="14" spans="1:24">
      <c r="A14" s="2" t="s">
        <v>210</v>
      </c>
      <c r="B14" s="103" t="s">
        <v>210</v>
      </c>
      <c r="C14" s="14">
        <f>SUM(COUNTIF($R$3,Analysis_1[[#Headers],[WIN]]),COUNTIF($R$4,Analysis_1[[#Headers],[WIN]]))</f>
        <v>0</v>
      </c>
      <c r="D14" s="14">
        <f>SUM(COUNTIF($R$4,Analysis_1[[#Headers],[LOSE]]),COUNTIF($R$3,Analysis_1[[#Headers],[LOSE]]))</f>
        <v>0</v>
      </c>
      <c r="E14" s="46">
        <f>SUM($N$3,$N$4)</f>
        <v>0</v>
      </c>
      <c r="F14" s="46">
        <f>SUM($P$4,$P$3)</f>
        <v>0</v>
      </c>
      <c r="G14" s="427" t="str">
        <f>IF(COUNTBLANK(Games_1[[SCORE 1]:[SCORE 2]])=0,IF(RANK(H12,$H$9:$H$12)=1,RANK(H12,$H$9:$H$12)&amp;"st",IF(RANK(H12,$H$9:$H$12)=2,RANK(H12,$H$9:$H$12)&amp;"nd",IF(RANK(H12,$H$9:$H$12)=3,RANK(H12,$H$9:$H$12)&amp;"rd",RANK(H12,$H$9:$H$12)&amp;"th"))),"")</f>
        <v/>
      </c>
      <c r="I14" s="95"/>
      <c r="J14" s="95"/>
      <c r="K14" s="95"/>
      <c r="M14" s="107" t="str">
        <f>B15</f>
        <v>EB1</v>
      </c>
      <c r="N14" s="105"/>
      <c r="O14" s="99"/>
      <c r="P14" s="98"/>
      <c r="Q14" s="106"/>
      <c r="R14" s="108" t="str">
        <f>B11</f>
        <v>EA1</v>
      </c>
    </row>
    <row r="15" spans="1:24">
      <c r="A15" s="2" t="s">
        <v>252</v>
      </c>
      <c r="B15" s="103" t="s">
        <v>252</v>
      </c>
      <c r="C15" s="14" t="s">
        <v>249</v>
      </c>
      <c r="D15" s="14" t="s">
        <v>249</v>
      </c>
      <c r="E15" s="14" t="s">
        <v>249</v>
      </c>
      <c r="F15" s="14" t="s">
        <v>249</v>
      </c>
      <c r="G15" s="2" t="s">
        <v>249</v>
      </c>
      <c r="N15" s="50" t="str">
        <f>IF(OR($O$14="",$P$14=""),"",IF($O$15="win",$U$3,$U$4))</f>
        <v/>
      </c>
      <c r="O15" s="2" t="str">
        <f>IF(OR(O14="",P14=""),"",IF((O14&gt;P14),"WIN","LOSE"))</f>
        <v/>
      </c>
      <c r="P15" s="2" t="str">
        <f>IF(OR(O14="",P14=""),"",IF((O14&lt;P14),"WIN","LOSE"))</f>
        <v/>
      </c>
      <c r="Q15" s="50" t="str">
        <f>IF(OR($O$14="",$P$14=""),"",IF($P$15="win",$U$3,$U$4))</f>
        <v/>
      </c>
    </row>
    <row r="17" spans="1:3">
      <c r="A17" s="47"/>
    </row>
    <row r="18" spans="1:3">
      <c r="A18" s="104"/>
    </row>
    <row r="19" spans="1:3">
      <c r="A19" s="104"/>
    </row>
    <row r="20" spans="1:3" ht="15.95" thickBot="1"/>
    <row r="21" spans="1:3" ht="15.95" thickBot="1">
      <c r="A21" s="123" t="s">
        <v>218</v>
      </c>
      <c r="B21" s="124">
        <v>45757</v>
      </c>
      <c r="C21" s="44" t="s">
        <v>256</v>
      </c>
    </row>
  </sheetData>
  <sheetProtection algorithmName="SHA-512" hashValue="70lsKpe5O9/ZP0jTv3+g3ZETov5o5cAjEZPToPHMy/uzT1E15G/JOv5Wvjr5ZHvtIA5hCrOw9bC7MAtN+Kx3Ww==" saltValue="/sl8fo8KzJqGGNn8hN9HYw==" spinCount="100000" sheet="1" objects="1" scenarios="1"/>
  <mergeCells count="7">
    <mergeCell ref="M12:R12"/>
    <mergeCell ref="O13:P13"/>
    <mergeCell ref="O8:P8"/>
    <mergeCell ref="A1:A5"/>
    <mergeCell ref="T1:U1"/>
    <mergeCell ref="A7:G7"/>
    <mergeCell ref="M7:R7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7631-007E-754D-B36A-226892923421}">
  <sheetPr codeName="Sheet19"/>
  <dimension ref="A1:X23"/>
  <sheetViews>
    <sheetView workbookViewId="0">
      <selection activeCell="C2" sqref="C2"/>
    </sheetView>
    <sheetView workbookViewId="1">
      <selection sqref="A1:A10"/>
    </sheetView>
  </sheetViews>
  <sheetFormatPr defaultColWidth="8.85546875" defaultRowHeight="15"/>
  <cols>
    <col min="1" max="1" width="9.7109375" style="44" customWidth="1"/>
    <col min="2" max="4" width="20" style="44" customWidth="1"/>
    <col min="5" max="6" width="9.7109375" style="44" customWidth="1"/>
    <col min="7" max="7" width="20" style="44" customWidth="1"/>
    <col min="8" max="8" width="11.28515625" style="44" hidden="1" customWidth="1"/>
    <col min="9" max="9" width="12" style="44" hidden="1" customWidth="1"/>
    <col min="10" max="10" width="10.7109375" style="44" hidden="1" customWidth="1"/>
    <col min="11" max="11" width="8" style="44" hidden="1" customWidth="1"/>
    <col min="12" max="12" width="20" style="44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>
      <c r="A1" s="550" t="s">
        <v>322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323</v>
      </c>
      <c r="U1" s="545"/>
      <c r="W1" s="44" t="s">
        <v>205</v>
      </c>
      <c r="X1" s="44">
        <f>COUNTIF(Table41013422336386130[[ATHLETE 1]:[ATHLETE 4]],W1)</f>
        <v>6</v>
      </c>
    </row>
    <row r="2" spans="1:24" ht="15" customHeight="1">
      <c r="A2" s="554"/>
      <c r="B2" s="430" t="s">
        <v>178</v>
      </c>
      <c r="C2" s="2" t="str">
        <f>B14</f>
        <v>A1</v>
      </c>
      <c r="D2" s="38" t="str">
        <f>B19</f>
        <v>A6</v>
      </c>
      <c r="E2" s="39"/>
      <c r="F2" s="40"/>
      <c r="G2" s="41" t="str">
        <f>B15</f>
        <v>A2</v>
      </c>
      <c r="H2" s="41"/>
      <c r="I2" s="41"/>
      <c r="J2" s="41"/>
      <c r="K2" s="41"/>
      <c r="L2" s="42" t="str">
        <f>B18</f>
        <v>A5</v>
      </c>
      <c r="M2" s="430" t="str">
        <f>IF(OR(Table41013422336386130[[#This Row],[SCORE 1]]="",Table41013422336386130[[#This Row],[SCORE 2]]=""),"",Table41013422336386130[[#This Row],[SCORE 1]]-Table41013422336386130[[#This Row],[SCORE 2]])</f>
        <v/>
      </c>
      <c r="N2" s="430" t="str">
        <f>IF(OR(Table41013422336386130[[#This Row],[SCORE 1]]="",Table41013422336386130[[#This Row],[SCORE 2]]=""),"",Table41013422336386130[[#This Row],[SCORE 2]]-Table41013422336386130[[#This Row],[SCORE 1]])</f>
        <v/>
      </c>
      <c r="O2" s="430" t="str">
        <f>IF(Table41013422336386130[[#This Row],[SCORE 1]]="","",Table41013422336386130[[#This Row],[SCORE 1]])</f>
        <v/>
      </c>
      <c r="P2" s="430" t="str">
        <f>IF(Table41013422336386130[[#This Row],[SCORE 2]]="","",Table41013422336386130[[#This Row],[SCORE 2]])</f>
        <v/>
      </c>
      <c r="Q2" s="430" t="str">
        <f>IF(OR(Table41013422336386130[[#This Row],[SCORE 1]]="",Table41013422336386130[[#This Row],[SCORE 2]]=""),"",IF(Table41013422336386130[[#This Row],[SALDO 12]]&gt;0, "WIN","LOSE"))</f>
        <v/>
      </c>
      <c r="R2" s="430" t="str">
        <f>IF(OR(Table41013422336386130[[#This Row],[SCORE 2]]="",Table41013422336386130[[#This Row],[SCORE 1]]=""),"",IF(Table41013422336386130[[#This Row],[SALDO 34]]&gt;0, "WIN","LOSE"))</f>
        <v/>
      </c>
      <c r="T2" s="35" t="s">
        <v>179</v>
      </c>
      <c r="U2" s="35" t="s">
        <v>8</v>
      </c>
      <c r="W2" s="44" t="s">
        <v>206</v>
      </c>
      <c r="X2" s="44">
        <f>COUNTIF(Table41013422336386130[[ATHLETE 1]:[ATHLETE 4]],W2)</f>
        <v>6</v>
      </c>
    </row>
    <row r="3" spans="1:24">
      <c r="A3" s="554"/>
      <c r="B3" s="430" t="s">
        <v>178</v>
      </c>
      <c r="C3" s="2" t="str">
        <f>B16</f>
        <v>A3</v>
      </c>
      <c r="D3" s="38" t="str">
        <f>B17</f>
        <v>A4</v>
      </c>
      <c r="E3" s="39"/>
      <c r="F3" s="40"/>
      <c r="G3" s="41" t="str">
        <f>B18</f>
        <v>A5</v>
      </c>
      <c r="H3" s="41"/>
      <c r="I3" s="41"/>
      <c r="J3" s="41"/>
      <c r="K3" s="41"/>
      <c r="L3" s="42" t="str">
        <f>B14</f>
        <v>A1</v>
      </c>
      <c r="M3" s="430" t="str">
        <f>IF(OR(Table41013422336386130[[#This Row],[SCORE 1]]="",Table41013422336386130[[#This Row],[SCORE 2]]=""),"",Table41013422336386130[[#This Row],[SCORE 1]]-Table41013422336386130[[#This Row],[SCORE 2]])</f>
        <v/>
      </c>
      <c r="N3" s="430" t="str">
        <f>IF(OR(Table41013422336386130[[#This Row],[SCORE 1]]="",Table41013422336386130[[#This Row],[SCORE 2]]=""),"",Table41013422336386130[[#This Row],[SCORE 2]]-Table41013422336386130[[#This Row],[SCORE 1]])</f>
        <v/>
      </c>
      <c r="O3" s="430" t="str">
        <f>IF(Table41013422336386130[[#This Row],[SCORE 1]]="","",Table41013422336386130[[#This Row],[SCORE 1]])</f>
        <v/>
      </c>
      <c r="P3" s="430" t="str">
        <f>IF(Table41013422336386130[[#This Row],[SCORE 2]]="","",Table41013422336386130[[#This Row],[SCORE 2]])</f>
        <v/>
      </c>
      <c r="Q3" s="430" t="str">
        <f>IF(OR(Table41013422336386130[[#This Row],[SCORE 1]]="",Table41013422336386130[[#This Row],[SCORE 2]]=""),"",IF(Table41013422336386130[[#This Row],[SALDO 12]]&gt;0, "WIN","LOSE"))</f>
        <v/>
      </c>
      <c r="R3" s="430" t="str">
        <f>IF(OR(Table41013422336386130[[#This Row],[SCORE 2]]="",Table41013422336386130[[#This Row],[SCORE 1]]=""),"",IF(Table41013422336386130[[#This Row],[SALDO 34]]&gt;0, "WIN","LOSE"))</f>
        <v/>
      </c>
      <c r="T3" s="44" t="str">
        <f>IFERROR(_xlfn.XLOOKUP(Table157223544789133[[#This Row],[Rank]],$M$22:$R$22,$M$21:$R$21),"")</f>
        <v/>
      </c>
      <c r="U3" s="2" t="s">
        <v>19</v>
      </c>
      <c r="W3" s="44" t="s">
        <v>207</v>
      </c>
      <c r="X3" s="44">
        <f>COUNTIF(Table41013422336386130[[ATHLETE 1]:[ATHLETE 4]],W3)</f>
        <v>6</v>
      </c>
    </row>
    <row r="4" spans="1:24">
      <c r="A4" s="554"/>
      <c r="B4" s="430" t="s">
        <v>178</v>
      </c>
      <c r="C4" s="2" t="str">
        <f>B17</f>
        <v>A4</v>
      </c>
      <c r="D4" s="38" t="str">
        <f>B19</f>
        <v>A6</v>
      </c>
      <c r="E4" s="39"/>
      <c r="F4" s="40"/>
      <c r="G4" s="41" t="str">
        <f>B16</f>
        <v>A3</v>
      </c>
      <c r="H4" s="41"/>
      <c r="I4" s="41"/>
      <c r="J4" s="41"/>
      <c r="K4" s="41"/>
      <c r="L4" s="42" t="str">
        <f>B15</f>
        <v>A2</v>
      </c>
      <c r="M4" s="430" t="str">
        <f>IF(OR(Table41013422336386130[[#This Row],[SCORE 1]]="",Table41013422336386130[[#This Row],[SCORE 2]]=""),"",Table41013422336386130[[#This Row],[SCORE 1]]-Table41013422336386130[[#This Row],[SCORE 2]])</f>
        <v/>
      </c>
      <c r="N4" s="430" t="str">
        <f>IF(OR(Table41013422336386130[[#This Row],[SCORE 1]]="",Table41013422336386130[[#This Row],[SCORE 2]]=""),"",Table41013422336386130[[#This Row],[SCORE 2]]-Table41013422336386130[[#This Row],[SCORE 1]])</f>
        <v/>
      </c>
      <c r="O4" s="430" t="str">
        <f>IF(Table41013422336386130[[#This Row],[SCORE 1]]="","",Table41013422336386130[[#This Row],[SCORE 1]])</f>
        <v/>
      </c>
      <c r="P4" s="430" t="str">
        <f>IF(Table41013422336386130[[#This Row],[SCORE 2]]="","",Table41013422336386130[[#This Row],[SCORE 2]])</f>
        <v/>
      </c>
      <c r="Q4" s="430" t="str">
        <f>IF(OR(Table41013422336386130[[#This Row],[SCORE 1]]="",Table41013422336386130[[#This Row],[SCORE 2]]=""),"",IF(Table41013422336386130[[#This Row],[SALDO 12]]&gt;0, "WIN","LOSE"))</f>
        <v/>
      </c>
      <c r="R4" s="430" t="str">
        <f>IF(OR(Table41013422336386130[[#This Row],[SCORE 2]]="",Table41013422336386130[[#This Row],[SCORE 1]]=""),"",IF(Table41013422336386130[[#This Row],[SALDO 34]]&gt;0, "WIN","LOSE"))</f>
        <v/>
      </c>
      <c r="T4" s="44" t="str">
        <f>IFERROR(_xlfn.XLOOKUP(Table157223544789133[[#This Row],[Rank]],$M$22:$R$22,$M$21:$R$21),"")</f>
        <v/>
      </c>
      <c r="U4" s="2" t="s">
        <v>22</v>
      </c>
      <c r="W4" s="44" t="s">
        <v>208</v>
      </c>
      <c r="X4" s="44">
        <f>COUNTIF(Table41013422336386130[[ATHLETE 1]:[ATHLETE 4]],W4)</f>
        <v>6</v>
      </c>
    </row>
    <row r="5" spans="1:24">
      <c r="A5" s="554"/>
      <c r="B5" s="430" t="s">
        <v>178</v>
      </c>
      <c r="C5" s="2" t="str">
        <f>B14</f>
        <v>A1</v>
      </c>
      <c r="D5" s="38" t="str">
        <f>B17</f>
        <v>A4</v>
      </c>
      <c r="E5" s="39"/>
      <c r="F5" s="40"/>
      <c r="G5" s="41" t="str">
        <f>B18</f>
        <v>A5</v>
      </c>
      <c r="H5" s="41"/>
      <c r="I5" s="41"/>
      <c r="J5" s="41"/>
      <c r="K5" s="41"/>
      <c r="L5" s="42" t="str">
        <f>B16</f>
        <v>A3</v>
      </c>
      <c r="M5" s="430" t="str">
        <f>IF(OR(Table41013422336386130[[#This Row],[SCORE 1]]="",Table41013422336386130[[#This Row],[SCORE 2]]=""),"",Table41013422336386130[[#This Row],[SCORE 1]]-Table41013422336386130[[#This Row],[SCORE 2]])</f>
        <v/>
      </c>
      <c r="N5" s="430" t="str">
        <f>IF(OR(Table41013422336386130[[#This Row],[SCORE 1]]="",Table41013422336386130[[#This Row],[SCORE 2]]=""),"",Table41013422336386130[[#This Row],[SCORE 2]]-Table41013422336386130[[#This Row],[SCORE 1]])</f>
        <v/>
      </c>
      <c r="O5" s="430" t="str">
        <f>IF(Table41013422336386130[[#This Row],[SCORE 1]]="","",Table41013422336386130[[#This Row],[SCORE 1]])</f>
        <v/>
      </c>
      <c r="P5" s="430" t="str">
        <f>IF(Table41013422336386130[[#This Row],[SCORE 2]]="","",Table41013422336386130[[#This Row],[SCORE 2]])</f>
        <v/>
      </c>
      <c r="Q5" s="430" t="str">
        <f>IF(OR(Table41013422336386130[[#This Row],[SCORE 1]]="",Table41013422336386130[[#This Row],[SCORE 2]]=""),"",IF(Table41013422336386130[[#This Row],[SALDO 12]]&gt;0, "WIN","LOSE"))</f>
        <v/>
      </c>
      <c r="R5" s="430" t="str">
        <f>IF(OR(Table41013422336386130[[#This Row],[SCORE 2]]="",Table41013422336386130[[#This Row],[SCORE 1]]=""),"",IF(Table41013422336386130[[#This Row],[SALDO 34]]&gt;0, "WIN","LOSE"))</f>
        <v/>
      </c>
      <c r="T5" s="44" t="str">
        <f>IFERROR(_xlfn.XLOOKUP(Table157223544789133[[#This Row],[Rank]],$M$15:$R$15,$M$14:$R$14),"")</f>
        <v/>
      </c>
      <c r="U5" s="2" t="s">
        <v>25</v>
      </c>
      <c r="W5" s="44" t="s">
        <v>230</v>
      </c>
      <c r="X5" s="44">
        <f>COUNTIF(Table41013422336386130[[ATHLETE 1]:[ATHLETE 4]],W5)</f>
        <v>6</v>
      </c>
    </row>
    <row r="6" spans="1:24">
      <c r="A6" s="554"/>
      <c r="B6" s="430" t="s">
        <v>178</v>
      </c>
      <c r="C6" s="2" t="str">
        <f>B19</f>
        <v>A6</v>
      </c>
      <c r="D6" s="38" t="str">
        <f>B15</f>
        <v>A2</v>
      </c>
      <c r="E6" s="39"/>
      <c r="F6" s="40"/>
      <c r="G6" s="41" t="str">
        <f>B16</f>
        <v>A3</v>
      </c>
      <c r="H6" s="41"/>
      <c r="I6" s="41"/>
      <c r="J6" s="41"/>
      <c r="K6" s="41"/>
      <c r="L6" s="42" t="str">
        <f>B14</f>
        <v>A1</v>
      </c>
      <c r="M6" s="430" t="str">
        <f>IF(OR(Table41013422336386130[[#This Row],[SCORE 1]]="",Table41013422336386130[[#This Row],[SCORE 2]]=""),"",Table41013422336386130[[#This Row],[SCORE 1]]-Table41013422336386130[[#This Row],[SCORE 2]])</f>
        <v/>
      </c>
      <c r="N6" s="430" t="str">
        <f>IF(OR(Table41013422336386130[[#This Row],[SCORE 1]]="",Table41013422336386130[[#This Row],[SCORE 2]]=""),"",Table41013422336386130[[#This Row],[SCORE 2]]-Table41013422336386130[[#This Row],[SCORE 1]])</f>
        <v/>
      </c>
      <c r="O6" s="430" t="str">
        <f>IF(Table41013422336386130[[#This Row],[SCORE 1]]="","",Table41013422336386130[[#This Row],[SCORE 1]])</f>
        <v/>
      </c>
      <c r="P6" s="430" t="str">
        <f>IF(Table41013422336386130[[#This Row],[SCORE 2]]="","",Table41013422336386130[[#This Row],[SCORE 2]])</f>
        <v/>
      </c>
      <c r="Q6" s="430" t="str">
        <f>IF(OR(Table41013422336386130[[#This Row],[SCORE 1]]="",Table41013422336386130[[#This Row],[SCORE 2]]=""),"",IF(Table41013422336386130[[#This Row],[SALDO 12]]&gt;0, "WIN","LOSE"))</f>
        <v/>
      </c>
      <c r="R6" s="430" t="str">
        <f>IF(OR(Table41013422336386130[[#This Row],[SCORE 2]]="",Table41013422336386130[[#This Row],[SCORE 1]]=""),"",IF(Table41013422336386130[[#This Row],[SALDO 34]]&gt;0, "WIN","LOSE"))</f>
        <v/>
      </c>
      <c r="T6" s="44" t="str">
        <f>IFERROR(_xlfn.XLOOKUP(Table157223544789133[[#This Row],[Rank]],$M$15:$R$15,$M$14:$R$14),"")</f>
        <v/>
      </c>
      <c r="U6" s="2" t="s">
        <v>28</v>
      </c>
      <c r="W6" s="44" t="s">
        <v>245</v>
      </c>
      <c r="X6" s="44">
        <f>COUNTIF(Table41013422336386130[[ATHLETE 1]:[ATHLETE 4]],W6)</f>
        <v>6</v>
      </c>
    </row>
    <row r="7" spans="1:24">
      <c r="A7" s="554"/>
      <c r="B7" s="430" t="s">
        <v>178</v>
      </c>
      <c r="C7" s="2" t="str">
        <f>B15</f>
        <v>A2</v>
      </c>
      <c r="D7" s="38" t="str">
        <f>B17</f>
        <v>A4</v>
      </c>
      <c r="E7" s="39"/>
      <c r="F7" s="40"/>
      <c r="G7" s="41" t="str">
        <f>B19</f>
        <v>A6</v>
      </c>
      <c r="H7" s="41"/>
      <c r="I7" s="41"/>
      <c r="J7" s="41"/>
      <c r="K7" s="41"/>
      <c r="L7" s="42" t="str">
        <f>B18</f>
        <v>A5</v>
      </c>
      <c r="M7" s="430" t="str">
        <f>IF(OR(Table41013422336386130[[#This Row],[SCORE 1]]="",Table41013422336386130[[#This Row],[SCORE 2]]=""),"",Table41013422336386130[[#This Row],[SCORE 1]]-Table41013422336386130[[#This Row],[SCORE 2]])</f>
        <v/>
      </c>
      <c r="N7" s="430" t="str">
        <f>IF(OR(Table41013422336386130[[#This Row],[SCORE 1]]="",Table41013422336386130[[#This Row],[SCORE 2]]=""),"",Table41013422336386130[[#This Row],[SCORE 2]]-Table41013422336386130[[#This Row],[SCORE 1]])</f>
        <v/>
      </c>
      <c r="O7" s="430" t="str">
        <f>IF(Table41013422336386130[[#This Row],[SCORE 1]]="","",Table41013422336386130[[#This Row],[SCORE 1]])</f>
        <v/>
      </c>
      <c r="P7" s="430" t="str">
        <f>IF(Table41013422336386130[[#This Row],[SCORE 2]]="","",Table41013422336386130[[#This Row],[SCORE 2]])</f>
        <v/>
      </c>
      <c r="Q7" s="430" t="str">
        <f>IF(OR(Table41013422336386130[[#This Row],[SCORE 1]]="",Table41013422336386130[[#This Row],[SCORE 2]]=""),"",IF(Table41013422336386130[[#This Row],[SALDO 12]]&gt;0, "WIN","LOSE"))</f>
        <v/>
      </c>
      <c r="R7" s="430" t="str">
        <f>IF(OR(Table41013422336386130[[#This Row],[SCORE 2]]="",Table41013422336386130[[#This Row],[SCORE 1]]=""),"",IF(Table41013422336386130[[#This Row],[SALDO 34]]&gt;0, "WIN","LOSE"))</f>
        <v/>
      </c>
      <c r="T7" s="44" t="str">
        <f>IF($M$14="","",_xlfn.XLOOKUP(Table157223544789133[[#This Row],[Rank]],$J$14:$J$21,$K$14:$K$21))</f>
        <v/>
      </c>
      <c r="U7" s="2" t="s">
        <v>31</v>
      </c>
    </row>
    <row r="8" spans="1:24">
      <c r="A8" s="554"/>
      <c r="B8" s="430" t="s">
        <v>178</v>
      </c>
      <c r="C8" s="2" t="str">
        <f>B14</f>
        <v>A1</v>
      </c>
      <c r="D8" s="38" t="str">
        <f>B15</f>
        <v>A2</v>
      </c>
      <c r="E8" s="39"/>
      <c r="F8" s="40"/>
      <c r="G8" s="41" t="str">
        <f>B19</f>
        <v>A6</v>
      </c>
      <c r="H8" s="41"/>
      <c r="I8" s="41"/>
      <c r="J8" s="41"/>
      <c r="K8" s="41"/>
      <c r="L8" s="42" t="str">
        <f>B16</f>
        <v>A3</v>
      </c>
      <c r="M8" s="430" t="str">
        <f>IF(OR(Table41013422336386130[[#This Row],[SCORE 1]]="",Table41013422336386130[[#This Row],[SCORE 2]]=""),"",Table41013422336386130[[#This Row],[SCORE 1]]-Table41013422336386130[[#This Row],[SCORE 2]])</f>
        <v/>
      </c>
      <c r="N8" s="430" t="str">
        <f>IF(OR(Table41013422336386130[[#This Row],[SCORE 1]]="",Table41013422336386130[[#This Row],[SCORE 2]]=""),"",Table41013422336386130[[#This Row],[SCORE 2]]-Table41013422336386130[[#This Row],[SCORE 1]])</f>
        <v/>
      </c>
      <c r="O8" s="430" t="str">
        <f>IF(Table41013422336386130[[#This Row],[SCORE 1]]="","",Table41013422336386130[[#This Row],[SCORE 1]])</f>
        <v/>
      </c>
      <c r="P8" s="430" t="str">
        <f>IF(Table41013422336386130[[#This Row],[SCORE 2]]="","",Table41013422336386130[[#This Row],[SCORE 2]])</f>
        <v/>
      </c>
      <c r="Q8" s="430" t="str">
        <f>IF(OR(Table41013422336386130[[#This Row],[SCORE 1]]="",Table41013422336386130[[#This Row],[SCORE 2]]=""),"",IF(Table41013422336386130[[#This Row],[SALDO 12]]&gt;0, "WIN","LOSE"))</f>
        <v/>
      </c>
      <c r="R8" s="430" t="str">
        <f>IF(OR(Table41013422336386130[[#This Row],[SCORE 2]]="",Table41013422336386130[[#This Row],[SCORE 1]]=""),"",IF(Table41013422336386130[[#This Row],[SALDO 34]]&gt;0, "WIN","LOSE"))</f>
        <v/>
      </c>
      <c r="T8" s="44" t="str">
        <f>IF($M$14="","",_xlfn.XLOOKUP(Table157223544789133[[#This Row],[Rank]],$J$14:$J$21,$K$14:$K$21))</f>
        <v/>
      </c>
      <c r="U8" s="2" t="s">
        <v>34</v>
      </c>
    </row>
    <row r="9" spans="1:24">
      <c r="A9" s="554"/>
      <c r="B9" s="430" t="s">
        <v>178</v>
      </c>
      <c r="C9" s="2" t="str">
        <f>B17</f>
        <v>A4</v>
      </c>
      <c r="D9" s="38" t="str">
        <f>B16</f>
        <v>A3</v>
      </c>
      <c r="E9" s="39"/>
      <c r="F9" s="40"/>
      <c r="G9" s="41" t="str">
        <f>B15</f>
        <v>A2</v>
      </c>
      <c r="H9" s="41"/>
      <c r="I9" s="41"/>
      <c r="J9" s="41"/>
      <c r="K9" s="41"/>
      <c r="L9" s="42" t="str">
        <f>B18</f>
        <v>A5</v>
      </c>
      <c r="M9" s="430" t="str">
        <f>IF(OR(Table41013422336386130[[#This Row],[SCORE 1]]="",Table41013422336386130[[#This Row],[SCORE 2]]=""),"",Table41013422336386130[[#This Row],[SCORE 1]]-Table41013422336386130[[#This Row],[SCORE 2]])</f>
        <v/>
      </c>
      <c r="N9" s="430" t="str">
        <f>IF(OR(Table41013422336386130[[#This Row],[SCORE 1]]="",Table41013422336386130[[#This Row],[SCORE 2]]=""),"",Table41013422336386130[[#This Row],[SCORE 2]]-Table41013422336386130[[#This Row],[SCORE 1]])</f>
        <v/>
      </c>
      <c r="O9" s="430" t="str">
        <f>IF(Table41013422336386130[[#This Row],[SCORE 1]]="","",Table41013422336386130[[#This Row],[SCORE 1]])</f>
        <v/>
      </c>
      <c r="P9" s="430" t="str">
        <f>IF(Table41013422336386130[[#This Row],[SCORE 2]]="","",Table41013422336386130[[#This Row],[SCORE 2]])</f>
        <v/>
      </c>
      <c r="Q9" s="430" t="str">
        <f>IF(OR(Table41013422336386130[[#This Row],[SCORE 1]]="",Table41013422336386130[[#This Row],[SCORE 2]]=""),"",IF(Table41013422336386130[[#This Row],[SALDO 12]]&gt;0, "WIN","LOSE"))</f>
        <v/>
      </c>
      <c r="R9" s="430" t="str">
        <f>IF(OR(Table41013422336386130[[#This Row],[SCORE 2]]="",Table41013422336386130[[#This Row],[SCORE 1]]=""),"",IF(Table41013422336386130[[#This Row],[SALDO 34]]&gt;0, "WIN","LOSE"))</f>
        <v/>
      </c>
      <c r="U9" s="2"/>
    </row>
    <row r="10" spans="1:24">
      <c r="A10" s="554"/>
      <c r="B10" s="430" t="s">
        <v>178</v>
      </c>
      <c r="C10" s="2" t="str">
        <f>B17</f>
        <v>A4</v>
      </c>
      <c r="D10" s="38" t="str">
        <f>B18</f>
        <v>A5</v>
      </c>
      <c r="E10" s="39"/>
      <c r="F10" s="40"/>
      <c r="G10" s="41" t="str">
        <f>B14</f>
        <v>A1</v>
      </c>
      <c r="H10" s="41"/>
      <c r="I10" s="41"/>
      <c r="J10" s="41"/>
      <c r="K10" s="41"/>
      <c r="L10" s="42" t="str">
        <f>B19</f>
        <v>A6</v>
      </c>
      <c r="M10" s="430" t="str">
        <f>IF(OR(Table41013422336386130[[#This Row],[SCORE 1]]="",Table41013422336386130[[#This Row],[SCORE 2]]=""),"",Table41013422336386130[[#This Row],[SCORE 1]]-Table41013422336386130[[#This Row],[SCORE 2]])</f>
        <v/>
      </c>
      <c r="N10" s="430" t="str">
        <f>IF(OR(Table41013422336386130[[#This Row],[SCORE 1]]="",Table41013422336386130[[#This Row],[SCORE 2]]=""),"",Table41013422336386130[[#This Row],[SCORE 2]]-Table41013422336386130[[#This Row],[SCORE 1]])</f>
        <v/>
      </c>
      <c r="O10" s="430" t="str">
        <f>IF(Table41013422336386130[[#This Row],[SCORE 1]]="","",Table41013422336386130[[#This Row],[SCORE 1]])</f>
        <v/>
      </c>
      <c r="P10" s="430" t="str">
        <f>IF(Table41013422336386130[[#This Row],[SCORE 2]]="","",Table41013422336386130[[#This Row],[SCORE 2]])</f>
        <v/>
      </c>
      <c r="Q10" s="430" t="str">
        <f>IF(OR(Table41013422336386130[[#This Row],[SCORE 1]]="",Table41013422336386130[[#This Row],[SCORE 2]]=""),"",IF(Table41013422336386130[[#This Row],[SALDO 12]]&gt;0, "WIN","LOSE"))</f>
        <v/>
      </c>
      <c r="R10" s="430" t="str">
        <f>IF(OR(Table41013422336386130[[#This Row],[SCORE 2]]="",Table41013422336386130[[#This Row],[SCORE 1]]=""),"",IF(Table41013422336386130[[#This Row],[SALDO 34]]&gt;0, "WIN","LOSE"))</f>
        <v/>
      </c>
    </row>
    <row r="11" spans="1:24" ht="30" customHeight="1"/>
    <row r="12" spans="1:24" ht="30" customHeight="1">
      <c r="A12" s="546" t="s">
        <v>182</v>
      </c>
      <c r="B12" s="547"/>
      <c r="C12" s="547"/>
      <c r="D12" s="547"/>
      <c r="E12" s="547"/>
      <c r="F12" s="547"/>
      <c r="G12" s="547"/>
      <c r="H12" s="420"/>
      <c r="I12" s="420"/>
      <c r="J12" s="420"/>
      <c r="K12" s="420"/>
      <c r="M12" s="548" t="s">
        <v>199</v>
      </c>
      <c r="N12" s="549"/>
      <c r="O12" s="549"/>
      <c r="P12" s="549"/>
      <c r="Q12" s="549"/>
      <c r="R12" s="549"/>
    </row>
    <row r="13" spans="1:24" ht="15.95">
      <c r="A13" s="6" t="s">
        <v>184</v>
      </c>
      <c r="B13" s="43" t="s">
        <v>185</v>
      </c>
      <c r="C13" s="43" t="s">
        <v>186</v>
      </c>
      <c r="D13" s="43" t="s">
        <v>187</v>
      </c>
      <c r="E13" s="43" t="s">
        <v>188</v>
      </c>
      <c r="F13" s="43" t="s">
        <v>189</v>
      </c>
      <c r="G13" s="43" t="s">
        <v>8</v>
      </c>
      <c r="H13" s="425" t="s">
        <v>204</v>
      </c>
      <c r="I13" s="425" t="s">
        <v>191</v>
      </c>
      <c r="J13" s="425" t="s">
        <v>192</v>
      </c>
      <c r="K13" s="425" t="s">
        <v>1</v>
      </c>
      <c r="M13" s="424" t="s">
        <v>193</v>
      </c>
      <c r="N13" s="424" t="s">
        <v>194</v>
      </c>
      <c r="O13" s="552" t="s">
        <v>195</v>
      </c>
      <c r="P13" s="553"/>
      <c r="Q13" s="424" t="s">
        <v>196</v>
      </c>
      <c r="R13" s="424" t="s">
        <v>197</v>
      </c>
    </row>
    <row r="14" spans="1:24">
      <c r="A14" s="3" t="s">
        <v>178</v>
      </c>
      <c r="B14" s="45" t="s">
        <v>205</v>
      </c>
      <c r="C14" s="14">
        <f>SUM(COUNTIF($Q$2,Table361114532437487131[[#Headers],[WIN]]),COUNTIF($R$3,Table361114532437487131[[#Headers],[WIN]]),COUNTIF($R$6,Table361114532437487131[[#Headers],[WIN]]),COUNTIF($R$10,Table361114532437487131[[#Headers],[WIN]]),COUNTIF($Q$8,Table361114532437487131[[#Headers],[WIN]]),COUNTIF($Q$5,Table361114532437487131[[#Headers],[WIN]]))</f>
        <v>0</v>
      </c>
      <c r="D14" s="14">
        <f>SUM(COUNTIF($Q$2,Table361114532437487131[[#Headers],[LOSE]]),COUNTIF($R$3,Table361114532437487131[[#Headers],[LOSE]]),COUNTIF($R$6,Table361114532437487131[[#Headers],[LOSE]]),COUNTIF($R$10,Table361114532437487131[[#Headers],[LOSE]]),COUNTIF($Q$8,Table361114532437487131[[#Headers],[LOSE]]),COUNTIF($Q$5,Table361114532437487131[[#Headers],[LOSE]]))</f>
        <v>0</v>
      </c>
      <c r="E14" s="46">
        <f>SUM($M$2,$N$3,$M$5,$N$6,$M$8,$N$10)</f>
        <v>0</v>
      </c>
      <c r="F14" s="46">
        <f>SUM($O$2,$P$3,$O$5,$P$6,$O$8,$P$10)</f>
        <v>0</v>
      </c>
      <c r="G14" s="427" t="str">
        <f>IF(COUNTBLANK(Table41013422336386130[[SCORE 1]:[SCORE 2]])=0,IF(RANK(H14,$H$14:$H$19)=1,RANK(H14,$H$14:$H$19)&amp;"st",IF(RANK(H14,$H$14:$H$19)=2,RANK(H14,$H$14:$H$19)&amp;"nd",IF(RANK(H14,$H$14:$H$19)=3,RANK(H14,$H$14:$H$19)&amp;"rd",RANK(H14,$H$14:$H$19)&amp;"th"))),"")</f>
        <v/>
      </c>
      <c r="H14" s="51">
        <f>Table361114532437487131[[#This Row],[WIN]]*1000000+Table361114532437487131[[#This Row],[Saldo]]*1000+Table361114532437487131[[#This Row],[PM]]</f>
        <v>0</v>
      </c>
      <c r="I14" s="51">
        <f>H14</f>
        <v>0</v>
      </c>
      <c r="J14" s="51" t="str">
        <f>IF(RANK(I14,$I$14:$I$19)=1,RANK(I14,$I$14:$I$19)&amp;"st",IF(RANK(I14,$I$14:$I$19)=2,RANK(I14,$I$14:$I$19)&amp;"nd",RANK(I14,$I$14:$I$19)&amp;"th"))</f>
        <v>1st</v>
      </c>
      <c r="K14" s="51" t="str">
        <f>Table361114532437487131[[#This Row],[Atheletes ]]</f>
        <v>A1</v>
      </c>
      <c r="M14" s="8" t="str">
        <f>IFERROR(_xlfn.XLOOKUP("1st",Table361114532437487131[Rank],Table361114532437487131[[Atheletes ]]),"")</f>
        <v/>
      </c>
      <c r="N14" s="8" t="str">
        <f>IFERROR(_xlfn.XLOOKUP("2nd",Table361114532437487131[Rank],Table361114532437487131[[Atheletes ]]),"")</f>
        <v/>
      </c>
      <c r="O14" s="55"/>
      <c r="P14" s="55"/>
      <c r="Q14" s="8" t="str">
        <f>IFERROR(_xlfn.XLOOKUP("3rd",Table361114532437487131[Rank],Table361114532437487131[[Atheletes ]]),"")</f>
        <v/>
      </c>
      <c r="R14" s="8" t="str">
        <f>IFERROR(_xlfn.XLOOKUP("4th",Table361114532437487131[Rank],Table361114532437487131[[Atheletes ]]),"")</f>
        <v/>
      </c>
    </row>
    <row r="15" spans="1:24">
      <c r="A15" s="3" t="s">
        <v>178</v>
      </c>
      <c r="B15" s="45" t="s">
        <v>206</v>
      </c>
      <c r="C15" s="14">
        <f>SUM(COUNTIF($R$2,Table361114532437487131[[#Headers],[WIN]]),COUNTIF($R$4,Table361114532437487131[[#Headers],[WIN]]),COUNTIF($Q$6,Table361114532437487131[[#Headers],[WIN]]),COUNTIF($Q$8,Table361114532437487131[[#Headers],[WIN]]),COUNTIF($R$9,Table361114532437487131[[#Headers],[WIN]]),COUNTIF($Q$7,Table361114532437487131[[#Headers],[WIN]]))</f>
        <v>0</v>
      </c>
      <c r="D15" s="14">
        <f>SUM(COUNTIF($R$2,Table361114532437487131[[#Headers],[LOSE]]),COUNTIF($R$4,Table361114532437487131[[#Headers],[LOSE]]),COUNTIF($Q$6,Table361114532437487131[[#Headers],[LOSE]]),COUNTIF($Q$8,Table361114532437487131[[#Headers],[LOSE]]),COUNTIF($R$9,Table361114532437487131[[#Headers],[LOSE]]),COUNTIF($Q$7,Table361114532437487131[[#Headers],[LOSE]]))</f>
        <v>0</v>
      </c>
      <c r="E15" s="46">
        <f>SUM($N$2,$N$4,$M$6,$M$7,$M$8,$N$9)</f>
        <v>0</v>
      </c>
      <c r="F15" s="46">
        <f>SUM($P$2,$P$4,$O$6,$O$7,$O$8,$P$9)</f>
        <v>0</v>
      </c>
      <c r="G15" s="427" t="str">
        <f>IF(COUNTBLANK(Table41013422336386130[[SCORE 1]:[SCORE 2]])=0,IF(RANK(H15,$H$14:$H$19)=1,RANK(H15,$H$14:$H$19)&amp;"st",IF(RANK(H15,$H$14:$H$19)=2,RANK(H15,$H$14:$H$19)&amp;"nd",IF(RANK(H15,$H$14:$H$19)=3,RANK(H15,$H$14:$H$19)&amp;"rd",RANK(H15,$H$14:$H$19)&amp;"th"))),"")</f>
        <v/>
      </c>
      <c r="H15" s="51">
        <f>Table361114532437487131[[#This Row],[WIN]]*1000000+Table361114532437487131[[#This Row],[Saldo]]*1000+Table361114532437487131[[#This Row],[PM]]</f>
        <v>0</v>
      </c>
      <c r="I15" s="51">
        <f t="shared" ref="I15:I19" si="0">H15</f>
        <v>0</v>
      </c>
      <c r="J15" s="51" t="str">
        <f t="shared" ref="J15:J19" si="1">IF(RANK(I15,$I$14:$I$19)=1,RANK(I15,$I$14:$I$19)&amp;"st",IF(RANK(I15,$I$14:$I$19)=2,RANK(I15,$I$14:$I$19)&amp;"nd",RANK(I15,$I$14:$I$19)&amp;"th"))</f>
        <v>1st</v>
      </c>
      <c r="K15" s="51" t="str">
        <f>Table361114532437487131[[#This Row],[Atheletes ]]</f>
        <v>A2</v>
      </c>
      <c r="M15" s="52" t="str">
        <f>IF(OR($O$15="WIN",O14="",P14=""),"",IF($M$16&gt;$N$16,$U$5,$U$6))</f>
        <v/>
      </c>
      <c r="N15" s="52" t="str">
        <f>IF(OR(O14="",P14="",$O$15="WIN"),"",IF($M$16&lt;$N$16,$U$5,$U$6))</f>
        <v/>
      </c>
      <c r="O15" s="2" t="str">
        <f>IF(OR(O14="",P14=""),"",IF((O14&gt;P14),"WIN","LOSE"))</f>
        <v/>
      </c>
      <c r="P15" s="2" t="str">
        <f>IF(OR(O14="",P14=""),"",IF((O14&lt;P14),"WIN","LOSE"))</f>
        <v/>
      </c>
      <c r="Q15" s="52" t="str">
        <f>IF(OR(O14="",P14="",$P$15="WIN"),"",IF($M$16&gt;$N$16,$U$5,$U$6))</f>
        <v/>
      </c>
      <c r="R15" s="52" t="str">
        <f>IF(OR(O14="",P14="",$P$15="WIN"),"",IF($M$16&lt;$N$16,$U$5,$U$6))</f>
        <v/>
      </c>
      <c r="S15" s="47"/>
    </row>
    <row r="16" spans="1:24" ht="15.95">
      <c r="A16" s="5" t="s">
        <v>178</v>
      </c>
      <c r="B16" s="45" t="s">
        <v>207</v>
      </c>
      <c r="C16" s="14">
        <f>SUM(COUNTIF($Q$3,Table361114532437487131[[#Headers],[WIN]]),COUNTIF($R$4,Table361114532437487131[[#Headers],[WIN]]),COUNTIF($R$5,Table361114532437487131[[#Headers],[WIN]]),COUNTIF($R$8,Table361114532437487131[[#Headers],[WIN]]),COUNTIF($R$6,Table361114532437487131[[#Headers],[WIN]]),COUNTIF($Q$9,Table361114532437487131[[#Headers],[WIN]]))</f>
        <v>0</v>
      </c>
      <c r="D16" s="14">
        <f>SUM(COUNTIF($Q$3,Table361114532437487131[[#Headers],[LOSE]]),COUNTIF($R$4,Table361114532437487131[[#Headers],[LOSE]]),COUNTIF($R$5,Table361114532437487131[[#Headers],[LOSE]]),COUNTIF($R$8,Table361114532437487131[[#Headers],[LOSE]]),COUNTIF($R$6,Table361114532437487131[[#Headers],[LOSE]]),COUNTIF($Q$9,Table361114532437487131[[#Headers],[LOSE]]))</f>
        <v>0</v>
      </c>
      <c r="E16" s="46">
        <f>SUM($M$3,$N$4,$N$5,$N$6,$N$8,$N$9)</f>
        <v>0</v>
      </c>
      <c r="F16" s="46">
        <f>SUM($O$3,$P$5,$P$4,$P$6,$P$8,$O$9)</f>
        <v>0</v>
      </c>
      <c r="G16" s="427" t="str">
        <f>IF(COUNTBLANK(Table41013422336386130[[SCORE 1]:[SCORE 2]])=0,IF(RANK(H16,$H$14:$H$19)=1,RANK(H16,$H$14:$H$19)&amp;"st",IF(RANK(H16,$H$14:$H$19)=2,RANK(H16,$H$14:$H$19)&amp;"nd",IF(RANK(H16,$H$14:$H$19)=3,RANK(H16,$H$14:$H$19)&amp;"rd",RANK(H16,$H$14:$H$19)&amp;"th"))),"")</f>
        <v/>
      </c>
      <c r="H16" s="51">
        <f>Table361114532437487131[[#This Row],[WIN]]*1000000+Table361114532437487131[[#This Row],[Saldo]]*1000+Table361114532437487131[[#This Row],[PM]]</f>
        <v>0</v>
      </c>
      <c r="I16" s="51">
        <f t="shared" si="0"/>
        <v>0</v>
      </c>
      <c r="J16" s="51" t="str">
        <f t="shared" si="1"/>
        <v>1st</v>
      </c>
      <c r="K16" s="51" t="str">
        <f>Table361114532437487131[[#This Row],[Atheletes ]]</f>
        <v>A3</v>
      </c>
      <c r="M16" s="54" t="e">
        <f>_xlfn.XLOOKUP(M14,$K$14:$K$21,$I$14:$I$21)</f>
        <v>#N/A</v>
      </c>
      <c r="N16" s="54" t="e">
        <f>_xlfn.XLOOKUP(N14,$K$14:$K$21,$I$14:$I$21)</f>
        <v>#N/A</v>
      </c>
      <c r="Q16" s="53" t="e">
        <f>_xlfn.XLOOKUP(Q14,$K$14:$K$21,$I$14:$I$21)</f>
        <v>#N/A</v>
      </c>
      <c r="R16" s="53" t="e">
        <f>_xlfn.XLOOKUP(R14,$K$14:$K$21,$I$14:$I$21)</f>
        <v>#N/A</v>
      </c>
    </row>
    <row r="17" spans="1:18">
      <c r="A17" s="3" t="s">
        <v>178</v>
      </c>
      <c r="B17" s="45" t="s">
        <v>208</v>
      </c>
      <c r="C17" s="14">
        <f>SUM(COUNTIF($Q$3,Table361114532437487131[[#Headers],[WIN]]),COUNTIF($Q$4,Table361114532437487131[[#Headers],[WIN]]),COUNTIF($Q$5,Table361114532437487131[[#Headers],[WIN]]),COUNTIF($Q$10,Table361114532437487131[[#Headers],[WIN]]),COUNTIF($Q$9,Table361114532437487131[[#Headers],[WIN]]),COUNTIF($Q$7,Table361114532437487131[[#Headers],[WIN]]))</f>
        <v>0</v>
      </c>
      <c r="D17" s="14">
        <f>SUM(COUNTIF($Q$3,Table361114532437487131[[#Headers],[LOSE]]),COUNTIF($Q$4,Table361114532437487131[[#Headers],[LOSE]]),COUNTIF($Q$5,Table361114532437487131[[#Headers],[LOSE]]),COUNTIF($Q$10,Table361114532437487131[[#Headers],[LOSE]]),COUNTIF($Q$9,Table361114532437487131[[#Headers],[LOSE]]),COUNTIF($Q$7,Table361114532437487131[[#Headers],[LOSE]]))</f>
        <v>0</v>
      </c>
      <c r="E17" s="46">
        <f>SUM($M$3,$M$4,$M$5,$M$7,$M$10,$M$9)</f>
        <v>0</v>
      </c>
      <c r="F17" s="46">
        <f>SUM($O$3,$O$4,$O$5,$O$7,$O$10,$O$9)</f>
        <v>0</v>
      </c>
      <c r="G17" s="427" t="str">
        <f>IF(COUNTBLANK(Table41013422336386130[[SCORE 1]:[SCORE 2]])=0,IF(RANK(H17,$H$14:$H$19)=1,RANK(H17,$H$14:$H$19)&amp;"st",IF(RANK(H17,$H$14:$H$19)=2,RANK(H17,$H$14:$H$19)&amp;"nd",IF(RANK(H17,$H$14:$H$19)=3,RANK(H17,$H$14:$H$19)&amp;"rd",RANK(H17,$H$14:$H$19)&amp;"th"))),"")</f>
        <v/>
      </c>
      <c r="H17" s="51">
        <f>Table361114532437487131[[#This Row],[WIN]]*1000000+Table361114532437487131[[#This Row],[Saldo]]*1000+Table361114532437487131[[#This Row],[PM]]</f>
        <v>0</v>
      </c>
      <c r="I17" s="51">
        <f t="shared" si="0"/>
        <v>0</v>
      </c>
      <c r="J17" s="51" t="str">
        <f t="shared" si="1"/>
        <v>1st</v>
      </c>
      <c r="K17" s="51" t="str">
        <f>Table361114532437487131[[#This Row],[Atheletes ]]</f>
        <v>A4</v>
      </c>
    </row>
    <row r="18" spans="1:18">
      <c r="A18" s="3" t="s">
        <v>178</v>
      </c>
      <c r="B18" s="45" t="s">
        <v>230</v>
      </c>
      <c r="C18" s="430">
        <f>SUM(COUNTIF($R$2,Table361114532437487131[[#Headers],[WIN]]),COUNTIF($R$3,Table361114532437487131[[#Headers],[WIN]]),COUNTIF($R$5,Table361114532437487131[[#Headers],[WIN]]),COUNTIF($Q$10,Table361114532437487131[[#Headers],[WIN]]),COUNTIF($R$7,Table361114532437487131[[#Headers],[WIN]]),COUNTIF($R$9,Table361114532437487131[[#Headers],[WIN]]))</f>
        <v>0</v>
      </c>
      <c r="D18" s="14">
        <f>SUM(COUNTIF($R$2,Table361114532437487131[[#Headers],[LOSE]]),COUNTIF($R$3,Table361114532437487131[[#Headers],[LOSE]]),COUNTIF($R$5,Table361114532437487131[[#Headers],[LOSE]]),COUNTIF($Q$10,Table361114532437487131[[#Headers],[LOSE]]),COUNTIF($R$7,Table361114532437487131[[#Headers],[LOSE]]),COUNTIF($R$9,Table361114532437487131[[#Headers],[LOSE]]))</f>
        <v>0</v>
      </c>
      <c r="E18" s="88">
        <f>SUM($N$2,$N$3,$N$5,$N$7,$M$10,$N$9)</f>
        <v>0</v>
      </c>
      <c r="F18" s="430">
        <f>SUM($P$2,$P$3,$P$5,$P$7,$O$10,$P$9)</f>
        <v>0</v>
      </c>
      <c r="G18" s="427" t="str">
        <f>IF(COUNTBLANK(Table41013422336386130[[SCORE 1]:[SCORE 2]])=0,IF(RANK(H18,$H$14:$H$19)=1,RANK(H18,$H$14:$H$19)&amp;"st",IF(RANK(H18,$H$14:$H$19)=2,RANK(H18,$H$14:$H$19)&amp;"nd",IF(RANK(H18,$H$14:$H$19)=3,RANK(H18,$H$14:$H$19)&amp;"rd",RANK(H18,$H$14:$H$19)&amp;"th"))),"")</f>
        <v/>
      </c>
      <c r="H18" s="51">
        <f>Table361114532437487131[[#This Row],[WIN]]*1000000+Table361114532437487131[[#This Row],[Saldo]]*1000+Table361114532437487131[[#This Row],[PM]]</f>
        <v>0</v>
      </c>
      <c r="I18" s="51">
        <f t="shared" si="0"/>
        <v>0</v>
      </c>
      <c r="J18" s="51" t="str">
        <f t="shared" si="1"/>
        <v>1st</v>
      </c>
      <c r="K18" s="51" t="str">
        <f>Table361114532437487131[[#This Row],[Atheletes ]]</f>
        <v>A5</v>
      </c>
    </row>
    <row r="19" spans="1:18" ht="28.5" customHeight="1">
      <c r="A19" s="3" t="s">
        <v>178</v>
      </c>
      <c r="B19" s="45" t="s">
        <v>245</v>
      </c>
      <c r="C19" s="11">
        <f>SUM(COUNTIF($Q$2,Table361114532437487131[[#Headers],[WIN]]),COUNTIF($Q$4,Table361114532437487131[[#Headers],[WIN]]),COUNTIF($R$7,Table361114532437487131[[#Headers],[WIN]]),COUNTIF($R$10,Table361114532437487131[[#Headers],[WIN]]),COUNTIF($R$8,Table361114532437487131[[#Headers],[WIN]]),COUNTIF($Q$6,Table361114532437487131[[#Headers],[WIN]]))</f>
        <v>0</v>
      </c>
      <c r="D19" s="2">
        <f>SUM(COUNTIF($Q$2,Table361114532437487131[[#Headers],[LOSE]]),COUNTIF($Q$4,Table361114532437487131[[#Headers],[LOSE]]),COUNTIF($R$7,Table361114532437487131[[#Headers],[LOSE]]),COUNTIF($R$10,Table361114532437487131[[#Headers],[LOSE]]),COUNTIF($R$8,Table361114532437487131[[#Headers],[LOSE]]),COUNTIF($Q$6,Table361114532437487131[[#Headers],[LOSE]]))</f>
        <v>0</v>
      </c>
      <c r="E19" s="89">
        <f>SUM($M$2,$M$4,$M$6,$N$7,$N$8,$N$10)</f>
        <v>0</v>
      </c>
      <c r="F19" s="11">
        <f>SUM($O$2,$O$4,$O$6,$P$7,$P$8,$P$10)</f>
        <v>0</v>
      </c>
      <c r="G19" s="427" t="str">
        <f>IF(COUNTBLANK(Table41013422336386130[[SCORE 1]:[SCORE 2]])=0,IF(RANK(H19,$H$14:$H$19)=1,RANK(H19,$H$14:$H$19)&amp;"st",IF(RANK(H19,$H$14:$H$19)=2,RANK(H19,$H$14:$H$19)&amp;"nd",IF(RANK(H19,$H$14:$H$19)=3,RANK(H19,$H$14:$H$19)&amp;"rd",RANK(H19,$H$14:$H$19)&amp;"th"))),"")</f>
        <v/>
      </c>
      <c r="H19" s="51">
        <f>Table361114532437487131[[#This Row],[WIN]]*1000000+Table361114532437487131[[#This Row],[Saldo]]*1000+Table361114532437487131[[#This Row],[PM]]</f>
        <v>0</v>
      </c>
      <c r="I19" s="51">
        <f t="shared" si="0"/>
        <v>0</v>
      </c>
      <c r="J19" s="51" t="str">
        <f t="shared" si="1"/>
        <v>1st</v>
      </c>
      <c r="K19" s="51" t="str">
        <f>Table361114532437487131[[#This Row],[Atheletes ]]</f>
        <v>A6</v>
      </c>
      <c r="M19" s="548" t="s">
        <v>200</v>
      </c>
      <c r="N19" s="549"/>
      <c r="O19" s="549"/>
      <c r="P19" s="549"/>
      <c r="Q19" s="549"/>
      <c r="R19" s="549"/>
    </row>
    <row r="20" spans="1:18">
      <c r="I20" s="2"/>
      <c r="J20" s="51"/>
      <c r="K20" s="51"/>
      <c r="M20" s="424" t="s">
        <v>193</v>
      </c>
      <c r="N20" s="424" t="s">
        <v>194</v>
      </c>
      <c r="O20" s="552" t="s">
        <v>195</v>
      </c>
      <c r="P20" s="553"/>
      <c r="Q20" s="424" t="s">
        <v>196</v>
      </c>
      <c r="R20" s="424" t="s">
        <v>197</v>
      </c>
    </row>
    <row r="21" spans="1:18">
      <c r="I21" s="2"/>
      <c r="J21" s="51"/>
      <c r="K21" s="51"/>
      <c r="M21" s="432" t="str">
        <f>IF(OR($O$14="",$P$14=""),"",IF($O$15="WIN",$M$14,$Q$14))</f>
        <v/>
      </c>
      <c r="N21" s="49"/>
      <c r="O21" s="55"/>
      <c r="P21" s="86"/>
      <c r="Q21" s="432" t="str">
        <f>IF(OR($O$14="",$P$14=""),"",IF($O$15="WIN",$N$14,$R$14))</f>
        <v/>
      </c>
      <c r="R21" s="49"/>
    </row>
    <row r="22" spans="1:18">
      <c r="I22" s="51"/>
      <c r="J22" s="51"/>
      <c r="K22" s="51"/>
      <c r="M22" s="50" t="str">
        <f>IF(OR($O$21="",$P$21=""),"",IF($O$22="win",$U$3,$U$4))</f>
        <v/>
      </c>
      <c r="O22" s="2" t="str">
        <f>IF(OR(O21="",P21=""),"",IF((O21&gt;P21),"WIN","LOSE"))</f>
        <v/>
      </c>
      <c r="P22" s="2" t="str">
        <f>IF(OR(O21="",P21=""),"",IF((O21&lt;P21),"WIN","LOSE"))</f>
        <v/>
      </c>
      <c r="Q22" s="50" t="str">
        <f>IF(OR($O$21="",$P$21=""),"",IF($P$22="win",$U$3,$U$4))</f>
        <v/>
      </c>
    </row>
    <row r="23" spans="1:18">
      <c r="I23" s="51"/>
      <c r="J23" s="51"/>
      <c r="K23" s="51"/>
    </row>
  </sheetData>
  <sheetProtection algorithmName="SHA-512" hashValue="ttLr6EAPjyPPuNc0q3skcZFY954fYnQtE7SEN3Mnv7E9CNhhiTbU0iy8BkmfkH0R/7uoKx8fEG/6roLzHg1Fiw==" saltValue="IEGDcggoMX9qdq2hnJYu1w==" spinCount="100000" sheet="1" objects="1" scenarios="1"/>
  <mergeCells count="7">
    <mergeCell ref="O20:P20"/>
    <mergeCell ref="T1:U1"/>
    <mergeCell ref="A1:A10"/>
    <mergeCell ref="A12:G12"/>
    <mergeCell ref="M12:R12"/>
    <mergeCell ref="O13:P13"/>
    <mergeCell ref="M19:R19"/>
  </mergeCells>
  <phoneticPr fontId="1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ABCD-B652-9C40-AAB9-14D199E40BE6}">
  <dimension ref="A1:X27"/>
  <sheetViews>
    <sheetView workbookViewId="0">
      <selection activeCell="L23" sqref="L23"/>
    </sheetView>
    <sheetView workbookViewId="1">
      <selection sqref="A1:A10"/>
    </sheetView>
  </sheetViews>
  <sheetFormatPr defaultColWidth="8.85546875" defaultRowHeight="15"/>
  <cols>
    <col min="1" max="1" width="9.7109375" style="44" customWidth="1"/>
    <col min="2" max="4" width="20" style="44" customWidth="1"/>
    <col min="5" max="6" width="9.7109375" style="44" customWidth="1"/>
    <col min="7" max="7" width="20" style="44" customWidth="1"/>
    <col min="8" max="8" width="11.28515625" style="44" hidden="1" customWidth="1"/>
    <col min="9" max="9" width="12" style="44" hidden="1" customWidth="1"/>
    <col min="10" max="10" width="10.7109375" style="44" hidden="1" customWidth="1"/>
    <col min="11" max="11" width="8" style="44" hidden="1" customWidth="1"/>
    <col min="12" max="12" width="20" style="44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>
      <c r="A1" s="550" t="s">
        <v>322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323</v>
      </c>
      <c r="U1" s="545"/>
      <c r="W1" s="44" t="s">
        <v>205</v>
      </c>
      <c r="X1" s="44">
        <f>COUNTIF(Table41013422336386130197[[ATHLETE 1]:[ATHLETE 4]],W1)</f>
        <v>3</v>
      </c>
    </row>
    <row r="2" spans="1:24" ht="15" customHeight="1">
      <c r="A2" s="554"/>
      <c r="B2" s="430" t="s">
        <v>178</v>
      </c>
      <c r="C2" s="2" t="str">
        <f>$B$20</f>
        <v>H1</v>
      </c>
      <c r="D2" s="38" t="str">
        <f>B14</f>
        <v>A1</v>
      </c>
      <c r="E2" s="39"/>
      <c r="F2" s="40"/>
      <c r="G2" s="41" t="str">
        <f>$B$21</f>
        <v>H2</v>
      </c>
      <c r="H2" s="41"/>
      <c r="I2" s="41"/>
      <c r="J2" s="41"/>
      <c r="K2" s="41"/>
      <c r="L2" s="42" t="str">
        <f>B15</f>
        <v>A2</v>
      </c>
      <c r="M2" s="430" t="str">
        <f>IF(OR(Table41013422336386130197[[#This Row],[SCORE 1]]="",Table41013422336386130197[[#This Row],[SCORE 2]]=""),"",Table41013422336386130197[[#This Row],[SCORE 1]]-Table41013422336386130197[[#This Row],[SCORE 2]])</f>
        <v/>
      </c>
      <c r="N2" s="430" t="str">
        <f>IF(OR(Table41013422336386130197[[#This Row],[SCORE 1]]="",Table41013422336386130197[[#This Row],[SCORE 2]]=""),"",Table41013422336386130197[[#This Row],[SCORE 2]]-Table41013422336386130197[[#This Row],[SCORE 1]])</f>
        <v/>
      </c>
      <c r="O2" s="430" t="str">
        <f>IF(Table41013422336386130197[[#This Row],[SCORE 1]]="","",Table41013422336386130197[[#This Row],[SCORE 1]])</f>
        <v/>
      </c>
      <c r="P2" s="430" t="str">
        <f>IF(Table41013422336386130197[[#This Row],[SCORE 2]]="","",Table41013422336386130197[[#This Row],[SCORE 2]])</f>
        <v/>
      </c>
      <c r="Q2" s="430" t="str">
        <f>IF(OR(Table41013422336386130197[[#This Row],[SCORE 1]]="",Table41013422336386130197[[#This Row],[SCORE 2]]=""),"",IF(Table41013422336386130197[[#This Row],[SALDO 12]]&gt;0, "WIN","LOSE"))</f>
        <v/>
      </c>
      <c r="R2" s="430" t="str">
        <f>IF(OR(Table41013422336386130197[[#This Row],[SCORE 2]]="",Table41013422336386130197[[#This Row],[SCORE 1]]=""),"",IF(Table41013422336386130197[[#This Row],[SALDO 34]]&gt;0, "WIN","LOSE"))</f>
        <v/>
      </c>
      <c r="T2" s="35" t="s">
        <v>179</v>
      </c>
      <c r="U2" s="35" t="s">
        <v>8</v>
      </c>
      <c r="W2" s="44" t="s">
        <v>206</v>
      </c>
      <c r="X2" s="44">
        <f>COUNTIF(Table41013422336386130197[[ATHLETE 1]:[ATHLETE 4]],W2)</f>
        <v>3</v>
      </c>
    </row>
    <row r="3" spans="1:24">
      <c r="A3" s="554"/>
      <c r="B3" s="430" t="s">
        <v>178</v>
      </c>
      <c r="C3" s="2" t="str">
        <f t="shared" ref="C3:C10" si="0">$B$20</f>
        <v>H1</v>
      </c>
      <c r="D3" s="38" t="str">
        <f>B16</f>
        <v>A3</v>
      </c>
      <c r="E3" s="39"/>
      <c r="F3" s="40"/>
      <c r="G3" s="41" t="str">
        <f t="shared" ref="G3:G6" si="1">$B$21</f>
        <v>H2</v>
      </c>
      <c r="H3" s="41"/>
      <c r="I3" s="41"/>
      <c r="J3" s="41"/>
      <c r="K3" s="41"/>
      <c r="L3" s="42" t="str">
        <f>B17</f>
        <v>A4</v>
      </c>
      <c r="M3" s="430" t="str">
        <f>IF(OR(Table41013422336386130197[[#This Row],[SCORE 1]]="",Table41013422336386130197[[#This Row],[SCORE 2]]=""),"",Table41013422336386130197[[#This Row],[SCORE 1]]-Table41013422336386130197[[#This Row],[SCORE 2]])</f>
        <v/>
      </c>
      <c r="N3" s="430" t="str">
        <f>IF(OR(Table41013422336386130197[[#This Row],[SCORE 1]]="",Table41013422336386130197[[#This Row],[SCORE 2]]=""),"",Table41013422336386130197[[#This Row],[SCORE 2]]-Table41013422336386130197[[#This Row],[SCORE 1]])</f>
        <v/>
      </c>
      <c r="O3" s="430" t="str">
        <f>IF(Table41013422336386130197[[#This Row],[SCORE 1]]="","",Table41013422336386130197[[#This Row],[SCORE 1]])</f>
        <v/>
      </c>
      <c r="P3" s="430" t="str">
        <f>IF(Table41013422336386130197[[#This Row],[SCORE 2]]="","",Table41013422336386130197[[#This Row],[SCORE 2]])</f>
        <v/>
      </c>
      <c r="Q3" s="430" t="str">
        <f>IF(OR(Table41013422336386130197[[#This Row],[SCORE 1]]="",Table41013422336386130197[[#This Row],[SCORE 2]]=""),"",IF(Table41013422336386130197[[#This Row],[SALDO 12]]&gt;0, "WIN","LOSE"))</f>
        <v/>
      </c>
      <c r="R3" s="430" t="str">
        <f>IF(OR(Table41013422336386130197[[#This Row],[SCORE 2]]="",Table41013422336386130197[[#This Row],[SCORE 1]]=""),"",IF(Table41013422336386130197[[#This Row],[SALDO 34]]&gt;0, "WIN","LOSE"))</f>
        <v/>
      </c>
      <c r="T3" s="44" t="str">
        <f>IFERROR(_xlfn.XLOOKUP(Table157223544789133199[[#This Row],[Rank]],$M$22:$R$22,$M$21:$R$21),"")</f>
        <v/>
      </c>
      <c r="U3" s="2" t="s">
        <v>19</v>
      </c>
      <c r="W3" s="44" t="s">
        <v>207</v>
      </c>
      <c r="X3" s="44">
        <f>COUNTIF(Table41013422336386130197[[ATHLETE 1]:[ATHLETE 4]],W3)</f>
        <v>3</v>
      </c>
    </row>
    <row r="4" spans="1:24">
      <c r="A4" s="554"/>
      <c r="B4" s="430" t="s">
        <v>178</v>
      </c>
      <c r="C4" s="2" t="str">
        <f t="shared" si="0"/>
        <v>H1</v>
      </c>
      <c r="D4" s="38" t="str">
        <f>B18</f>
        <v>A5</v>
      </c>
      <c r="E4" s="39"/>
      <c r="F4" s="40"/>
      <c r="G4" s="41" t="str">
        <f t="shared" si="1"/>
        <v>H2</v>
      </c>
      <c r="H4" s="41"/>
      <c r="I4" s="41"/>
      <c r="J4" s="41"/>
      <c r="K4" s="41"/>
      <c r="L4" s="42" t="str">
        <f>B19</f>
        <v>A6</v>
      </c>
      <c r="M4" s="430" t="str">
        <f>IF(OR(Table41013422336386130197[[#This Row],[SCORE 1]]="",Table41013422336386130197[[#This Row],[SCORE 2]]=""),"",Table41013422336386130197[[#This Row],[SCORE 1]]-Table41013422336386130197[[#This Row],[SCORE 2]])</f>
        <v/>
      </c>
      <c r="N4" s="430" t="str">
        <f>IF(OR(Table41013422336386130197[[#This Row],[SCORE 1]]="",Table41013422336386130197[[#This Row],[SCORE 2]]=""),"",Table41013422336386130197[[#This Row],[SCORE 2]]-Table41013422336386130197[[#This Row],[SCORE 1]])</f>
        <v/>
      </c>
      <c r="O4" s="430" t="str">
        <f>IF(Table41013422336386130197[[#This Row],[SCORE 1]]="","",Table41013422336386130197[[#This Row],[SCORE 1]])</f>
        <v/>
      </c>
      <c r="P4" s="430" t="str">
        <f>IF(Table41013422336386130197[[#This Row],[SCORE 2]]="","",Table41013422336386130197[[#This Row],[SCORE 2]])</f>
        <v/>
      </c>
      <c r="Q4" s="430" t="str">
        <f>IF(OR(Table41013422336386130197[[#This Row],[SCORE 1]]="",Table41013422336386130197[[#This Row],[SCORE 2]]=""),"",IF(Table41013422336386130197[[#This Row],[SALDO 12]]&gt;0, "WIN","LOSE"))</f>
        <v/>
      </c>
      <c r="R4" s="430" t="str">
        <f>IF(OR(Table41013422336386130197[[#This Row],[SCORE 2]]="",Table41013422336386130197[[#This Row],[SCORE 1]]=""),"",IF(Table41013422336386130197[[#This Row],[SALDO 34]]&gt;0, "WIN","LOSE"))</f>
        <v/>
      </c>
      <c r="T4" s="44" t="str">
        <f>IFERROR(_xlfn.XLOOKUP(Table157223544789133199[[#This Row],[Rank]],$M$22:$R$22,$M$21:$R$21),"")</f>
        <v/>
      </c>
      <c r="U4" s="2" t="s">
        <v>22</v>
      </c>
      <c r="W4" s="44" t="s">
        <v>208</v>
      </c>
      <c r="X4" s="44">
        <f>COUNTIF(Table41013422336386130197[[ATHLETE 1]:[ATHLETE 4]],W4)</f>
        <v>3</v>
      </c>
    </row>
    <row r="5" spans="1:24">
      <c r="A5" s="554"/>
      <c r="B5" s="430" t="s">
        <v>178</v>
      </c>
      <c r="C5" s="2" t="str">
        <f t="shared" si="0"/>
        <v>H1</v>
      </c>
      <c r="D5" s="38" t="str">
        <f>B14</f>
        <v>A1</v>
      </c>
      <c r="E5" s="39"/>
      <c r="F5" s="40"/>
      <c r="G5" s="41" t="str">
        <f t="shared" si="1"/>
        <v>H2</v>
      </c>
      <c r="H5" s="41"/>
      <c r="I5" s="41"/>
      <c r="J5" s="41"/>
      <c r="K5" s="41"/>
      <c r="L5" s="42" t="str">
        <f>B17</f>
        <v>A4</v>
      </c>
      <c r="M5" s="430" t="str">
        <f>IF(OR(Table41013422336386130197[[#This Row],[SCORE 1]]="",Table41013422336386130197[[#This Row],[SCORE 2]]=""),"",Table41013422336386130197[[#This Row],[SCORE 1]]-Table41013422336386130197[[#This Row],[SCORE 2]])</f>
        <v/>
      </c>
      <c r="N5" s="430" t="str">
        <f>IF(OR(Table41013422336386130197[[#This Row],[SCORE 1]]="",Table41013422336386130197[[#This Row],[SCORE 2]]=""),"",Table41013422336386130197[[#This Row],[SCORE 2]]-Table41013422336386130197[[#This Row],[SCORE 1]])</f>
        <v/>
      </c>
      <c r="O5" s="430" t="str">
        <f>IF(Table41013422336386130197[[#This Row],[SCORE 1]]="","",Table41013422336386130197[[#This Row],[SCORE 1]])</f>
        <v/>
      </c>
      <c r="P5" s="430" t="str">
        <f>IF(Table41013422336386130197[[#This Row],[SCORE 2]]="","",Table41013422336386130197[[#This Row],[SCORE 2]])</f>
        <v/>
      </c>
      <c r="Q5" s="430" t="str">
        <f>IF(OR(Table41013422336386130197[[#This Row],[SCORE 1]]="",Table41013422336386130197[[#This Row],[SCORE 2]]=""),"",IF(Table41013422336386130197[[#This Row],[SALDO 12]]&gt;0, "WIN","LOSE"))</f>
        <v/>
      </c>
      <c r="R5" s="430" t="str">
        <f>IF(OR(Table41013422336386130197[[#This Row],[SCORE 2]]="",Table41013422336386130197[[#This Row],[SCORE 1]]=""),"",IF(Table41013422336386130197[[#This Row],[SALDO 34]]&gt;0, "WIN","LOSE"))</f>
        <v/>
      </c>
      <c r="T5" s="44" t="str">
        <f>IFERROR(_xlfn.XLOOKUP(Table157223544789133199[[#This Row],[Rank]],$M$15:$R$15,$M$14:$R$14),"")</f>
        <v/>
      </c>
      <c r="U5" s="2" t="s">
        <v>25</v>
      </c>
      <c r="W5" s="44" t="s">
        <v>230</v>
      </c>
      <c r="X5" s="44">
        <f>COUNTIF(Table41013422336386130197[[ATHLETE 1]:[ATHLETE 4]],W5)</f>
        <v>3</v>
      </c>
    </row>
    <row r="6" spans="1:24">
      <c r="A6" s="554"/>
      <c r="B6" s="430" t="s">
        <v>178</v>
      </c>
      <c r="C6" s="2" t="str">
        <f t="shared" si="0"/>
        <v>H1</v>
      </c>
      <c r="D6" s="38" t="str">
        <f>B15</f>
        <v>A2</v>
      </c>
      <c r="E6" s="39"/>
      <c r="F6" s="40"/>
      <c r="G6" s="41" t="str">
        <f t="shared" si="1"/>
        <v>H2</v>
      </c>
      <c r="H6" s="41"/>
      <c r="I6" s="41"/>
      <c r="J6" s="41"/>
      <c r="K6" s="41"/>
      <c r="L6" s="42" t="str">
        <f>B18</f>
        <v>A5</v>
      </c>
      <c r="M6" s="430" t="str">
        <f>IF(OR(Table41013422336386130197[[#This Row],[SCORE 1]]="",Table41013422336386130197[[#This Row],[SCORE 2]]=""),"",Table41013422336386130197[[#This Row],[SCORE 1]]-Table41013422336386130197[[#This Row],[SCORE 2]])</f>
        <v/>
      </c>
      <c r="N6" s="430" t="str">
        <f>IF(OR(Table41013422336386130197[[#This Row],[SCORE 1]]="",Table41013422336386130197[[#This Row],[SCORE 2]]=""),"",Table41013422336386130197[[#This Row],[SCORE 2]]-Table41013422336386130197[[#This Row],[SCORE 1]])</f>
        <v/>
      </c>
      <c r="O6" s="430" t="str">
        <f>IF(Table41013422336386130197[[#This Row],[SCORE 1]]="","",Table41013422336386130197[[#This Row],[SCORE 1]])</f>
        <v/>
      </c>
      <c r="P6" s="430" t="str">
        <f>IF(Table41013422336386130197[[#This Row],[SCORE 2]]="","",Table41013422336386130197[[#This Row],[SCORE 2]])</f>
        <v/>
      </c>
      <c r="Q6" s="430" t="str">
        <f>IF(OR(Table41013422336386130197[[#This Row],[SCORE 1]]="",Table41013422336386130197[[#This Row],[SCORE 2]]=""),"",IF(Table41013422336386130197[[#This Row],[SALDO 12]]&gt;0, "WIN","LOSE"))</f>
        <v/>
      </c>
      <c r="R6" s="430" t="str">
        <f>IF(OR(Table41013422336386130197[[#This Row],[SCORE 2]]="",Table41013422336386130197[[#This Row],[SCORE 1]]=""),"",IF(Table41013422336386130197[[#This Row],[SALDO 34]]&gt;0, "WIN","LOSE"))</f>
        <v/>
      </c>
      <c r="T6" s="44" t="str">
        <f>IFERROR(_xlfn.XLOOKUP(Table157223544789133199[[#This Row],[Rank]],$M$15:$R$15,$M$14:$R$14),"")</f>
        <v/>
      </c>
      <c r="U6" s="2" t="s">
        <v>28</v>
      </c>
      <c r="W6" s="44" t="s">
        <v>245</v>
      </c>
      <c r="X6" s="44">
        <f>COUNTIF(Table41013422336386130197[[ATHLETE 1]:[ATHLETE 4]],W6)</f>
        <v>3</v>
      </c>
    </row>
    <row r="7" spans="1:24">
      <c r="A7" s="554"/>
      <c r="B7" s="430" t="s">
        <v>178</v>
      </c>
      <c r="C7" s="2" t="str">
        <f t="shared" si="0"/>
        <v>H1</v>
      </c>
      <c r="D7" s="38" t="str">
        <f>B16</f>
        <v>A3</v>
      </c>
      <c r="E7" s="39"/>
      <c r="F7" s="40"/>
      <c r="G7" s="41" t="str">
        <f>$B$21</f>
        <v>H2</v>
      </c>
      <c r="H7" s="41"/>
      <c r="I7" s="41"/>
      <c r="J7" s="41"/>
      <c r="K7" s="41"/>
      <c r="L7" s="42" t="str">
        <f>B19</f>
        <v>A6</v>
      </c>
      <c r="M7" s="430" t="str">
        <f>IF(OR(Table41013422336386130197[[#This Row],[SCORE 1]]="",Table41013422336386130197[[#This Row],[SCORE 2]]=""),"",Table41013422336386130197[[#This Row],[SCORE 1]]-Table41013422336386130197[[#This Row],[SCORE 2]])</f>
        <v/>
      </c>
      <c r="N7" s="430" t="str">
        <f>IF(OR(Table41013422336386130197[[#This Row],[SCORE 1]]="",Table41013422336386130197[[#This Row],[SCORE 2]]=""),"",Table41013422336386130197[[#This Row],[SCORE 2]]-Table41013422336386130197[[#This Row],[SCORE 1]])</f>
        <v/>
      </c>
      <c r="O7" s="430" t="str">
        <f>IF(Table41013422336386130197[[#This Row],[SCORE 1]]="","",Table41013422336386130197[[#This Row],[SCORE 1]])</f>
        <v/>
      </c>
      <c r="P7" s="430" t="str">
        <f>IF(Table41013422336386130197[[#This Row],[SCORE 2]]="","",Table41013422336386130197[[#This Row],[SCORE 2]])</f>
        <v/>
      </c>
      <c r="Q7" s="430" t="str">
        <f>IF(OR(Table41013422336386130197[[#This Row],[SCORE 1]]="",Table41013422336386130197[[#This Row],[SCORE 2]]=""),"",IF(Table41013422336386130197[[#This Row],[SALDO 12]]&gt;0, "WIN","LOSE"))</f>
        <v/>
      </c>
      <c r="R7" s="430" t="str">
        <f>IF(OR(Table41013422336386130197[[#This Row],[SCORE 2]]="",Table41013422336386130197[[#This Row],[SCORE 1]]=""),"",IF(Table41013422336386130197[[#This Row],[SALDO 34]]&gt;0, "WIN","LOSE"))</f>
        <v/>
      </c>
      <c r="T7" s="44" t="str">
        <f>IF($M$14="","",_xlfn.XLOOKUP(Table157223544789133199[[#This Row],[Rank]],$J$14:$J$19,$K$14:$K$19))</f>
        <v/>
      </c>
      <c r="U7" s="2" t="s">
        <v>31</v>
      </c>
    </row>
    <row r="8" spans="1:24">
      <c r="A8" s="554"/>
      <c r="B8" s="430" t="s">
        <v>178</v>
      </c>
      <c r="C8" s="2" t="str">
        <f t="shared" si="0"/>
        <v>H1</v>
      </c>
      <c r="D8" s="38" t="str">
        <f>B15</f>
        <v>A2</v>
      </c>
      <c r="E8" s="39"/>
      <c r="F8" s="40"/>
      <c r="G8" s="41" t="str">
        <f t="shared" ref="G8:G9" si="2">$B$21</f>
        <v>H2</v>
      </c>
      <c r="H8" s="41"/>
      <c r="I8" s="41"/>
      <c r="J8" s="41"/>
      <c r="K8" s="41"/>
      <c r="L8" s="42" t="str">
        <f>B17</f>
        <v>A4</v>
      </c>
      <c r="M8" s="430" t="str">
        <f>IF(OR(Table41013422336386130197[[#This Row],[SCORE 1]]="",Table41013422336386130197[[#This Row],[SCORE 2]]=""),"",Table41013422336386130197[[#This Row],[SCORE 1]]-Table41013422336386130197[[#This Row],[SCORE 2]])</f>
        <v/>
      </c>
      <c r="N8" s="430" t="str">
        <f>IF(OR(Table41013422336386130197[[#This Row],[SCORE 1]]="",Table41013422336386130197[[#This Row],[SCORE 2]]=""),"",Table41013422336386130197[[#This Row],[SCORE 2]]-Table41013422336386130197[[#This Row],[SCORE 1]])</f>
        <v/>
      </c>
      <c r="O8" s="430" t="str">
        <f>IF(Table41013422336386130197[[#This Row],[SCORE 1]]="","",Table41013422336386130197[[#This Row],[SCORE 1]])</f>
        <v/>
      </c>
      <c r="P8" s="430" t="str">
        <f>IF(Table41013422336386130197[[#This Row],[SCORE 2]]="","",Table41013422336386130197[[#This Row],[SCORE 2]])</f>
        <v/>
      </c>
      <c r="Q8" s="430" t="str">
        <f>IF(OR(Table41013422336386130197[[#This Row],[SCORE 1]]="",Table41013422336386130197[[#This Row],[SCORE 2]]=""),"",IF(Table41013422336386130197[[#This Row],[SALDO 12]]&gt;0, "WIN","LOSE"))</f>
        <v/>
      </c>
      <c r="R8" s="430" t="str">
        <f>IF(OR(Table41013422336386130197[[#This Row],[SCORE 2]]="",Table41013422336386130197[[#This Row],[SCORE 1]]=""),"",IF(Table41013422336386130197[[#This Row],[SALDO 34]]&gt;0, "WIN","LOSE"))</f>
        <v/>
      </c>
      <c r="T8" s="44" t="str">
        <f>IF($M$14="","",_xlfn.XLOOKUP(Table157223544789133199[[#This Row],[Rank]],$J$14:$J$19,$K$14:$K$19))</f>
        <v/>
      </c>
      <c r="U8" s="2" t="s">
        <v>34</v>
      </c>
    </row>
    <row r="9" spans="1:24">
      <c r="A9" s="554"/>
      <c r="B9" s="430" t="s">
        <v>178</v>
      </c>
      <c r="C9" s="2" t="str">
        <f t="shared" si="0"/>
        <v>H1</v>
      </c>
      <c r="D9" s="38" t="str">
        <f>B14</f>
        <v>A1</v>
      </c>
      <c r="E9" s="39"/>
      <c r="F9" s="40"/>
      <c r="G9" s="41" t="str">
        <f t="shared" si="2"/>
        <v>H2</v>
      </c>
      <c r="H9" s="41"/>
      <c r="I9" s="41"/>
      <c r="J9" s="41"/>
      <c r="K9" s="41"/>
      <c r="L9" s="42" t="str">
        <f>B19</f>
        <v>A6</v>
      </c>
      <c r="M9" s="430" t="str">
        <f>IF(OR(Table41013422336386130197[[#This Row],[SCORE 1]]="",Table41013422336386130197[[#This Row],[SCORE 2]]=""),"",Table41013422336386130197[[#This Row],[SCORE 1]]-Table41013422336386130197[[#This Row],[SCORE 2]])</f>
        <v/>
      </c>
      <c r="N9" s="430" t="str">
        <f>IF(OR(Table41013422336386130197[[#This Row],[SCORE 1]]="",Table41013422336386130197[[#This Row],[SCORE 2]]=""),"",Table41013422336386130197[[#This Row],[SCORE 2]]-Table41013422336386130197[[#This Row],[SCORE 1]])</f>
        <v/>
      </c>
      <c r="O9" s="430" t="str">
        <f>IF(Table41013422336386130197[[#This Row],[SCORE 1]]="","",Table41013422336386130197[[#This Row],[SCORE 1]])</f>
        <v/>
      </c>
      <c r="P9" s="430" t="str">
        <f>IF(Table41013422336386130197[[#This Row],[SCORE 2]]="","",Table41013422336386130197[[#This Row],[SCORE 2]])</f>
        <v/>
      </c>
      <c r="Q9" s="430" t="str">
        <f>IF(OR(Table41013422336386130197[[#This Row],[SCORE 1]]="",Table41013422336386130197[[#This Row],[SCORE 2]]=""),"",IF(Table41013422336386130197[[#This Row],[SALDO 12]]&gt;0, "WIN","LOSE"))</f>
        <v/>
      </c>
      <c r="R9" s="430" t="str">
        <f>IF(OR(Table41013422336386130197[[#This Row],[SCORE 2]]="",Table41013422336386130197[[#This Row],[SCORE 1]]=""),"",IF(Table41013422336386130197[[#This Row],[SALDO 34]]&gt;0, "WIN","LOSE"))</f>
        <v/>
      </c>
      <c r="U9" s="2"/>
    </row>
    <row r="10" spans="1:24">
      <c r="A10" s="554"/>
      <c r="B10" s="430" t="s">
        <v>178</v>
      </c>
      <c r="C10" s="2" t="str">
        <f t="shared" si="0"/>
        <v>H1</v>
      </c>
      <c r="D10" s="38" t="str">
        <f>B16</f>
        <v>A3</v>
      </c>
      <c r="E10" s="39"/>
      <c r="F10" s="40"/>
      <c r="G10" s="41" t="str">
        <f>B21</f>
        <v>H2</v>
      </c>
      <c r="H10" s="41"/>
      <c r="I10" s="41"/>
      <c r="J10" s="41"/>
      <c r="K10" s="41"/>
      <c r="L10" s="42" t="str">
        <f>B18</f>
        <v>A5</v>
      </c>
      <c r="M10" s="430" t="str">
        <f>IF(OR(Table41013422336386130197[[#This Row],[SCORE 1]]="",Table41013422336386130197[[#This Row],[SCORE 2]]=""),"",Table41013422336386130197[[#This Row],[SCORE 1]]-Table41013422336386130197[[#This Row],[SCORE 2]])</f>
        <v/>
      </c>
      <c r="N10" s="430" t="str">
        <f>IF(OR(Table41013422336386130197[[#This Row],[SCORE 1]]="",Table41013422336386130197[[#This Row],[SCORE 2]]=""),"",Table41013422336386130197[[#This Row],[SCORE 2]]-Table41013422336386130197[[#This Row],[SCORE 1]])</f>
        <v/>
      </c>
      <c r="O10" s="430" t="str">
        <f>IF(Table41013422336386130197[[#This Row],[SCORE 1]]="","",Table41013422336386130197[[#This Row],[SCORE 1]])</f>
        <v/>
      </c>
      <c r="P10" s="430" t="str">
        <f>IF(Table41013422336386130197[[#This Row],[SCORE 2]]="","",Table41013422336386130197[[#This Row],[SCORE 2]])</f>
        <v/>
      </c>
      <c r="Q10" s="430" t="str">
        <f>IF(OR(Table41013422336386130197[[#This Row],[SCORE 1]]="",Table41013422336386130197[[#This Row],[SCORE 2]]=""),"",IF(Table41013422336386130197[[#This Row],[SALDO 12]]&gt;0, "WIN","LOSE"))</f>
        <v/>
      </c>
      <c r="R10" s="430" t="str">
        <f>IF(OR(Table41013422336386130197[[#This Row],[SCORE 2]]="",Table41013422336386130197[[#This Row],[SCORE 1]]=""),"",IF(Table41013422336386130197[[#This Row],[SALDO 34]]&gt;0, "WIN","LOSE"))</f>
        <v/>
      </c>
    </row>
    <row r="11" spans="1:24" ht="30" customHeight="1"/>
    <row r="12" spans="1:24" ht="30" customHeight="1">
      <c r="A12" s="546" t="s">
        <v>182</v>
      </c>
      <c r="B12" s="547"/>
      <c r="C12" s="547"/>
      <c r="D12" s="547"/>
      <c r="E12" s="547"/>
      <c r="F12" s="547"/>
      <c r="G12" s="547"/>
      <c r="H12" s="420"/>
      <c r="I12" s="420"/>
      <c r="J12" s="420"/>
      <c r="K12" s="420"/>
      <c r="M12" s="548" t="s">
        <v>199</v>
      </c>
      <c r="N12" s="549"/>
      <c r="O12" s="549"/>
      <c r="P12" s="549"/>
      <c r="Q12" s="549"/>
      <c r="R12" s="549"/>
    </row>
    <row r="13" spans="1:24" ht="15.95">
      <c r="A13" s="6" t="s">
        <v>184</v>
      </c>
      <c r="B13" s="43" t="s">
        <v>185</v>
      </c>
      <c r="C13" s="43" t="s">
        <v>186</v>
      </c>
      <c r="D13" s="43" t="s">
        <v>187</v>
      </c>
      <c r="E13" s="43" t="s">
        <v>188</v>
      </c>
      <c r="F13" s="43" t="s">
        <v>189</v>
      </c>
      <c r="G13" s="43" t="s">
        <v>8</v>
      </c>
      <c r="H13" s="425" t="s">
        <v>204</v>
      </c>
      <c r="I13" s="425" t="s">
        <v>191</v>
      </c>
      <c r="J13" s="425" t="s">
        <v>192</v>
      </c>
      <c r="K13" s="425" t="s">
        <v>1</v>
      </c>
      <c r="M13" s="424" t="s">
        <v>193</v>
      </c>
      <c r="N13" s="424" t="s">
        <v>194</v>
      </c>
      <c r="O13" s="552" t="s">
        <v>195</v>
      </c>
      <c r="P13" s="553"/>
      <c r="Q13" s="424" t="s">
        <v>196</v>
      </c>
      <c r="R13" s="424" t="s">
        <v>197</v>
      </c>
    </row>
    <row r="14" spans="1:24">
      <c r="A14" s="3" t="s">
        <v>178</v>
      </c>
      <c r="B14" s="45" t="s">
        <v>205</v>
      </c>
      <c r="C14" s="14">
        <f>SUM(COUNTIF($Q$2,Table361114532437487131198[[#Headers],[WIN]]),COUNTIF($R$3,Table361114532437487131198[[#Headers],[WIN]]),COUNTIF($R$6,Table361114532437487131198[[#Headers],[WIN]]),COUNTIF($R$10,Table361114532437487131198[[#Headers],[WIN]]),COUNTIF($Q$8,Table361114532437487131198[[#Headers],[WIN]]),COUNTIF($Q$5,Table361114532437487131198[[#Headers],[WIN]]))</f>
        <v>0</v>
      </c>
      <c r="D14" s="14">
        <f>SUM(COUNTIF($Q$2,Table361114532437487131198[[#Headers],[LOSE]]),COUNTIF($R$3,Table361114532437487131198[[#Headers],[LOSE]]),COUNTIF($R$6,Table361114532437487131198[[#Headers],[LOSE]]),COUNTIF($R$10,Table361114532437487131198[[#Headers],[LOSE]]),COUNTIF($Q$8,Table361114532437487131198[[#Headers],[LOSE]]),COUNTIF($Q$5,Table361114532437487131198[[#Headers],[LOSE]]))</f>
        <v>0</v>
      </c>
      <c r="E14" s="46">
        <f>SUM($M$2,$N$3,$M$5,$N$6,$M$8,$N$10)</f>
        <v>0</v>
      </c>
      <c r="F14" s="46">
        <f>SUM($O$2,$P$3,$O$5,$P$6,$O$8,$P$10)</f>
        <v>0</v>
      </c>
      <c r="G14" s="430" t="str">
        <f>IF(COUNTBLANK(Table41013422336386130197[[SCORE 1]:[SCORE 2]])=0,IF(RANK(H14,$H$14:$H$19)=1,RANK(H14,$H$14:$H$19)&amp;"st",IF(RANK(H14,$H$14:$H$19)=2,RANK(H14,$H$14:$H$19)&amp;"nd",IF(RANK(H14,$H$14:$H$19)=3,RANK(H14,$H$14:$H$19)&amp;"rd",RANK(H14,$H$14:$H$19)&amp;"th"))),"")</f>
        <v/>
      </c>
      <c r="H14" s="51">
        <f>Table361114532437487131198[[#This Row],[WIN]]*1000000+Table361114532437487131198[[#This Row],[Saldo]]*1000+Table361114532437487131198[[#This Row],[PM]]</f>
        <v>0</v>
      </c>
      <c r="I14" s="51">
        <f>H14</f>
        <v>0</v>
      </c>
      <c r="J14" s="2" t="str">
        <f>IF(COUNTBLANK(Table41013422336386130197[[SCORE 1]:[SCORE 2]])=0,IF(RANK(I14,$I$14:$I$19)=1,RANK(I14,$I$14:$I$19)&amp;"st",IF(RANK(I14,$I$14:$I$19)=2,RANK(I14,$I$14:$I$19)&amp;"nd",IF(RANK(I14,$I$14:$I$19)=3,RANK(I14,$I$14:$I$19)&amp;"rd",RANK(I14,$I$14:$I$19)&amp;"th"))),"")</f>
        <v/>
      </c>
      <c r="K14" s="51" t="str">
        <f>Table361114532437487131198[[#This Row],[Atheletes ]]</f>
        <v>A1</v>
      </c>
      <c r="M14" s="8" t="str" cm="1">
        <f t="array" ref="M14">_xlfn.TEXTJOIN(", ", TRUE, _xlfn._xlws.FILTER($K$14:$K$19, $J$14:$J$19=$U$3, ""))</f>
        <v/>
      </c>
      <c r="N14" s="8" t="str" cm="1">
        <f t="array" ref="N14">_xlfn.TEXTJOIN(", ", TRUE, _xlfn._xlws.FILTER($K$14:$K$19, $J$14:$J$19=$U$4, ""))</f>
        <v/>
      </c>
      <c r="O14" s="55"/>
      <c r="P14" s="55"/>
      <c r="Q14" s="8" t="str" cm="1">
        <f t="array" ref="Q14">_xlfn.TEXTJOIN(", ", TRUE, _xlfn._xlws.FILTER($K$14:$K$19, $J$14:$J$19=$U$5, ""))</f>
        <v/>
      </c>
      <c r="R14" s="8" t="str" cm="1">
        <f t="array" ref="R14">_xlfn.TEXTJOIN(", ", TRUE, _xlfn._xlws.FILTER($K$14:$K$19, $J$14:$J$19=$U$6, ""))</f>
        <v/>
      </c>
    </row>
    <row r="15" spans="1:24">
      <c r="A15" s="3" t="s">
        <v>178</v>
      </c>
      <c r="B15" s="45" t="s">
        <v>206</v>
      </c>
      <c r="C15" s="14">
        <f>SUM(COUNTIF($R$2,Table361114532437487131198[[#Headers],[WIN]]),COUNTIF($R$4,Table361114532437487131198[[#Headers],[WIN]]),COUNTIF($Q$6,Table361114532437487131198[[#Headers],[WIN]]),COUNTIF($Q$8,Table361114532437487131198[[#Headers],[WIN]]),COUNTIF($R$9,Table361114532437487131198[[#Headers],[WIN]]),COUNTIF($Q$7,Table361114532437487131198[[#Headers],[WIN]]))</f>
        <v>0</v>
      </c>
      <c r="D15" s="14">
        <f>SUM(COUNTIF($R$2,Table361114532437487131198[[#Headers],[LOSE]]),COUNTIF($R$4,Table361114532437487131198[[#Headers],[LOSE]]),COUNTIF($Q$6,Table361114532437487131198[[#Headers],[LOSE]]),COUNTIF($Q$8,Table361114532437487131198[[#Headers],[LOSE]]),COUNTIF($R$9,Table361114532437487131198[[#Headers],[LOSE]]),COUNTIF($Q$7,Table361114532437487131198[[#Headers],[LOSE]]))</f>
        <v>0</v>
      </c>
      <c r="E15" s="46">
        <f>SUM($N$2,$N$4,$M$6,$M$7,$M$8,$N$9)</f>
        <v>0</v>
      </c>
      <c r="F15" s="46">
        <f>SUM($P$2,$P$4,$O$6,$O$7,$O$8,$P$9)</f>
        <v>0</v>
      </c>
      <c r="G15" s="430" t="str">
        <f>IF(COUNTBLANK(Table41013422336386130197[[SCORE 1]:[SCORE 2]])=0,IF(RANK(H15,$H$14:$H$19)=1,RANK(H15,$H$14:$H$19)&amp;"st",IF(RANK(H15,$H$14:$H$19)=2,RANK(H15,$H$14:$H$19)&amp;"nd",IF(RANK(H15,$H$14:$H$19)=3,RANK(H15,$H$14:$H$19)&amp;"rd",RANK(H15,$H$14:$H$19)&amp;"th"))),"")</f>
        <v/>
      </c>
      <c r="H15" s="51">
        <f>Table361114532437487131198[[#This Row],[WIN]]*1000000+Table361114532437487131198[[#This Row],[Saldo]]*1000+Table361114532437487131198[[#This Row],[PM]]</f>
        <v>0</v>
      </c>
      <c r="I15" s="51">
        <f t="shared" ref="I15:I19" si="3">H15</f>
        <v>0</v>
      </c>
      <c r="J15" s="2" t="str">
        <f>IF(COUNTBLANK(Table41013422336386130197[[SCORE 1]:[SCORE 2]])=0,IF(RANK(I15,$I$14:$I$19)=1,RANK(I15,$I$14:$I$19)&amp;"st",IF(RANK(I15,$I$14:$I$19)=2,RANK(I15,$I$14:$I$19)&amp;"nd",IF(RANK(I15,$I$14:$I$19)=3,RANK(I15,$I$14:$I$19)&amp;"rd",RANK(I15,$I$14:$I$19)&amp;"th"))),"")</f>
        <v/>
      </c>
      <c r="K15" s="51" t="str">
        <f>Table361114532437487131198[[#This Row],[Atheletes ]]</f>
        <v>A2</v>
      </c>
      <c r="M15" s="52" t="str">
        <f>IF(OR($O$15="WIN",O14="",P14=""),"",IF($M$16&gt;$N$16,$U$5,$U$6))</f>
        <v/>
      </c>
      <c r="N15" s="52" t="str">
        <f>IF(OR(O14="",P14="",$O$15="WIN"),"",IF($M$16&lt;$N$16,$U$5,$U$6))</f>
        <v/>
      </c>
      <c r="O15" s="2" t="str">
        <f>IF(OR(O14="",P14=""),"",IF((O14&gt;P14),"WIN","LOSE"))</f>
        <v/>
      </c>
      <c r="P15" s="2" t="str">
        <f>IF(OR(O14="",P14=""),"",IF((O14&lt;P14),"WIN","LOSE"))</f>
        <v/>
      </c>
      <c r="Q15" s="52" t="str">
        <f>IF(OR(O14="",P14="",$P$15="WIN"),"",IF($M$16&gt;$N$16,$U$5,$U$6))</f>
        <v/>
      </c>
      <c r="R15" s="52" t="str">
        <f>IF(OR(O14="",P14="",$P$15="WIN"),"",IF($M$16&lt;$N$16,$U$5,$U$6))</f>
        <v/>
      </c>
      <c r="S15" s="47"/>
    </row>
    <row r="16" spans="1:24" ht="15.95">
      <c r="A16" s="5" t="s">
        <v>178</v>
      </c>
      <c r="B16" s="45" t="s">
        <v>207</v>
      </c>
      <c r="C16" s="14">
        <f>SUM(COUNTIF($Q$3,Table361114532437487131198[[#Headers],[WIN]]),COUNTIF($R$4,Table361114532437487131198[[#Headers],[WIN]]),COUNTIF($R$5,Table361114532437487131198[[#Headers],[WIN]]),COUNTIF($R$8,Table361114532437487131198[[#Headers],[WIN]]),COUNTIF($R$6,Table361114532437487131198[[#Headers],[WIN]]),COUNTIF($Q$9,Table361114532437487131198[[#Headers],[WIN]]))</f>
        <v>0</v>
      </c>
      <c r="D16" s="14">
        <f>SUM(COUNTIF($Q$3,Table361114532437487131198[[#Headers],[LOSE]]),COUNTIF($R$4,Table361114532437487131198[[#Headers],[LOSE]]),COUNTIF($R$5,Table361114532437487131198[[#Headers],[LOSE]]),COUNTIF($R$8,Table361114532437487131198[[#Headers],[LOSE]]),COUNTIF($R$6,Table361114532437487131198[[#Headers],[LOSE]]),COUNTIF($Q$9,Table361114532437487131198[[#Headers],[LOSE]]))</f>
        <v>0</v>
      </c>
      <c r="E16" s="46">
        <f>SUM($M$3,$N$4,$N$5,$N$6,$N$8,$N$9)</f>
        <v>0</v>
      </c>
      <c r="F16" s="46">
        <f>SUM($O$3,$P$5,$P$4,$P$6,$P$8,$O$9)</f>
        <v>0</v>
      </c>
      <c r="G16" s="430" t="str">
        <f>IF(COUNTBLANK(Table41013422336386130197[[SCORE 1]:[SCORE 2]])=0,IF(RANK(H16,$H$14:$H$19)=1,RANK(H16,$H$14:$H$19)&amp;"st",IF(RANK(H16,$H$14:$H$19)=2,RANK(H16,$H$14:$H$19)&amp;"nd",IF(RANK(H16,$H$14:$H$19)=3,RANK(H16,$H$14:$H$19)&amp;"rd",RANK(H16,$H$14:$H$19)&amp;"th"))),"")</f>
        <v/>
      </c>
      <c r="H16" s="51">
        <f>Table361114532437487131198[[#This Row],[WIN]]*1000000+Table361114532437487131198[[#This Row],[Saldo]]*1000+Table361114532437487131198[[#This Row],[PM]]</f>
        <v>0</v>
      </c>
      <c r="I16" s="51">
        <f t="shared" si="3"/>
        <v>0</v>
      </c>
      <c r="J16" s="2" t="str">
        <f>IF(COUNTBLANK(Table41013422336386130197[[SCORE 1]:[SCORE 2]])=0,IF(RANK(I16,$I$14:$I$19)=1,RANK(I16,$I$14:$I$19)&amp;"st",IF(RANK(I16,$I$14:$I$19)=2,RANK(I16,$I$14:$I$19)&amp;"nd",IF(RANK(I16,$I$14:$I$19)=3,RANK(I16,$I$14:$I$19)&amp;"rd",RANK(I16,$I$14:$I$19)&amp;"th"))),"")</f>
        <v/>
      </c>
      <c r="K16" s="51" t="str">
        <f>Table361114532437487131198[[#This Row],[Atheletes ]]</f>
        <v>A3</v>
      </c>
      <c r="M16" s="376"/>
      <c r="N16" s="376"/>
    </row>
    <row r="17" spans="1:18">
      <c r="A17" s="3" t="s">
        <v>178</v>
      </c>
      <c r="B17" s="45" t="s">
        <v>208</v>
      </c>
      <c r="C17" s="14">
        <f>SUM(COUNTIF($Q$3,Table361114532437487131198[[#Headers],[WIN]]),COUNTIF($Q$4,Table361114532437487131198[[#Headers],[WIN]]),COUNTIF($Q$5,Table361114532437487131198[[#Headers],[WIN]]),COUNTIF($Q$10,Table361114532437487131198[[#Headers],[WIN]]),COUNTIF($Q$9,Table361114532437487131198[[#Headers],[WIN]]),COUNTIF($Q$7,Table361114532437487131198[[#Headers],[WIN]]))</f>
        <v>0</v>
      </c>
      <c r="D17" s="14">
        <f>SUM(COUNTIF($Q$3,Table361114532437487131198[[#Headers],[LOSE]]),COUNTIF($Q$4,Table361114532437487131198[[#Headers],[LOSE]]),COUNTIF($Q$5,Table361114532437487131198[[#Headers],[LOSE]]),COUNTIF($Q$10,Table361114532437487131198[[#Headers],[LOSE]]),COUNTIF($Q$9,Table361114532437487131198[[#Headers],[LOSE]]),COUNTIF($Q$7,Table361114532437487131198[[#Headers],[LOSE]]))</f>
        <v>0</v>
      </c>
      <c r="E17" s="46">
        <f>SUM($M$3,$M$4,$M$5,$M$7,$M$10,$M$9)</f>
        <v>0</v>
      </c>
      <c r="F17" s="46">
        <f>SUM($O$3,$O$4,$O$5,$O$7,$O$10,$O$9)</f>
        <v>0</v>
      </c>
      <c r="G17" s="430" t="str">
        <f>IF(COUNTBLANK(Table41013422336386130197[[SCORE 1]:[SCORE 2]])=0,IF(RANK(H17,$H$14:$H$19)=1,RANK(H17,$H$14:$H$19)&amp;"st",IF(RANK(H17,$H$14:$H$19)=2,RANK(H17,$H$14:$H$19)&amp;"nd",IF(RANK(H17,$H$14:$H$19)=3,RANK(H17,$H$14:$H$19)&amp;"rd",RANK(H17,$H$14:$H$19)&amp;"th"))),"")</f>
        <v/>
      </c>
      <c r="H17" s="51">
        <f>Table361114532437487131198[[#This Row],[WIN]]*1000000+Table361114532437487131198[[#This Row],[Saldo]]*1000+Table361114532437487131198[[#This Row],[PM]]</f>
        <v>0</v>
      </c>
      <c r="I17" s="51">
        <f t="shared" si="3"/>
        <v>0</v>
      </c>
      <c r="J17" s="2" t="str">
        <f>IF(COUNTBLANK(Table41013422336386130197[[SCORE 1]:[SCORE 2]])=0,IF(RANK(I17,$I$14:$I$19)=1,RANK(I17,$I$14:$I$19)&amp;"st",IF(RANK(I17,$I$14:$I$19)=2,RANK(I17,$I$14:$I$19)&amp;"nd",IF(RANK(I17,$I$14:$I$19)=3,RANK(I17,$I$14:$I$19)&amp;"rd",RANK(I17,$I$14:$I$19)&amp;"th"))),"")</f>
        <v/>
      </c>
      <c r="K17" s="51" t="str">
        <f>Table361114532437487131198[[#This Row],[Atheletes ]]</f>
        <v>A4</v>
      </c>
    </row>
    <row r="18" spans="1:18">
      <c r="A18" s="3" t="s">
        <v>178</v>
      </c>
      <c r="B18" s="45" t="s">
        <v>230</v>
      </c>
      <c r="C18" s="430">
        <f>SUM(COUNTIF($R$2,Table361114532437487131198[[#Headers],[WIN]]),COUNTIF($R$3,Table361114532437487131198[[#Headers],[WIN]]),COUNTIF($R$5,Table361114532437487131198[[#Headers],[WIN]]),COUNTIF($Q$10,Table361114532437487131198[[#Headers],[WIN]]),COUNTIF($R$7,Table361114532437487131198[[#Headers],[WIN]]),COUNTIF($R$9,Table361114532437487131198[[#Headers],[WIN]]))</f>
        <v>0</v>
      </c>
      <c r="D18" s="14">
        <f>SUM(COUNTIF($R$2,Table361114532437487131198[[#Headers],[LOSE]]),COUNTIF($R$3,Table361114532437487131198[[#Headers],[LOSE]]),COUNTIF($R$5,Table361114532437487131198[[#Headers],[LOSE]]),COUNTIF($Q$10,Table361114532437487131198[[#Headers],[LOSE]]),COUNTIF($R$7,Table361114532437487131198[[#Headers],[LOSE]]),COUNTIF($R$9,Table361114532437487131198[[#Headers],[LOSE]]))</f>
        <v>0</v>
      </c>
      <c r="E18" s="88">
        <f>SUM($N$2,$N$3,$N$5,$N$7,$M$10,$N$9)</f>
        <v>0</v>
      </c>
      <c r="F18" s="430">
        <f>SUM($P$2,$P$3,$P$5,$P$7,$O$10,$P$9)</f>
        <v>0</v>
      </c>
      <c r="G18" s="430" t="str">
        <f>IF(COUNTBLANK(Table41013422336386130197[[SCORE 1]:[SCORE 2]])=0,IF(RANK(H18,$H$14:$H$19)=1,RANK(H18,$H$14:$H$19)&amp;"st",IF(RANK(H18,$H$14:$H$19)=2,RANK(H18,$H$14:$H$19)&amp;"nd",IF(RANK(H18,$H$14:$H$19)=3,RANK(H18,$H$14:$H$19)&amp;"rd",RANK(H18,$H$14:$H$19)&amp;"th"))),"")</f>
        <v/>
      </c>
      <c r="H18" s="51">
        <f>Table361114532437487131198[[#This Row],[WIN]]*1000000+Table361114532437487131198[[#This Row],[Saldo]]*1000+Table361114532437487131198[[#This Row],[PM]]</f>
        <v>0</v>
      </c>
      <c r="I18" s="51">
        <f t="shared" si="3"/>
        <v>0</v>
      </c>
      <c r="J18" s="2" t="str">
        <f>IF(COUNTBLANK(Table41013422336386130197[[SCORE 1]:[SCORE 2]])=0,IF(RANK(I18,$I$14:$I$19)=1,RANK(I18,$I$14:$I$19)&amp;"st",IF(RANK(I18,$I$14:$I$19)=2,RANK(I18,$I$14:$I$19)&amp;"nd",IF(RANK(I18,$I$14:$I$19)=3,RANK(I18,$I$14:$I$19)&amp;"rd",RANK(I18,$I$14:$I$19)&amp;"th"))),"")</f>
        <v/>
      </c>
      <c r="K18" s="51" t="str">
        <f>Table361114532437487131198[[#This Row],[Atheletes ]]</f>
        <v>A5</v>
      </c>
    </row>
    <row r="19" spans="1:18" ht="28.5" customHeight="1">
      <c r="A19" s="3" t="s">
        <v>178</v>
      </c>
      <c r="B19" s="45" t="s">
        <v>245</v>
      </c>
      <c r="C19" s="11">
        <f>SUM(COUNTIF($Q$2,Table361114532437487131198[[#Headers],[WIN]]),COUNTIF($Q$4,Table361114532437487131198[[#Headers],[WIN]]),COUNTIF($R$7,Table361114532437487131198[[#Headers],[WIN]]),COUNTIF($R$10,Table361114532437487131198[[#Headers],[WIN]]),COUNTIF($R$8,Table361114532437487131198[[#Headers],[WIN]]),COUNTIF($Q$6,Table361114532437487131198[[#Headers],[WIN]]))</f>
        <v>0</v>
      </c>
      <c r="D19" s="2">
        <f>SUM(COUNTIF($Q$2,Table361114532437487131198[[#Headers],[LOSE]]),COUNTIF($Q$4,Table361114532437487131198[[#Headers],[LOSE]]),COUNTIF($R$7,Table361114532437487131198[[#Headers],[LOSE]]),COUNTIF($R$10,Table361114532437487131198[[#Headers],[LOSE]]),COUNTIF($R$8,Table361114532437487131198[[#Headers],[LOSE]]),COUNTIF($Q$6,Table361114532437487131198[[#Headers],[LOSE]]))</f>
        <v>0</v>
      </c>
      <c r="E19" s="89">
        <f>SUM($M$2,$M$4,$M$6,$N$7,$N$8,$N$10)</f>
        <v>0</v>
      </c>
      <c r="F19" s="11">
        <f>SUM($O$2,$O$4,$O$6,$P$7,$P$8,$P$10)</f>
        <v>0</v>
      </c>
      <c r="G19" s="430" t="str">
        <f>IF(COUNTBLANK(Table41013422336386130197[[SCORE 1]:[SCORE 2]])=0,IF(RANK(H19,$H$14:$H$19)=1,RANK(H19,$H$14:$H$19)&amp;"st",IF(RANK(H19,$H$14:$H$19)=2,RANK(H19,$H$14:$H$19)&amp;"nd",IF(RANK(H19,$H$14:$H$19)=3,RANK(H19,$H$14:$H$19)&amp;"rd",RANK(H19,$H$14:$H$19)&amp;"th"))),"")</f>
        <v/>
      </c>
      <c r="H19" s="51">
        <f>Table361114532437487131198[[#This Row],[WIN]]*1000000+Table361114532437487131198[[#This Row],[Saldo]]*1000+Table361114532437487131198[[#This Row],[PM]]</f>
        <v>0</v>
      </c>
      <c r="I19" s="51">
        <f t="shared" si="3"/>
        <v>0</v>
      </c>
      <c r="J19" s="2" t="str">
        <f>IF(COUNTBLANK(Table41013422336386130197[[SCORE 1]:[SCORE 2]])=0,IF(RANK(I19,$I$14:$I$19)=1,RANK(I19,$I$14:$I$19)&amp;"st",IF(RANK(I19,$I$14:$I$19)=2,RANK(I19,$I$14:$I$19)&amp;"nd",IF(RANK(I19,$I$14:$I$19)=3,RANK(I19,$I$14:$I$19)&amp;"rd",RANK(I19,$I$14:$I$19)&amp;"th"))),"")</f>
        <v/>
      </c>
      <c r="K19" s="51" t="str">
        <f>Table361114532437487131198[[#This Row],[Atheletes ]]</f>
        <v>A6</v>
      </c>
      <c r="M19" s="548" t="s">
        <v>200</v>
      </c>
      <c r="N19" s="549"/>
      <c r="O19" s="549"/>
      <c r="P19" s="549"/>
      <c r="Q19" s="549"/>
      <c r="R19" s="549"/>
    </row>
    <row r="20" spans="1:18">
      <c r="A20" s="2" t="s">
        <v>324</v>
      </c>
      <c r="B20" s="375" t="s">
        <v>325</v>
      </c>
      <c r="C20" s="11" t="s">
        <v>249</v>
      </c>
      <c r="D20" s="11" t="s">
        <v>249</v>
      </c>
      <c r="E20" s="11" t="s">
        <v>249</v>
      </c>
      <c r="F20" s="11" t="s">
        <v>249</v>
      </c>
      <c r="G20" s="11" t="s">
        <v>249</v>
      </c>
      <c r="H20" s="11" t="s">
        <v>249</v>
      </c>
      <c r="I20" s="11" t="s">
        <v>249</v>
      </c>
      <c r="J20" s="11" t="s">
        <v>249</v>
      </c>
      <c r="K20" s="11" t="s">
        <v>249</v>
      </c>
      <c r="M20" s="424" t="s">
        <v>193</v>
      </c>
      <c r="N20" s="424" t="s">
        <v>194</v>
      </c>
      <c r="O20" s="552" t="s">
        <v>195</v>
      </c>
      <c r="P20" s="553"/>
      <c r="Q20" s="424" t="s">
        <v>196</v>
      </c>
      <c r="R20" s="424" t="s">
        <v>197</v>
      </c>
    </row>
    <row r="21" spans="1:18">
      <c r="A21" s="2" t="s">
        <v>324</v>
      </c>
      <c r="B21" s="375" t="s">
        <v>326</v>
      </c>
      <c r="C21" s="11" t="s">
        <v>249</v>
      </c>
      <c r="D21" s="11" t="s">
        <v>249</v>
      </c>
      <c r="E21" s="11" t="s">
        <v>249</v>
      </c>
      <c r="F21" s="11" t="s">
        <v>249</v>
      </c>
      <c r="G21" s="11" t="s">
        <v>249</v>
      </c>
      <c r="H21" s="11" t="s">
        <v>249</v>
      </c>
      <c r="I21" s="11" t="s">
        <v>249</v>
      </c>
      <c r="J21" s="11" t="s">
        <v>249</v>
      </c>
      <c r="K21" s="11" t="s">
        <v>249</v>
      </c>
      <c r="M21" s="432" t="str">
        <f>IF(OR($O$14="",$P$14=""),"",IF($O$15="WIN",$M$14,$Q$14))</f>
        <v/>
      </c>
      <c r="N21" s="49"/>
      <c r="O21" s="55"/>
      <c r="P21" s="86"/>
      <c r="Q21" s="432" t="str">
        <f>IF(OR($O$14="",$P$14=""),"",IF($O$15="WIN",$N$14,$R$14))</f>
        <v/>
      </c>
      <c r="R21" s="49"/>
    </row>
    <row r="22" spans="1:18">
      <c r="I22" s="51"/>
      <c r="J22" s="51"/>
      <c r="K22" s="51"/>
      <c r="M22" s="50" t="str">
        <f>IF(OR($O$21="",$P$21=""),"",IF($O$22="win",$U$3,$U$4))</f>
        <v/>
      </c>
      <c r="O22" s="2" t="str">
        <f>IF(OR(O21="",P21=""),"",IF((O21&gt;P21),"WIN","LOSE"))</f>
        <v/>
      </c>
      <c r="P22" s="2" t="str">
        <f>IF(OR(O21="",P21=""),"",IF((O21&lt;P21),"WIN","LOSE"))</f>
        <v/>
      </c>
      <c r="Q22" s="50" t="str">
        <f>IF(OR($O$21="",$P$21=""),"",IF($P$22="win",$U$3,$U$4))</f>
        <v/>
      </c>
    </row>
    <row r="23" spans="1:18">
      <c r="I23" s="51"/>
      <c r="J23" s="51"/>
      <c r="K23" s="51"/>
    </row>
    <row r="27" spans="1:18">
      <c r="A27" s="44" t="s">
        <v>327</v>
      </c>
      <c r="B27" s="374">
        <v>45954</v>
      </c>
    </row>
  </sheetData>
  <sheetProtection algorithmName="SHA-512" hashValue="fVEUnYX9QEL0rxtf39OzpfsBLFPLPZuVxQvZkiwT38r7rbhQToHDLWt1CpcGk+sNNMGui2RV51aVU9noV5UJDQ==" saltValue="GMEWcGxMGtMwNH5bNA07uA==" spinCount="100000" sheet="1" objects="1" scenarios="1"/>
  <mergeCells count="7">
    <mergeCell ref="O20:P20"/>
    <mergeCell ref="A1:A10"/>
    <mergeCell ref="T1:U1"/>
    <mergeCell ref="A12:G12"/>
    <mergeCell ref="M12:R12"/>
    <mergeCell ref="O13:P13"/>
    <mergeCell ref="M19:R19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1A32-8FCD-D041-92EF-59FBF53D8C36}">
  <sheetPr codeName="Sheet20"/>
  <dimension ref="A1:Y31"/>
  <sheetViews>
    <sheetView workbookViewId="0">
      <selection sqref="A1:A7"/>
    </sheetView>
    <sheetView workbookViewId="1">
      <selection sqref="A1:A7"/>
    </sheetView>
  </sheetViews>
  <sheetFormatPr defaultColWidth="8.85546875" defaultRowHeight="15"/>
  <cols>
    <col min="1" max="1" width="9.7109375" customWidth="1"/>
    <col min="2" max="2" width="12.28515625" bestFit="1" customWidth="1"/>
    <col min="3" max="4" width="20" customWidth="1"/>
    <col min="5" max="6" width="9.7109375" customWidth="1"/>
    <col min="7" max="7" width="14.140625" bestFit="1" customWidth="1"/>
    <col min="8" max="8" width="11.28515625" hidden="1" customWidth="1"/>
    <col min="9" max="9" width="12" hidden="1" customWidth="1"/>
    <col min="10" max="10" width="10.7109375" hidden="1" customWidth="1"/>
    <col min="11" max="11" width="8" hidden="1" customWidth="1"/>
    <col min="12" max="12" width="14.140625" bestFit="1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2.140625" bestFit="1" customWidth="1"/>
    <col min="21" max="22" width="9.7109375" bestFit="1" customWidth="1"/>
  </cols>
  <sheetData>
    <row r="1" spans="1:25" ht="15" customHeight="1">
      <c r="A1" s="551" t="s">
        <v>328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294</v>
      </c>
      <c r="U1" s="545"/>
    </row>
    <row r="2" spans="1:25" ht="15" customHeight="1">
      <c r="A2" s="551"/>
      <c r="B2" s="13" t="s">
        <v>178</v>
      </c>
      <c r="C2" s="1" t="str">
        <f>B11</f>
        <v>A1</v>
      </c>
      <c r="D2" s="32" t="str">
        <f>B12</f>
        <v>A2</v>
      </c>
      <c r="E2" s="116"/>
      <c r="F2" s="116"/>
      <c r="G2" s="31" t="str">
        <f>B13</f>
        <v>A3</v>
      </c>
      <c r="H2" s="63"/>
      <c r="I2" s="63"/>
      <c r="J2" s="63"/>
      <c r="K2" s="63"/>
      <c r="L2" s="16" t="str">
        <f>B14</f>
        <v>A4</v>
      </c>
      <c r="M2" s="13" t="str">
        <f>IF(OR(Table4101317251247545298684173[[#This Row],[SCORE 1]]="",Table4101317251247545298684173[[#This Row],[SCORE 2]]=""),"",Table4101317251247545298684173[[#This Row],[SCORE 1]]-Table4101317251247545298684173[[#This Row],[SCORE 2]])</f>
        <v/>
      </c>
      <c r="N2" s="13" t="str">
        <f>IF(OR(Table4101317251247545298684173[[#This Row],[SCORE 1]]="",Table4101317251247545298684173[[#This Row],[SCORE 2]]=""),"",Table4101317251247545298684173[[#This Row],[SCORE 2]]-Table4101317251247545298684173[[#This Row],[SCORE 1]])</f>
        <v/>
      </c>
      <c r="O2" s="13" t="str">
        <f>IF(Table4101317251247545298684173[[#This Row],[SCORE 1]]="","",Table4101317251247545298684173[[#This Row],[SCORE 1]])</f>
        <v/>
      </c>
      <c r="P2" s="13" t="str">
        <f>IF(Table4101317251247545298684173[[#This Row],[SCORE 2]]="","",Table4101317251247545298684173[[#This Row],[SCORE 2]])</f>
        <v/>
      </c>
      <c r="Q2" s="13" t="str">
        <f>IF(OR(Table4101317251247545298684173[[#This Row],[SCORE 1]]="",Table4101317251247545298684173[[#This Row],[SCORE 2]]=""),"",IF(Table4101317251247545298684173[[#This Row],[SALDO 12]]&gt;0, "WIN","LOSE"))</f>
        <v/>
      </c>
      <c r="R2" s="13" t="str">
        <f>IF(OR(Table4101317251247545298684173[[#This Row],[SCORE 1]]="",Table4101317251247545298684173[[#This Row],[SCORE 2]]=""),"",IF(Table4101317251247545298684173[[#This Row],[SALDO 34]]&gt;0, "WIN","LOSE"))</f>
        <v/>
      </c>
      <c r="T2" s="35" t="s">
        <v>179</v>
      </c>
      <c r="U2" s="35" t="s">
        <v>8</v>
      </c>
    </row>
    <row r="3" spans="1:25">
      <c r="A3" s="551"/>
      <c r="B3" s="13" t="s">
        <v>180</v>
      </c>
      <c r="C3" s="1" t="str">
        <f>B17</f>
        <v>B1</v>
      </c>
      <c r="D3" s="32" t="str">
        <f>B18</f>
        <v>B2</v>
      </c>
      <c r="E3" s="116"/>
      <c r="F3" s="116"/>
      <c r="G3" s="31" t="str">
        <f>B19</f>
        <v>B3</v>
      </c>
      <c r="H3" s="63"/>
      <c r="I3" s="63"/>
      <c r="J3" s="63"/>
      <c r="K3" s="63"/>
      <c r="L3" s="16" t="str">
        <f>B20</f>
        <v>B4</v>
      </c>
      <c r="M3" s="13" t="str">
        <f>IF(OR(Table4101317251247545298684173[[#This Row],[SCORE 1]]="",Table4101317251247545298684173[[#This Row],[SCORE 2]]=""),"",Table4101317251247545298684173[[#This Row],[SCORE 1]]-Table4101317251247545298684173[[#This Row],[SCORE 2]])</f>
        <v/>
      </c>
      <c r="N3" s="13" t="str">
        <f>IF(OR(Table4101317251247545298684173[[#This Row],[SCORE 1]]="",Table4101317251247545298684173[[#This Row],[SCORE 2]]=""),"",Table4101317251247545298684173[[#This Row],[SCORE 2]]-Table4101317251247545298684173[[#This Row],[SCORE 1]])</f>
        <v/>
      </c>
      <c r="O3" s="13" t="str">
        <f>IF(Table4101317251247545298684173[[#This Row],[SCORE 1]]="","",Table4101317251247545298684173[[#This Row],[SCORE 1]])</f>
        <v/>
      </c>
      <c r="P3" s="13" t="str">
        <f>IF(Table4101317251247545298684173[[#This Row],[SCORE 2]]="","",Table4101317251247545298684173[[#This Row],[SCORE 2]])</f>
        <v/>
      </c>
      <c r="Q3" s="13" t="str">
        <f>IF(OR(Table4101317251247545298684173[[#This Row],[SCORE 1]]="",Table4101317251247545298684173[[#This Row],[SCORE 2]]=""),"",IF(Table4101317251247545298684173[[#This Row],[SALDO 12]]&gt;0, "WIN","LOSE"))</f>
        <v/>
      </c>
      <c r="R3" s="13" t="str">
        <f>IF(OR(Table4101317251247545298684173[[#This Row],[SCORE 1]]="",Table4101317251247545298684173[[#This Row],[SCORE 2]]=""),"",IF(Table4101317251247545298684173[[#This Row],[SALDO 34]]&gt;0, "WIN","LOSE"))</f>
        <v/>
      </c>
      <c r="T3" s="70" t="str">
        <f>IFERROR(_xlfn.XLOOKUP(Table15202832506072101714577[[#This Row],[Rank]],$M$30:$R$30,$M$29:$R$29),"")</f>
        <v/>
      </c>
      <c r="U3" s="67" t="s">
        <v>19</v>
      </c>
    </row>
    <row r="4" spans="1:25">
      <c r="A4" s="551"/>
      <c r="B4" s="13" t="s">
        <v>178</v>
      </c>
      <c r="C4" s="1" t="str">
        <f>B11</f>
        <v>A1</v>
      </c>
      <c r="D4" s="32" t="str">
        <f>B14</f>
        <v>A4</v>
      </c>
      <c r="E4" s="116"/>
      <c r="F4" s="116"/>
      <c r="G4" s="31" t="str">
        <f>B12</f>
        <v>A2</v>
      </c>
      <c r="H4" s="63"/>
      <c r="I4" s="63"/>
      <c r="J4" s="63"/>
      <c r="K4" s="63"/>
      <c r="L4" s="16" t="str">
        <f>B13</f>
        <v>A3</v>
      </c>
      <c r="M4" s="13" t="str">
        <f>IF(OR(Table4101317251247545298684173[[#This Row],[SCORE 1]]="",Table4101317251247545298684173[[#This Row],[SCORE 2]]=""),"",Table4101317251247545298684173[[#This Row],[SCORE 1]]-Table4101317251247545298684173[[#This Row],[SCORE 2]])</f>
        <v/>
      </c>
      <c r="N4" s="13" t="str">
        <f>IF(OR(Table4101317251247545298684173[[#This Row],[SCORE 1]]="",Table4101317251247545298684173[[#This Row],[SCORE 2]]=""),"",Table4101317251247545298684173[[#This Row],[SCORE 2]]-Table4101317251247545298684173[[#This Row],[SCORE 1]])</f>
        <v/>
      </c>
      <c r="O4" s="13" t="str">
        <f>IF(Table4101317251247545298684173[[#This Row],[SCORE 1]]="","",Table4101317251247545298684173[[#This Row],[SCORE 1]])</f>
        <v/>
      </c>
      <c r="P4" s="13" t="str">
        <f>IF(Table4101317251247545298684173[[#This Row],[SCORE 2]]="","",Table4101317251247545298684173[[#This Row],[SCORE 2]])</f>
        <v/>
      </c>
      <c r="Q4" s="13" t="str">
        <f>IF(OR(Table4101317251247545298684173[[#This Row],[SCORE 1]]="",Table4101317251247545298684173[[#This Row],[SCORE 2]]=""),"",IF(Table4101317251247545298684173[[#This Row],[SALDO 12]]&gt;0, "WIN","LOSE"))</f>
        <v/>
      </c>
      <c r="R4" s="13" t="str">
        <f>IF(OR(Table4101317251247545298684173[[#This Row],[SCORE 1]]="",Table4101317251247545298684173[[#This Row],[SCORE 2]]=""),"",IF(Table4101317251247545298684173[[#This Row],[SALDO 34]]&gt;0, "WIN","LOSE"))</f>
        <v/>
      </c>
      <c r="T4" s="70" t="str">
        <f>IFERROR(_xlfn.XLOOKUP(Table15202832506072101714577[[#This Row],[Rank]],$M$30:$R$30,$M$29:$R$29),"")</f>
        <v/>
      </c>
      <c r="U4" s="67" t="s">
        <v>22</v>
      </c>
    </row>
    <row r="5" spans="1:25">
      <c r="A5" s="551"/>
      <c r="B5" s="13" t="s">
        <v>180</v>
      </c>
      <c r="C5" s="1" t="str">
        <f>B17</f>
        <v>B1</v>
      </c>
      <c r="D5" s="32" t="str">
        <f>B20</f>
        <v>B4</v>
      </c>
      <c r="E5" s="116"/>
      <c r="F5" s="116"/>
      <c r="G5" s="31" t="str">
        <f>B18</f>
        <v>B2</v>
      </c>
      <c r="H5" s="63"/>
      <c r="I5" s="63"/>
      <c r="J5" s="63"/>
      <c r="K5" s="63"/>
      <c r="L5" s="16" t="str">
        <f>B19</f>
        <v>B3</v>
      </c>
      <c r="M5" s="13" t="str">
        <f>IF(OR(Table4101317251247545298684173[[#This Row],[SCORE 1]]="",Table4101317251247545298684173[[#This Row],[SCORE 2]]=""),"",Table4101317251247545298684173[[#This Row],[SCORE 1]]-Table4101317251247545298684173[[#This Row],[SCORE 2]])</f>
        <v/>
      </c>
      <c r="N5" s="13" t="str">
        <f>IF(OR(Table4101317251247545298684173[[#This Row],[SCORE 1]]="",Table4101317251247545298684173[[#This Row],[SCORE 2]]=""),"",Table4101317251247545298684173[[#This Row],[SCORE 2]]-Table4101317251247545298684173[[#This Row],[SCORE 1]])</f>
        <v/>
      </c>
      <c r="O5" s="13" t="str">
        <f>IF(Table4101317251247545298684173[[#This Row],[SCORE 1]]="","",Table4101317251247545298684173[[#This Row],[SCORE 1]])</f>
        <v/>
      </c>
      <c r="P5" s="13" t="str">
        <f>IF(Table4101317251247545298684173[[#This Row],[SCORE 2]]="","",Table4101317251247545298684173[[#This Row],[SCORE 2]])</f>
        <v/>
      </c>
      <c r="Q5" s="13" t="str">
        <f>IF(OR(Table4101317251247545298684173[[#This Row],[SCORE 1]]="",Table4101317251247545298684173[[#This Row],[SCORE 2]]=""),"",IF(Table4101317251247545298684173[[#This Row],[SALDO 12]]&gt;0, "WIN","LOSE"))</f>
        <v/>
      </c>
      <c r="R5" s="13" t="str">
        <f>IF(OR(Table4101317251247545298684173[[#This Row],[SCORE 1]]="",Table4101317251247545298684173[[#This Row],[SCORE 2]]=""),"",IF(Table4101317251247545298684173[[#This Row],[SALDO 34]]&gt;0, "WIN","LOSE"))</f>
        <v/>
      </c>
      <c r="T5" s="70" t="str">
        <f>IFERROR(_xlfn.XLOOKUP(Table15202832506072101714577[[#This Row],[Rank]],$M$23:$R$23,$M$22:$R$22),"")</f>
        <v/>
      </c>
      <c r="U5" s="67" t="s">
        <v>25</v>
      </c>
    </row>
    <row r="6" spans="1:25">
      <c r="A6" s="551"/>
      <c r="B6" s="13" t="s">
        <v>178</v>
      </c>
      <c r="C6" s="1" t="str">
        <f>B11</f>
        <v>A1</v>
      </c>
      <c r="D6" s="32" t="str">
        <f>B13</f>
        <v>A3</v>
      </c>
      <c r="E6" s="116"/>
      <c r="F6" s="116"/>
      <c r="G6" s="31" t="str">
        <f>B14</f>
        <v>A4</v>
      </c>
      <c r="H6" s="63"/>
      <c r="I6" s="63"/>
      <c r="J6" s="63"/>
      <c r="K6" s="63"/>
      <c r="L6" s="16" t="str">
        <f>B12</f>
        <v>A2</v>
      </c>
      <c r="M6" s="13" t="str">
        <f>IF(OR(Table4101317251247545298684173[[#This Row],[SCORE 1]]="",Table4101317251247545298684173[[#This Row],[SCORE 2]]=""),"",Table4101317251247545298684173[[#This Row],[SCORE 1]]-Table4101317251247545298684173[[#This Row],[SCORE 2]])</f>
        <v/>
      </c>
      <c r="N6" s="13" t="str">
        <f>IF(OR(Table4101317251247545298684173[[#This Row],[SCORE 1]]="",Table4101317251247545298684173[[#This Row],[SCORE 2]]=""),"",Table4101317251247545298684173[[#This Row],[SCORE 2]]-Table4101317251247545298684173[[#This Row],[SCORE 1]])</f>
        <v/>
      </c>
      <c r="O6" s="13" t="str">
        <f>IF(Table4101317251247545298684173[[#This Row],[SCORE 1]]="","",Table4101317251247545298684173[[#This Row],[SCORE 1]])</f>
        <v/>
      </c>
      <c r="P6" s="13" t="str">
        <f>IF(Table4101317251247545298684173[[#This Row],[SCORE 2]]="","",Table4101317251247545298684173[[#This Row],[SCORE 2]])</f>
        <v/>
      </c>
      <c r="Q6" s="13" t="str">
        <f>IF(OR(Table4101317251247545298684173[[#This Row],[SCORE 1]]="",Table4101317251247545298684173[[#This Row],[SCORE 2]]=""),"",IF(Table4101317251247545298684173[[#This Row],[SALDO 12]]&gt;0, "WIN","LOSE"))</f>
        <v/>
      </c>
      <c r="R6" s="13" t="str">
        <f>IF(OR(Table4101317251247545298684173[[#This Row],[SCORE 1]]="",Table4101317251247545298684173[[#This Row],[SCORE 2]]=""),"",IF(Table4101317251247545298684173[[#This Row],[SALDO 34]]&gt;0, "WIN","LOSE"))</f>
        <v/>
      </c>
      <c r="T6" s="70" t="str">
        <f>IFERROR(_xlfn.XLOOKUP(Table15202832506072101714577[[#This Row],[Rank]],$M$23:$R$23,$M$22:$R$22),"")</f>
        <v/>
      </c>
      <c r="U6" s="67" t="s">
        <v>28</v>
      </c>
    </row>
    <row r="7" spans="1:25">
      <c r="A7" s="551"/>
      <c r="B7" s="13" t="s">
        <v>180</v>
      </c>
      <c r="C7" s="1" t="str">
        <f>B17</f>
        <v>B1</v>
      </c>
      <c r="D7" s="32" t="str">
        <f>B19</f>
        <v>B3</v>
      </c>
      <c r="E7" s="116"/>
      <c r="F7" s="116"/>
      <c r="G7" s="31" t="str">
        <f>B20</f>
        <v>B4</v>
      </c>
      <c r="H7" s="63"/>
      <c r="I7" s="63"/>
      <c r="J7" s="63"/>
      <c r="K7" s="63"/>
      <c r="L7" s="16" t="str">
        <f>B18</f>
        <v>B2</v>
      </c>
      <c r="M7" s="13" t="str">
        <f>IF(OR(Table4101317251247545298684173[[#This Row],[SCORE 1]]="",Table4101317251247545298684173[[#This Row],[SCORE 2]]=""),"",Table4101317251247545298684173[[#This Row],[SCORE 1]]-Table4101317251247545298684173[[#This Row],[SCORE 2]])</f>
        <v/>
      </c>
      <c r="N7" s="13" t="str">
        <f>IF(OR(Table4101317251247545298684173[[#This Row],[SCORE 1]]="",Table4101317251247545298684173[[#This Row],[SCORE 2]]=""),"",Table4101317251247545298684173[[#This Row],[SCORE 2]]-Table4101317251247545298684173[[#This Row],[SCORE 1]])</f>
        <v/>
      </c>
      <c r="O7" s="13" t="str">
        <f>IF(Table4101317251247545298684173[[#This Row],[SCORE 1]]="","",Table4101317251247545298684173[[#This Row],[SCORE 1]])</f>
        <v/>
      </c>
      <c r="P7" s="13" t="str">
        <f>IF(Table4101317251247545298684173[[#This Row],[SCORE 2]]="","",Table4101317251247545298684173[[#This Row],[SCORE 2]])</f>
        <v/>
      </c>
      <c r="Q7" s="13" t="str">
        <f>IF(OR(Table4101317251247545298684173[[#This Row],[SCORE 1]]="",Table4101317251247545298684173[[#This Row],[SCORE 2]]=""),"",IF(Table4101317251247545298684173[[#This Row],[SALDO 12]]&gt;0, "WIN","LOSE"))</f>
        <v/>
      </c>
      <c r="R7" s="13" t="str">
        <f>IF(OR(Table4101317251247545298684173[[#This Row],[SCORE 1]]="",Table4101317251247545298684173[[#This Row],[SCORE 2]]=""),"",IF(Table4101317251247545298684173[[#This Row],[SALDO 34]]&gt;0, "WIN","LOSE"))</f>
        <v/>
      </c>
      <c r="T7" s="70" t="str">
        <f>IF($O$12="lose",$M$11,_xlfn.XLOOKUP(Table15202832506072101714577[[#This Row],[Rank]],$M$17:$R$17,$M$16:$R$16,""))</f>
        <v/>
      </c>
      <c r="U7" s="67" t="s">
        <v>31</v>
      </c>
    </row>
    <row r="8" spans="1:25" ht="30" customHeight="1">
      <c r="T8" s="70" t="str">
        <f>IF($O$12="lose",$N$11,_xlfn.XLOOKUP(Table15202832506072101714577[[#This Row],[Rank]],$M$17:$R$17,$M$16:$R$16,""))</f>
        <v/>
      </c>
      <c r="U8" s="67" t="s">
        <v>34</v>
      </c>
    </row>
    <row r="9" spans="1:25" ht="30" customHeight="1">
      <c r="A9" s="546" t="s">
        <v>182</v>
      </c>
      <c r="B9" s="547"/>
      <c r="C9" s="547"/>
      <c r="D9" s="547"/>
      <c r="E9" s="547"/>
      <c r="F9" s="547"/>
      <c r="G9" s="547"/>
      <c r="H9" s="420"/>
      <c r="I9" s="420"/>
      <c r="J9" s="420"/>
      <c r="K9" s="420"/>
      <c r="M9" s="548" t="s">
        <v>183</v>
      </c>
      <c r="N9" s="549"/>
      <c r="O9" s="549"/>
      <c r="P9" s="549"/>
      <c r="Q9" s="549"/>
      <c r="R9" s="549"/>
      <c r="T9" s="70" t="str">
        <f>IF($P$12="lose",$Q$11,_xlfn.XLOOKUP(Table15202832506072101714577[[#This Row],[Rank]],$M$17:$R$17,$M$16:$R$16,""))</f>
        <v/>
      </c>
      <c r="U9" s="67" t="s">
        <v>37</v>
      </c>
    </row>
    <row r="10" spans="1:25" ht="15.95">
      <c r="A10" s="6" t="s">
        <v>184</v>
      </c>
      <c r="B10" s="7" t="s">
        <v>203</v>
      </c>
      <c r="C10" s="7" t="s">
        <v>186</v>
      </c>
      <c r="D10" s="7" t="s">
        <v>187</v>
      </c>
      <c r="E10" s="7" t="s">
        <v>188</v>
      </c>
      <c r="F10" s="7" t="s">
        <v>189</v>
      </c>
      <c r="G10" s="7" t="s">
        <v>8</v>
      </c>
      <c r="H10" s="80" t="s">
        <v>204</v>
      </c>
      <c r="I10" s="20" t="s">
        <v>191</v>
      </c>
      <c r="J10" s="20" t="s">
        <v>192</v>
      </c>
      <c r="K10" s="20" t="s">
        <v>1</v>
      </c>
      <c r="L10" s="20" t="s">
        <v>192</v>
      </c>
      <c r="M10" s="418" t="s">
        <v>193</v>
      </c>
      <c r="N10" s="418" t="s">
        <v>194</v>
      </c>
      <c r="O10" s="542" t="s">
        <v>195</v>
      </c>
      <c r="P10" s="543"/>
      <c r="Q10" s="418" t="s">
        <v>196</v>
      </c>
      <c r="R10" s="418" t="s">
        <v>197</v>
      </c>
      <c r="T10" s="70" t="str">
        <f>IF($P$12="lose",$R$11,_xlfn.XLOOKUP(Table15202832506072101714577[[#This Row],[Rank]],$M$17:$R$17,$M$16:$R$16,""))</f>
        <v/>
      </c>
      <c r="U10" s="67" t="s">
        <v>41</v>
      </c>
    </row>
    <row r="11" spans="1:25">
      <c r="A11" s="4" t="s">
        <v>205</v>
      </c>
      <c r="B11" s="118" t="s">
        <v>205</v>
      </c>
      <c r="C11" s="14">
        <f>SUM(COUNTIFS(Table4101317251247545298684173[ATHLETE 1],Table36111418263048555399694375[[#This Row],[Athletes]],Table4101317251247545298684173[RESULT 12],Table36111418263048555399694375[[#Headers],[WIN]]),COUNTIFS(Table4101317251247545298684173[ATHLETE 2],Table36111418263048555399694375[[#This Row],[Athletes]],Table4101317251247545298684173[RESULT 12],Table36111418263048555399694375[[#Headers],[WIN]]),COUNTIFS(Table4101317251247545298684173[ATHLETE 3],Table36111418263048555399694375[[#This Row],[Athletes]],Table4101317251247545298684173[RESULT 34],Table36111418263048555399694375[[#Headers],[WIN]]),COUNTIFS(Table4101317251247545298684173[ATHLETE 4],Table36111418263048555399694375[[#This Row],[Athletes]],Table4101317251247545298684173[RESULT 34],Table36111418263048555399694375[[#Headers],[WIN]]))</f>
        <v>0</v>
      </c>
      <c r="D11" s="14">
        <f>SUM(COUNTIFS(Table4101317251247545298684173[ATHLETE 1],Table36111418263048555399694375[[#This Row],[Athletes]],Table4101317251247545298684173[RESULT 12],Table36111418263048555399694375[[#Headers],[LOSE]]),COUNTIFS(Table4101317251247545298684173[ATHLETE 2],Table36111418263048555399694375[[#This Row],[Athletes]],Table4101317251247545298684173[RESULT 12],Table36111418263048555399694375[[#Headers],[LOSE]]),COUNTIFS(Table4101317251247545298684173[ATHLETE 3],Table36111418263048555399694375[[#This Row],[Athletes]],Table4101317251247545298684173[RESULT 34],Table36111418263048555399694375[[#Headers],[LOSE]]),COUNTIFS(Table4101317251247545298684173[ATHLETE 4],Table36111418263048555399694375[[#This Row],[Athletes]],Table4101317251247545298684173[RESULT 34],Table36111418263048555399694375[[#Headers],[LOSE]]))</f>
        <v>0</v>
      </c>
      <c r="E11" s="19">
        <f>SUM(SUMIF(Table4101317251247545298684173[ATHLETE 1],Table36111418263048555399694375[[#This Row],[Athletes]],Table4101317251247545298684173[SALDO 12]),SUMIF(Table4101317251247545298684173[ATHLETE 2],Table36111418263048555399694375[[#This Row],[Athletes]],Table4101317251247545298684173[SALDO 12]),SUMIF(Table4101317251247545298684173[ATHLETE 3],Table36111418263048555399694375[[#This Row],[Athletes]],Table4101317251247545298684173[SALDO 34]),SUMIF(Table4101317251247545298684173[ATHLETE 4],Table36111418263048555399694375[[#This Row],[Athletes]],Table4101317251247545298684173[SALDO 34]))</f>
        <v>0</v>
      </c>
      <c r="F11" s="19">
        <f>SUM(SUMIF(Table4101317251247545298684173[ATHLETE 1],Table36111418263048555399694375[[#This Row],[Athletes]],Table4101317251247545298684173[PM 12]),SUMIF(Table4101317251247545298684173[ATHLETE 2],Table36111418263048555399694375[[#This Row],[Athletes]],Table4101317251247545298684173[PM 12]),SUMIF(Table4101317251247545298684173[ATHLETE 3],Table36111418263048555399694375[[#This Row],[Athletes]],Table4101317251247545298684173[PM 34]),SUMIF(Table4101317251247545298684173[ATHLETE 4],Table36111418263048555399694375[[#This Row],[Athletes]],Table4101317251247545298684173[PM 34]))</f>
        <v>0</v>
      </c>
      <c r="G11" s="14" t="str">
        <f>IF(COUNTBLANK(Table4101317251247545298684173[[SCORE 1]:[SCORE 2]])=0,IF(RANK(H11,$H$11:$H$14)=1,RANK(H11,$H$11:$H$14)&amp;"st",IF(RANK(H11,$H$11:$H$14)=2,RANK(H11,$H$11:$H$14)&amp;"nd",RANK(H11,$H$11:$H$14)&amp;"th")),"")</f>
        <v/>
      </c>
      <c r="H11" s="51">
        <f>Table36111418263048555399694375[[#This Row],[WIN]]*1000000+Table36111418263048555399694375[[#This Row],[Saldo]]*1000+Table36111418263048555399694375[[#This Row],[PM]]</f>
        <v>0</v>
      </c>
      <c r="I11" s="2">
        <f>H11</f>
        <v>0</v>
      </c>
      <c r="J11" s="2" t="str">
        <f>IF(COUNTBLANK(Table4101317251247545298684173[[SCORE 1]:[SCORE 2]])=0,IF(RANK(I11,$I$11:$I$22)=1,RANK(I11,$I$11:$I$22)&amp;"st",IF(RANK(I11,$I$11:$I$22)=2,RANK(I11,$I$11:$I$22)&amp;"nd",IF(RANK(I11,$I$11:$I$22)=3,RANK(I11,$I$11:$I$22)&amp;"rd",RANK(I11,$I$11:$I$22)&amp;"th"))),"")</f>
        <v/>
      </c>
      <c r="K11" s="38" t="str">
        <f>Table36111418263048555399694375[[#This Row],[Athletes]]</f>
        <v>A1</v>
      </c>
      <c r="L11" s="2" t="str">
        <f>J11</f>
        <v/>
      </c>
      <c r="M11" s="428" t="str" cm="1">
        <f t="array" ref="M11">_xlfn.TEXTJOIN(", ", TRUE, _xlfn._xlws.FILTER($K$11:$K$18, $J$11:$J$18=$U$3, ""))</f>
        <v/>
      </c>
      <c r="N11" s="428" t="str" cm="1">
        <f t="array" ref="N11">_xlfn.TEXTJOIN(", ", TRUE, _xlfn._xlws.FILTER($K$11:$K$18, $J$11:$J$18=$U$4, ""))</f>
        <v/>
      </c>
      <c r="O11" s="119"/>
      <c r="P11" s="120"/>
      <c r="Q11" s="428" t="str" cm="1">
        <f t="array" ref="Q11">_xlfn.TEXTJOIN(", ", TRUE, _xlfn._xlws.FILTER($K$11:$K$18, $J$11:$J$18=$U$9, ""))</f>
        <v/>
      </c>
      <c r="R11" s="428" t="str" cm="1">
        <f t="array" ref="R11">_xlfn.TEXTJOIN(", ", TRUE, _xlfn._xlws.FILTER($K$11:$K$18, $J$11:$J$18=$U$10, ""))</f>
        <v/>
      </c>
      <c r="S11" s="68"/>
      <c r="T11" s="66"/>
      <c r="U11" s="67"/>
    </row>
    <row r="12" spans="1:25">
      <c r="A12" s="3" t="s">
        <v>206</v>
      </c>
      <c r="B12" s="118" t="s">
        <v>206</v>
      </c>
      <c r="C12" s="14">
        <f>SUM(COUNTIFS(Table4101317251247545298684173[ATHLETE 1],Table36111418263048555399694375[[#This Row],[Athletes]],Table4101317251247545298684173[RESULT 12],Table36111418263048555399694375[[#Headers],[WIN]]),COUNTIFS(Table4101317251247545298684173[ATHLETE 2],Table36111418263048555399694375[[#This Row],[Athletes]],Table4101317251247545298684173[RESULT 12],Table36111418263048555399694375[[#Headers],[WIN]]),COUNTIFS(Table4101317251247545298684173[ATHLETE 3],Table36111418263048555399694375[[#This Row],[Athletes]],Table4101317251247545298684173[RESULT 34],Table36111418263048555399694375[[#Headers],[WIN]]),COUNTIFS(Table4101317251247545298684173[ATHLETE 4],Table36111418263048555399694375[[#This Row],[Athletes]],Table4101317251247545298684173[RESULT 34],Table36111418263048555399694375[[#Headers],[WIN]]))</f>
        <v>0</v>
      </c>
      <c r="D12" s="14">
        <f>SUM(COUNTIFS(Table4101317251247545298684173[ATHLETE 1],Table36111418263048555399694375[[#This Row],[Athletes]],Table4101317251247545298684173[RESULT 12],Table36111418263048555399694375[[#Headers],[LOSE]]),COUNTIFS(Table4101317251247545298684173[ATHLETE 2],Table36111418263048555399694375[[#This Row],[Athletes]],Table4101317251247545298684173[RESULT 12],Table36111418263048555399694375[[#Headers],[LOSE]]),COUNTIFS(Table4101317251247545298684173[ATHLETE 3],Table36111418263048555399694375[[#This Row],[Athletes]],Table4101317251247545298684173[RESULT 34],Table36111418263048555399694375[[#Headers],[LOSE]]),COUNTIFS(Table4101317251247545298684173[ATHLETE 4],Table36111418263048555399694375[[#This Row],[Athletes]],Table4101317251247545298684173[RESULT 34],Table36111418263048555399694375[[#Headers],[LOSE]]))</f>
        <v>0</v>
      </c>
      <c r="E12" s="19">
        <f>SUM(SUMIF(Table4101317251247545298684173[ATHLETE 1],Table36111418263048555399694375[[#This Row],[Athletes]],Table4101317251247545298684173[SALDO 12]),SUMIF(Table4101317251247545298684173[ATHLETE 2],Table36111418263048555399694375[[#This Row],[Athletes]],Table4101317251247545298684173[SALDO 12]),SUMIF(Table4101317251247545298684173[ATHLETE 3],Table36111418263048555399694375[[#This Row],[Athletes]],Table4101317251247545298684173[SALDO 34]),SUMIF(Table4101317251247545298684173[ATHLETE 4],Table36111418263048555399694375[[#This Row],[Athletes]],Table4101317251247545298684173[SALDO 34]))</f>
        <v>0</v>
      </c>
      <c r="F12" s="19">
        <f>SUM(SUMIF(Table4101317251247545298684173[ATHLETE 1],Table36111418263048555399694375[[#This Row],[Athletes]],Table4101317251247545298684173[PM 12]),SUMIF(Table4101317251247545298684173[ATHLETE 2],Table36111418263048555399694375[[#This Row],[Athletes]],Table4101317251247545298684173[PM 12]),SUMIF(Table4101317251247545298684173[ATHLETE 3],Table36111418263048555399694375[[#This Row],[Athletes]],Table4101317251247545298684173[PM 34]),SUMIF(Table4101317251247545298684173[ATHLETE 4],Table36111418263048555399694375[[#This Row],[Athletes]],Table4101317251247545298684173[PM 34]))</f>
        <v>0</v>
      </c>
      <c r="G12" s="14" t="str">
        <f>IF(COUNTBLANK(Table4101317251247545298684173[[SCORE 1]:[SCORE 2]])=0,IF(RANK(H12,$H$11:$H$14)=1,RANK(H12,$H$11:$H$14)&amp;"st",IF(RANK(H12,$H$11:$H$14)=2,RANK(H12,$H$11:$H$14)&amp;"nd",RANK(H12,$H$11:$H$14)&amp;"th")),"")</f>
        <v/>
      </c>
      <c r="H12" s="51">
        <f>Table36111418263048555399694375[[#This Row],[WIN]]*1000000+Table36111418263048555399694375[[#This Row],[Saldo]]*1000+Table36111418263048555399694375[[#This Row],[PM]]</f>
        <v>0</v>
      </c>
      <c r="I12" s="2">
        <f t="shared" ref="I12:I14" si="0">H12</f>
        <v>0</v>
      </c>
      <c r="J12" s="2" t="str">
        <f>IF(COUNTBLANK(Table4101317251247545298684173[[SCORE 1]:[SCORE 2]])=0,IF(RANK(I12,$I$11:$I$22)=1,RANK(I12,$I$11:$I$22)&amp;"st",IF(RANK(I12,$I$11:$I$22)=2,RANK(I12,$I$11:$I$22)&amp;"nd",IF(RANK(I12,$I$11:$I$22)=3,RANK(I12,$I$11:$I$22)&amp;"rd",RANK(I12,$I$11:$I$22)&amp;"th"))),"")</f>
        <v/>
      </c>
      <c r="K12" s="38" t="str">
        <f>Table36111418263048555399694375[[#This Row],[Athletes]]</f>
        <v>A2</v>
      </c>
      <c r="L12" s="2" t="str">
        <f t="shared" ref="L12:L14" si="1">J12</f>
        <v/>
      </c>
      <c r="M12" s="127" t="str">
        <f>IF($O$12="lose",$U$7,"")</f>
        <v/>
      </c>
      <c r="N12" s="127" t="str">
        <f>IF($O$12="lose",$U$8,"")</f>
        <v/>
      </c>
      <c r="O12" s="2" t="str">
        <f>IF(OR(O11="",P11=""),"",IF((O11&gt;P11),"WIN","LOSE"))</f>
        <v/>
      </c>
      <c r="P12" s="2" t="str">
        <f>IF(OR(O11="",P11=""),"",IF((O11&lt;P11),"WIN","LOSE"))</f>
        <v/>
      </c>
      <c r="Q12" s="127" t="str">
        <f>IF($P$12="lose",$U$9,"")</f>
        <v/>
      </c>
      <c r="R12" s="127" t="str">
        <f>IF($P$12="lose",$U$10,"")</f>
        <v/>
      </c>
      <c r="S12" s="17"/>
      <c r="T12" s="66"/>
      <c r="U12" s="67"/>
    </row>
    <row r="13" spans="1:25">
      <c r="A13" s="3" t="s">
        <v>207</v>
      </c>
      <c r="B13" s="118" t="s">
        <v>207</v>
      </c>
      <c r="C13" s="14">
        <f>SUM(COUNTIFS(Table4101317251247545298684173[ATHLETE 1],Table36111418263048555399694375[[#This Row],[Athletes]],Table4101317251247545298684173[RESULT 12],Table36111418263048555399694375[[#Headers],[WIN]]),COUNTIFS(Table4101317251247545298684173[ATHLETE 2],Table36111418263048555399694375[[#This Row],[Athletes]],Table4101317251247545298684173[RESULT 12],Table36111418263048555399694375[[#Headers],[WIN]]),COUNTIFS(Table4101317251247545298684173[ATHLETE 3],Table36111418263048555399694375[[#This Row],[Athletes]],Table4101317251247545298684173[RESULT 34],Table36111418263048555399694375[[#Headers],[WIN]]),COUNTIFS(Table4101317251247545298684173[ATHLETE 4],Table36111418263048555399694375[[#This Row],[Athletes]],Table4101317251247545298684173[RESULT 34],Table36111418263048555399694375[[#Headers],[WIN]]))</f>
        <v>0</v>
      </c>
      <c r="D13" s="14">
        <f>SUM(COUNTIFS(Table4101317251247545298684173[ATHLETE 1],Table36111418263048555399694375[[#This Row],[Athletes]],Table4101317251247545298684173[RESULT 12],Table36111418263048555399694375[[#Headers],[LOSE]]),COUNTIFS(Table4101317251247545298684173[ATHLETE 2],Table36111418263048555399694375[[#This Row],[Athletes]],Table4101317251247545298684173[RESULT 12],Table36111418263048555399694375[[#Headers],[LOSE]]),COUNTIFS(Table4101317251247545298684173[ATHLETE 3],Table36111418263048555399694375[[#This Row],[Athletes]],Table4101317251247545298684173[RESULT 34],Table36111418263048555399694375[[#Headers],[LOSE]]),COUNTIFS(Table4101317251247545298684173[ATHLETE 4],Table36111418263048555399694375[[#This Row],[Athletes]],Table4101317251247545298684173[RESULT 34],Table36111418263048555399694375[[#Headers],[LOSE]]))</f>
        <v>0</v>
      </c>
      <c r="E13" s="19">
        <f>SUM(SUMIF(Table4101317251247545298684173[ATHLETE 1],Table36111418263048555399694375[[#This Row],[Athletes]],Table4101317251247545298684173[SALDO 12]),SUMIF(Table4101317251247545298684173[ATHLETE 2],Table36111418263048555399694375[[#This Row],[Athletes]],Table4101317251247545298684173[SALDO 12]),SUMIF(Table4101317251247545298684173[ATHLETE 3],Table36111418263048555399694375[[#This Row],[Athletes]],Table4101317251247545298684173[SALDO 34]),SUMIF(Table4101317251247545298684173[ATHLETE 4],Table36111418263048555399694375[[#This Row],[Athletes]],Table4101317251247545298684173[SALDO 34]))</f>
        <v>0</v>
      </c>
      <c r="F13" s="19">
        <f>SUM(SUMIF(Table4101317251247545298684173[ATHLETE 1],Table36111418263048555399694375[[#This Row],[Athletes]],Table4101317251247545298684173[PM 12]),SUMIF(Table4101317251247545298684173[ATHLETE 2],Table36111418263048555399694375[[#This Row],[Athletes]],Table4101317251247545298684173[PM 12]),SUMIF(Table4101317251247545298684173[ATHLETE 3],Table36111418263048555399694375[[#This Row],[Athletes]],Table4101317251247545298684173[PM 34]),SUMIF(Table4101317251247545298684173[ATHLETE 4],Table36111418263048555399694375[[#This Row],[Athletes]],Table4101317251247545298684173[PM 34]))</f>
        <v>0</v>
      </c>
      <c r="G13" s="14" t="str">
        <f>IF(COUNTBLANK(Table4101317251247545298684173[[SCORE 1]:[SCORE 2]])=0,IF(RANK(H13,$H$11:$H$14)=1,RANK(H13,$H$11:$H$14)&amp;"st",IF(RANK(H13,$H$11:$H$14)=2,RANK(H13,$H$11:$H$14)&amp;"nd",RANK(H13,$H$11:$H$14)&amp;"th")),"")</f>
        <v/>
      </c>
      <c r="H13" s="51">
        <f>Table36111418263048555399694375[[#This Row],[WIN]]*1000000+Table36111418263048555399694375[[#This Row],[Saldo]]*1000+Table36111418263048555399694375[[#This Row],[PM]]</f>
        <v>0</v>
      </c>
      <c r="I13" s="2">
        <f t="shared" si="0"/>
        <v>0</v>
      </c>
      <c r="J13" s="2" t="str">
        <f>IF(COUNTBLANK(Table4101317251247545298684173[[SCORE 1]:[SCORE 2]])=0,IF(RANK(I13,$I$11:$I$22)=1,RANK(I13,$I$11:$I$22)&amp;"st",IF(RANK(I13,$I$11:$I$22)=2,RANK(I13,$I$11:$I$22)&amp;"nd",IF(RANK(I13,$I$11:$I$22)=3,RANK(I13,$I$11:$I$22)&amp;"rd",RANK(I13,$I$11:$I$22)&amp;"th"))),"")</f>
        <v/>
      </c>
      <c r="K13" s="38" t="str">
        <f>Table36111418263048555399694375[[#This Row],[Athletes]]</f>
        <v>A3</v>
      </c>
      <c r="L13" s="2" t="str">
        <f t="shared" si="1"/>
        <v/>
      </c>
      <c r="M13" s="90">
        <v>1</v>
      </c>
      <c r="N13" s="90">
        <v>2</v>
      </c>
      <c r="O13" s="90"/>
      <c r="P13" s="90"/>
      <c r="Q13" s="90">
        <v>7</v>
      </c>
      <c r="R13" s="90">
        <v>8</v>
      </c>
      <c r="T13" s="66"/>
      <c r="U13" s="67"/>
      <c r="V13" s="66"/>
      <c r="W13" s="66"/>
      <c r="X13" s="66"/>
      <c r="Y13" s="66"/>
    </row>
    <row r="14" spans="1:25" ht="15.95">
      <c r="A14" s="5" t="s">
        <v>208</v>
      </c>
      <c r="B14" s="118" t="s">
        <v>208</v>
      </c>
      <c r="C14" s="14">
        <f>SUM(COUNTIFS(Table4101317251247545298684173[ATHLETE 1],Table36111418263048555399694375[[#This Row],[Athletes]],Table4101317251247545298684173[RESULT 12],Table36111418263048555399694375[[#Headers],[WIN]]),COUNTIFS(Table4101317251247545298684173[ATHLETE 2],Table36111418263048555399694375[[#This Row],[Athletes]],Table4101317251247545298684173[RESULT 12],Table36111418263048555399694375[[#Headers],[WIN]]),COUNTIFS(Table4101317251247545298684173[ATHLETE 3],Table36111418263048555399694375[[#This Row],[Athletes]],Table4101317251247545298684173[RESULT 34],Table36111418263048555399694375[[#Headers],[WIN]]),COUNTIFS(Table4101317251247545298684173[ATHLETE 4],Table36111418263048555399694375[[#This Row],[Athletes]],Table4101317251247545298684173[RESULT 34],Table36111418263048555399694375[[#Headers],[WIN]]))</f>
        <v>0</v>
      </c>
      <c r="D14" s="14">
        <f>SUM(COUNTIFS(Table4101317251247545298684173[ATHLETE 1],Table36111418263048555399694375[[#This Row],[Athletes]],Table4101317251247545298684173[RESULT 12],Table36111418263048555399694375[[#Headers],[LOSE]]),COUNTIFS(Table4101317251247545298684173[ATHLETE 2],Table36111418263048555399694375[[#This Row],[Athletes]],Table4101317251247545298684173[RESULT 12],Table36111418263048555399694375[[#Headers],[LOSE]]),COUNTIFS(Table4101317251247545298684173[ATHLETE 3],Table36111418263048555399694375[[#This Row],[Athletes]],Table4101317251247545298684173[RESULT 34],Table36111418263048555399694375[[#Headers],[LOSE]]),COUNTIFS(Table4101317251247545298684173[ATHLETE 4],Table36111418263048555399694375[[#This Row],[Athletes]],Table4101317251247545298684173[RESULT 34],Table36111418263048555399694375[[#Headers],[LOSE]]))</f>
        <v>0</v>
      </c>
      <c r="E14" s="19">
        <f>SUM(SUMIF(Table4101317251247545298684173[ATHLETE 1],Table36111418263048555399694375[[#This Row],[Athletes]],Table4101317251247545298684173[SALDO 12]),SUMIF(Table4101317251247545298684173[ATHLETE 2],Table36111418263048555399694375[[#This Row],[Athletes]],Table4101317251247545298684173[SALDO 12]),SUMIF(Table4101317251247545298684173[ATHLETE 3],Table36111418263048555399694375[[#This Row],[Athletes]],Table4101317251247545298684173[SALDO 34]),SUMIF(Table4101317251247545298684173[ATHLETE 4],Table36111418263048555399694375[[#This Row],[Athletes]],Table4101317251247545298684173[SALDO 34]))</f>
        <v>0</v>
      </c>
      <c r="F14" s="19">
        <f>SUM(SUMIF(Table4101317251247545298684173[ATHLETE 1],Table36111418263048555399694375[[#This Row],[Athletes]],Table4101317251247545298684173[PM 12]),SUMIF(Table4101317251247545298684173[ATHLETE 2],Table36111418263048555399694375[[#This Row],[Athletes]],Table4101317251247545298684173[PM 12]),SUMIF(Table4101317251247545298684173[ATHLETE 3],Table36111418263048555399694375[[#This Row],[Athletes]],Table4101317251247545298684173[PM 34]),SUMIF(Table4101317251247545298684173[ATHLETE 4],Table36111418263048555399694375[[#This Row],[Athletes]],Table4101317251247545298684173[PM 34]))</f>
        <v>0</v>
      </c>
      <c r="G14" s="14" t="str">
        <f>IF(COUNTBLANK(Table4101317251247545298684173[[SCORE 1]:[SCORE 2]])=0,IF(RANK(H14,$H$11:$H$14)=1,RANK(H14,$H$11:$H$14)&amp;"st",IF(RANK(H14,$H$11:$H$14)=2,RANK(H14,$H$11:$H$14)&amp;"nd",RANK(H14,$H$11:$H$14)&amp;"th")),"")</f>
        <v/>
      </c>
      <c r="H14" s="51">
        <f>Table36111418263048555399694375[[#This Row],[WIN]]*1000000+Table36111418263048555399694375[[#This Row],[Saldo]]*1000+Table36111418263048555399694375[[#This Row],[PM]]</f>
        <v>0</v>
      </c>
      <c r="I14" s="2">
        <f t="shared" si="0"/>
        <v>0</v>
      </c>
      <c r="J14" s="2" t="str">
        <f>IF(COUNTBLANK(Table4101317251247545298684173[[SCORE 1]:[SCORE 2]])=0,IF(RANK(I14,$I$11:$I$22)=1,RANK(I14,$I$11:$I$22)&amp;"st",IF(RANK(I14,$I$11:$I$22)=2,RANK(I14,$I$11:$I$22)&amp;"nd",IF(RANK(I14,$I$11:$I$22)=3,RANK(I14,$I$11:$I$22)&amp;"rd",RANK(I14,$I$11:$I$22)&amp;"th"))),"")</f>
        <v/>
      </c>
      <c r="K14" s="38" t="str">
        <f>Table36111418263048555399694375[[#This Row],[Athletes]]</f>
        <v>A4</v>
      </c>
      <c r="L14" s="2" t="str">
        <f t="shared" si="1"/>
        <v/>
      </c>
      <c r="M14" s="90"/>
      <c r="N14" s="90"/>
      <c r="O14" s="90"/>
      <c r="P14" s="90"/>
      <c r="Q14" s="90"/>
      <c r="R14" s="90"/>
      <c r="T14" s="66"/>
      <c r="U14" s="67"/>
      <c r="V14" s="66"/>
      <c r="W14" s="66"/>
      <c r="X14" s="66"/>
      <c r="Y14" s="66"/>
    </row>
    <row r="15" spans="1:25">
      <c r="I15" s="2">
        <f>H17</f>
        <v>0</v>
      </c>
      <c r="J15" s="2" t="str">
        <f>IF(COUNTBLANK(Table4101317251247545298684173[[SCORE 1]:[SCORE 2]])=0,IF(RANK(I15,$I$11:$I$22)=1,RANK(I15,$I$11:$I$22)&amp;"st",IF(RANK(I15,$I$11:$I$22)=2,RANK(I15,$I$11:$I$22)&amp;"nd",IF(RANK(I15,$I$11:$I$22)=3,RANK(I15,$I$11:$I$22)&amp;"rd",RANK(I15,$I$11:$I$22)&amp;"th"))),"")</f>
        <v/>
      </c>
      <c r="K15" s="38" t="str">
        <f>B17</f>
        <v>B1</v>
      </c>
      <c r="L15" s="2"/>
      <c r="M15" s="418" t="s">
        <v>193</v>
      </c>
      <c r="N15" s="418" t="s">
        <v>194</v>
      </c>
      <c r="O15" s="542" t="s">
        <v>195</v>
      </c>
      <c r="P15" s="543"/>
      <c r="Q15" s="418" t="s">
        <v>196</v>
      </c>
      <c r="R15" s="418" t="s">
        <v>197</v>
      </c>
      <c r="V15" s="66"/>
      <c r="W15" s="66"/>
      <c r="X15" s="66"/>
      <c r="Y15" s="66"/>
    </row>
    <row r="16" spans="1:25" s="44" customFormat="1" ht="28.5" customHeight="1">
      <c r="A16" s="9" t="s">
        <v>184</v>
      </c>
      <c r="B16" s="48" t="s">
        <v>203</v>
      </c>
      <c r="C16" s="48" t="s">
        <v>186</v>
      </c>
      <c r="D16" s="48" t="s">
        <v>187</v>
      </c>
      <c r="E16" s="48" t="s">
        <v>188</v>
      </c>
      <c r="F16" s="48" t="s">
        <v>189</v>
      </c>
      <c r="G16" s="43" t="s">
        <v>8</v>
      </c>
      <c r="H16" s="79" t="s">
        <v>204</v>
      </c>
      <c r="I16" s="2">
        <f>H18</f>
        <v>0</v>
      </c>
      <c r="J16" s="2" t="str">
        <f>IF(COUNTBLANK(Table4101317251247545298684173[[SCORE 1]:[SCORE 2]])=0,IF(RANK(I16,$I$11:$I$22)=1,RANK(I16,$I$11:$I$22)&amp;"st",IF(RANK(I16,$I$11:$I$22)=2,RANK(I16,$I$11:$I$22)&amp;"nd",IF(RANK(I16,$I$11:$I$22)=3,RANK(I16,$I$11:$I$22)&amp;"rd",RANK(I16,$I$11:$I$22)&amp;"th"))),"")</f>
        <v/>
      </c>
      <c r="K16" s="38" t="str">
        <f>B18</f>
        <v>B2</v>
      </c>
      <c r="L16" s="419" t="s">
        <v>192</v>
      </c>
      <c r="M16" s="428" t="str" cm="1">
        <f t="array" ref="M16">_xlfn.TEXTJOIN(", ", TRUE, _xlfn._xlws.FILTER($K$11:$K$18, $J$11:$J$18=$U$5, ""))</f>
        <v/>
      </c>
      <c r="N16" s="428" t="str" cm="1">
        <f t="array" ref="N16">_xlfn.TEXTJOIN(", ", TRUE, _xlfn._xlws.FILTER($K$11:$K$18, $J$11:$J$18=$U$6, ""))</f>
        <v/>
      </c>
      <c r="O16" s="119"/>
      <c r="P16" s="119"/>
      <c r="Q16" s="428" t="str" cm="1">
        <f t="array" ref="Q16">_xlfn.TEXTJOIN(", ", TRUE, _xlfn._xlws.FILTER($K$11:$K$18, $J$11:$J$18=$U$7, ""))</f>
        <v/>
      </c>
      <c r="R16" s="428" t="str" cm="1">
        <f t="array" ref="R16">_xlfn.TEXTJOIN(", ", TRUE, _xlfn._xlws.FILTER($K$11:$K$18, $J$11:$J$18=$U$8, ""))</f>
        <v/>
      </c>
      <c r="V16" s="92"/>
      <c r="W16" s="92"/>
      <c r="X16" s="92"/>
      <c r="Y16" s="92"/>
    </row>
    <row r="17" spans="1:25">
      <c r="A17" s="430" t="s">
        <v>209</v>
      </c>
      <c r="B17" s="118" t="s">
        <v>209</v>
      </c>
      <c r="C17" s="14">
        <f>SUM(COUNTIFS(Table4101317251247545298684173[ATHLETE 1],Table61215192731495671100704476[[#This Row],[Athletes]],Table4101317251247545298684173[RESULT 12],Table36111418263048555399694375[[#Headers],[WIN]]),COUNTIFS(Table4101317251247545298684173[ATHLETE 2],Table61215192731495671100704476[[#This Row],[Athletes]],Table4101317251247545298684173[RESULT 12],Table36111418263048555399694375[[#Headers],[WIN]]),COUNTIFS(Table4101317251247545298684173[ATHLETE 3],Table61215192731495671100704476[[#This Row],[Athletes]],Table4101317251247545298684173[RESULT 34],Table36111418263048555399694375[[#Headers],[WIN]]),COUNTIFS(Table4101317251247545298684173[ATHLETE 4],Table61215192731495671100704476[[#This Row],[Athletes]],Table4101317251247545298684173[RESULT 34],Table36111418263048555399694375[[#Headers],[WIN]]))</f>
        <v>0</v>
      </c>
      <c r="D17" s="12">
        <f>SUM(COUNTIFS(Table4101317251247545298684173[ATHLETE 1],Table61215192731495671100704476[[#This Row],[Athletes]],Table4101317251247545298684173[RESULT 12],Table36111418263048555399694375[[#Headers],[LOSE]]),COUNTIFS(Table4101317251247545298684173[ATHLETE 2],Table61215192731495671100704476[[#This Row],[Athletes]],Table4101317251247545298684173[RESULT 12],Table36111418263048555399694375[[#Headers],[LOSE]]),COUNTIFS(Table4101317251247545298684173[ATHLETE 3],Table61215192731495671100704476[[#This Row],[Athletes]],Table4101317251247545298684173[RESULT 34],Table36111418263048555399694375[[#Headers],[LOSE]]),COUNTIFS(Table4101317251247545298684173[ATHLETE 4],Table61215192731495671100704476[[#This Row],[Athletes]],Table4101317251247545298684173[RESULT 34],Table36111418263048555399694375[[#Headers],[LOSE]]))</f>
        <v>0</v>
      </c>
      <c r="E17" s="19">
        <f>SUM(SUMIF(Table4101317251247545298684173[ATHLETE 1],Table61215192731495671100704476[[#This Row],[Athletes]],Table4101317251247545298684173[SALDO 12]),SUMIF(Table4101317251247545298684173[ATHLETE 2],Table61215192731495671100704476[[#This Row],[Athletes]],Table4101317251247545298684173[SALDO 12]),SUMIF(Table4101317251247545298684173[ATHLETE 3],Table61215192731495671100704476[[#This Row],[Athletes]],Table4101317251247545298684173[SALDO 34]),SUMIF(Table4101317251247545298684173[ATHLETE 4],Table61215192731495671100704476[[#This Row],[Athletes]],Table4101317251247545298684173[SALDO 34]))</f>
        <v>0</v>
      </c>
      <c r="F17" s="19">
        <f>SUM(SUMIF(Table4101317251247545298684173[ATHLETE 1],Table61215192731495671100704476[[#This Row],[Athletes]],Table4101317251247545298684173[PM 12]),SUMIF(Table4101317251247545298684173[ATHLETE 2],Table61215192731495671100704476[[#This Row],[Athletes]],Table4101317251247545298684173[PM 12]),SUMIF(Table4101317251247545298684173[ATHLETE 3],Table61215192731495671100704476[[#This Row],[Athletes]],Table4101317251247545298684173[PM 34]),SUMIF(Table4101317251247545298684173[ATHLETE 4],Table61215192731495671100704476[[#This Row],[Athletes]],Table4101317251247545298684173[PM 34]))</f>
        <v>0</v>
      </c>
      <c r="G17" s="14" t="str">
        <f>IF(COUNTBLANK(Table4101317251247545298684173[[SCORE 1]:[SCORE 2]])=0,IF(RANK(H17,$H$17:$H$20)=1,RANK(H17,$H$17:$H$20)&amp;"st",IF(RANK(H17,$H$17:$H$20)=2,RANK(H17,$H$17:$H$20)&amp;"nd",RANK(H17,$H$17:$H$20)&amp;"th")),"")</f>
        <v/>
      </c>
      <c r="H17" s="51">
        <f>Table61215192731495671100704476[[#This Row],[WIN]]*1000000+Table61215192731495671100704476[[#This Row],[Saldo]]*1000+Table61215192731495671100704476[[#This Row],[PM]]</f>
        <v>0</v>
      </c>
      <c r="I17" s="2">
        <f>H19</f>
        <v>0</v>
      </c>
      <c r="J17" s="2" t="str">
        <f>IF(COUNTBLANK(Table4101317251247545298684173[[SCORE 1]:[SCORE 2]])=0,IF(RANK(I17,$I$11:$I$22)=1,RANK(I17,$I$11:$I$22)&amp;"st",IF(RANK(I17,$I$11:$I$22)=2,RANK(I17,$I$11:$I$22)&amp;"nd",IF(RANK(I17,$I$11:$I$22)=3,RANK(I17,$I$11:$I$22)&amp;"rd",RANK(I17,$I$11:$I$22)&amp;"th"))),"")</f>
        <v/>
      </c>
      <c r="K17" s="38" t="str">
        <f>B19</f>
        <v>B3</v>
      </c>
      <c r="L17" s="2" t="str">
        <f>J15</f>
        <v/>
      </c>
      <c r="M17" s="127" t="str">
        <f>IF(AND($O$17="lose",$O$12="lose"),$U$9,IF($O$17="lose",$U$7,""))</f>
        <v/>
      </c>
      <c r="N17" s="127" t="str">
        <f>IF(AND($O$17="lose",$O$12="lose"),$U$10,IF($O$17="lose",$U$8,""))</f>
        <v/>
      </c>
      <c r="O17" s="2" t="str">
        <f>IF(OR(O16="",P16=""),"",IF((O16&gt;P16),"WIN","LOSE"))</f>
        <v/>
      </c>
      <c r="P17" s="2" t="str">
        <f>IF(OR(O16="",P16=""),"",IF((O16&lt;P16),"WIN","LOSE"))</f>
        <v/>
      </c>
      <c r="Q17" s="127" t="str">
        <f>IF(AND($P$17="lose",$O$12="lose"),$U$9,IF($P$17="lose",$U$7,""))</f>
        <v/>
      </c>
      <c r="R17" s="127" t="str">
        <f>IF(AND($P$17="lose",$O$12="lose"),$U$10,IF($P$17="lose",$U$8,""))</f>
        <v/>
      </c>
      <c r="V17" s="66"/>
      <c r="W17" s="66"/>
      <c r="X17" s="66"/>
      <c r="Y17" s="66"/>
    </row>
    <row r="18" spans="1:25">
      <c r="A18" s="430" t="s">
        <v>210</v>
      </c>
      <c r="B18" s="118" t="s">
        <v>210</v>
      </c>
      <c r="C18" s="14">
        <f>SUM(COUNTIFS(Table4101317251247545298684173[ATHLETE 1],Table61215192731495671100704476[[#This Row],[Athletes]],Table4101317251247545298684173[RESULT 12],Table36111418263048555399694375[[#Headers],[WIN]]),COUNTIFS(Table4101317251247545298684173[ATHLETE 2],Table61215192731495671100704476[[#This Row],[Athletes]],Table4101317251247545298684173[RESULT 12],Table36111418263048555399694375[[#Headers],[WIN]]),COUNTIFS(Table4101317251247545298684173[ATHLETE 3],Table61215192731495671100704476[[#This Row],[Athletes]],Table4101317251247545298684173[RESULT 34],Table36111418263048555399694375[[#Headers],[WIN]]),COUNTIFS(Table4101317251247545298684173[ATHLETE 4],Table61215192731495671100704476[[#This Row],[Athletes]],Table4101317251247545298684173[RESULT 34],Table36111418263048555399694375[[#Headers],[WIN]]))</f>
        <v>0</v>
      </c>
      <c r="D18" s="12">
        <f>SUM(COUNTIFS(Table4101317251247545298684173[ATHLETE 1],Table61215192731495671100704476[[#This Row],[Athletes]],Table4101317251247545298684173[RESULT 12],Table36111418263048555399694375[[#Headers],[LOSE]]),COUNTIFS(Table4101317251247545298684173[ATHLETE 2],Table61215192731495671100704476[[#This Row],[Athletes]],Table4101317251247545298684173[RESULT 12],Table36111418263048555399694375[[#Headers],[LOSE]]),COUNTIFS(Table4101317251247545298684173[ATHLETE 3],Table61215192731495671100704476[[#This Row],[Athletes]],Table4101317251247545298684173[RESULT 34],Table36111418263048555399694375[[#Headers],[LOSE]]),COUNTIFS(Table4101317251247545298684173[ATHLETE 4],Table61215192731495671100704476[[#This Row],[Athletes]],Table4101317251247545298684173[RESULT 34],Table36111418263048555399694375[[#Headers],[LOSE]]))</f>
        <v>0</v>
      </c>
      <c r="E18" s="19">
        <f>SUM(SUMIF(Table4101317251247545298684173[ATHLETE 1],Table61215192731495671100704476[[#This Row],[Athletes]],Table4101317251247545298684173[SALDO 12]),SUMIF(Table4101317251247545298684173[ATHLETE 2],Table61215192731495671100704476[[#This Row],[Athletes]],Table4101317251247545298684173[SALDO 12]),SUMIF(Table4101317251247545298684173[ATHLETE 3],Table61215192731495671100704476[[#This Row],[Athletes]],Table4101317251247545298684173[SALDO 34]),SUMIF(Table4101317251247545298684173[ATHLETE 4],Table61215192731495671100704476[[#This Row],[Athletes]],Table4101317251247545298684173[SALDO 34]))</f>
        <v>0</v>
      </c>
      <c r="F18" s="19">
        <f>SUM(SUMIF(Table4101317251247545298684173[ATHLETE 1],Table61215192731495671100704476[[#This Row],[Athletes]],Table4101317251247545298684173[PM 12]),SUMIF(Table4101317251247545298684173[ATHLETE 2],Table61215192731495671100704476[[#This Row],[Athletes]],Table4101317251247545298684173[PM 12]),SUMIF(Table4101317251247545298684173[ATHLETE 3],Table61215192731495671100704476[[#This Row],[Athletes]],Table4101317251247545298684173[PM 34]),SUMIF(Table4101317251247545298684173[ATHLETE 4],Table61215192731495671100704476[[#This Row],[Athletes]],Table4101317251247545298684173[PM 34]))</f>
        <v>0</v>
      </c>
      <c r="G18" s="14" t="str">
        <f>IF(COUNTBLANK(Table4101317251247545298684173[[SCORE 1]:[SCORE 2]])=0,IF(RANK(H18,$H$17:$H$20)=1,RANK(H18,$H$17:$H$20)&amp;"st",IF(RANK(H18,$H$17:$H$20)=2,RANK(H18,$H$17:$H$20)&amp;"nd",RANK(H18,$H$17:$H$20)&amp;"th")),"")</f>
        <v/>
      </c>
      <c r="H18" s="51">
        <f>Table61215192731495671100704476[[#This Row],[WIN]]*1000000+Table61215192731495671100704476[[#This Row],[Saldo]]*1000+Table61215192731495671100704476[[#This Row],[PM]]</f>
        <v>0</v>
      </c>
      <c r="I18" s="2">
        <f>H20</f>
        <v>0</v>
      </c>
      <c r="J18" s="2" t="str">
        <f>IF(COUNTBLANK(Table4101317251247545298684173[[SCORE 1]:[SCORE 2]])=0,IF(RANK(I18,$I$11:$I$22)=1,RANK(I18,$I$11:$I$22)&amp;"st",IF(RANK(I18,$I$11:$I$22)=2,RANK(I18,$I$11:$I$22)&amp;"nd",IF(RANK(I18,$I$11:$I$22)=3,RANK(I18,$I$11:$I$22)&amp;"rd",RANK(I18,$I$11:$I$22)&amp;"th"))),"")</f>
        <v/>
      </c>
      <c r="K18" s="38" t="str">
        <f>B20</f>
        <v>B4</v>
      </c>
      <c r="L18" s="2" t="str">
        <f t="shared" ref="L18:L20" si="2">J16</f>
        <v/>
      </c>
      <c r="M18" s="90">
        <v>3</v>
      </c>
      <c r="N18" s="90">
        <v>4</v>
      </c>
      <c r="O18" s="90"/>
      <c r="P18" s="90"/>
      <c r="Q18" s="90">
        <v>5</v>
      </c>
      <c r="R18" s="90">
        <v>6</v>
      </c>
      <c r="V18" s="66"/>
      <c r="W18" s="66"/>
      <c r="X18" s="66"/>
      <c r="Y18" s="66"/>
    </row>
    <row r="19" spans="1:25">
      <c r="A19" s="430" t="s">
        <v>211</v>
      </c>
      <c r="B19" s="118" t="s">
        <v>211</v>
      </c>
      <c r="C19" s="14">
        <f>SUM(COUNTIFS(Table4101317251247545298684173[ATHLETE 1],Table61215192731495671100704476[[#This Row],[Athletes]],Table4101317251247545298684173[RESULT 12],Table36111418263048555399694375[[#Headers],[WIN]]),COUNTIFS(Table4101317251247545298684173[ATHLETE 2],Table61215192731495671100704476[[#This Row],[Athletes]],Table4101317251247545298684173[RESULT 12],Table36111418263048555399694375[[#Headers],[WIN]]),COUNTIFS(Table4101317251247545298684173[ATHLETE 3],Table61215192731495671100704476[[#This Row],[Athletes]],Table4101317251247545298684173[RESULT 34],Table36111418263048555399694375[[#Headers],[WIN]]),COUNTIFS(Table4101317251247545298684173[ATHLETE 4],Table61215192731495671100704476[[#This Row],[Athletes]],Table4101317251247545298684173[RESULT 34],Table36111418263048555399694375[[#Headers],[WIN]]))</f>
        <v>0</v>
      </c>
      <c r="D19" s="12">
        <f>SUM(COUNTIFS(Table4101317251247545298684173[ATHLETE 1],Table61215192731495671100704476[[#This Row],[Athletes]],Table4101317251247545298684173[RESULT 12],Table36111418263048555399694375[[#Headers],[LOSE]]),COUNTIFS(Table4101317251247545298684173[ATHLETE 2],Table61215192731495671100704476[[#This Row],[Athletes]],Table4101317251247545298684173[RESULT 12],Table36111418263048555399694375[[#Headers],[LOSE]]),COUNTIFS(Table4101317251247545298684173[ATHLETE 3],Table61215192731495671100704476[[#This Row],[Athletes]],Table4101317251247545298684173[RESULT 34],Table36111418263048555399694375[[#Headers],[LOSE]]),COUNTIFS(Table4101317251247545298684173[ATHLETE 4],Table61215192731495671100704476[[#This Row],[Athletes]],Table4101317251247545298684173[RESULT 34],Table36111418263048555399694375[[#Headers],[LOSE]]))</f>
        <v>0</v>
      </c>
      <c r="E19" s="19">
        <f>SUM(SUMIF(Table4101317251247545298684173[ATHLETE 1],Table61215192731495671100704476[[#This Row],[Athletes]],Table4101317251247545298684173[SALDO 12]),SUMIF(Table4101317251247545298684173[ATHLETE 2],Table61215192731495671100704476[[#This Row],[Athletes]],Table4101317251247545298684173[SALDO 12]),SUMIF(Table4101317251247545298684173[ATHLETE 3],Table61215192731495671100704476[[#This Row],[Athletes]],Table4101317251247545298684173[SALDO 34]),SUMIF(Table4101317251247545298684173[ATHLETE 4],Table61215192731495671100704476[[#This Row],[Athletes]],Table4101317251247545298684173[SALDO 34]))</f>
        <v>0</v>
      </c>
      <c r="F19" s="19">
        <f>SUM(SUMIF(Table4101317251247545298684173[ATHLETE 1],Table61215192731495671100704476[[#This Row],[Athletes]],Table4101317251247545298684173[PM 12]),SUMIF(Table4101317251247545298684173[ATHLETE 2],Table61215192731495671100704476[[#This Row],[Athletes]],Table4101317251247545298684173[PM 12]),SUMIF(Table4101317251247545298684173[ATHLETE 3],Table61215192731495671100704476[[#This Row],[Athletes]],Table4101317251247545298684173[PM 34]),SUMIF(Table4101317251247545298684173[ATHLETE 4],Table61215192731495671100704476[[#This Row],[Athletes]],Table4101317251247545298684173[PM 34]))</f>
        <v>0</v>
      </c>
      <c r="G19" s="14" t="str">
        <f>IF(COUNTBLANK(Table4101317251247545298684173[[SCORE 1]:[SCORE 2]])=0,IF(RANK(H19,$H$17:$H$20)=1,RANK(H19,$H$17:$H$20)&amp;"st",IF(RANK(H19,$H$17:$H$20)=2,RANK(H19,$H$17:$H$20)&amp;"nd",RANK(H19,$H$17:$H$20)&amp;"th")),"")</f>
        <v/>
      </c>
      <c r="H19" s="51">
        <f>Table61215192731495671100704476[[#This Row],[WIN]]*1000000+Table61215192731495671100704476[[#This Row],[Saldo]]*1000+Table61215192731495671100704476[[#This Row],[PM]]</f>
        <v>0</v>
      </c>
      <c r="L19" s="2" t="str">
        <f t="shared" si="2"/>
        <v/>
      </c>
      <c r="M19" s="90"/>
      <c r="N19" s="90"/>
      <c r="O19" s="90"/>
      <c r="P19" s="90"/>
      <c r="Q19" s="90"/>
      <c r="R19" s="90"/>
      <c r="V19" s="66"/>
      <c r="W19" s="66"/>
      <c r="X19" s="66"/>
      <c r="Y19" s="66"/>
    </row>
    <row r="20" spans="1:25" ht="29.1">
      <c r="A20" s="430" t="s">
        <v>212</v>
      </c>
      <c r="B20" s="172" t="s">
        <v>212</v>
      </c>
      <c r="C20" s="14">
        <f>SUM(COUNTIFS(Table4101317251247545298684173[ATHLETE 1],Table61215192731495671100704476[[#This Row],[Athletes]],Table4101317251247545298684173[RESULT 12],Table36111418263048555399694375[[#Headers],[WIN]]),COUNTIFS(Table4101317251247545298684173[ATHLETE 2],Table61215192731495671100704476[[#This Row],[Athletes]],Table4101317251247545298684173[RESULT 12],Table36111418263048555399694375[[#Headers],[WIN]]),COUNTIFS(Table4101317251247545298684173[ATHLETE 3],Table61215192731495671100704476[[#This Row],[Athletes]],Table4101317251247545298684173[RESULT 34],Table36111418263048555399694375[[#Headers],[WIN]]),COUNTIFS(Table4101317251247545298684173[ATHLETE 4],Table61215192731495671100704476[[#This Row],[Athletes]],Table4101317251247545298684173[RESULT 34],Table36111418263048555399694375[[#Headers],[WIN]]))</f>
        <v>0</v>
      </c>
      <c r="D20" s="12">
        <f>SUM(COUNTIFS(Table4101317251247545298684173[ATHLETE 1],Table61215192731495671100704476[[#This Row],[Athletes]],Table4101317251247545298684173[RESULT 12],Table36111418263048555399694375[[#Headers],[LOSE]]),COUNTIFS(Table4101317251247545298684173[ATHLETE 2],Table61215192731495671100704476[[#This Row],[Athletes]],Table4101317251247545298684173[RESULT 12],Table36111418263048555399694375[[#Headers],[LOSE]]),COUNTIFS(Table4101317251247545298684173[ATHLETE 3],Table61215192731495671100704476[[#This Row],[Athletes]],Table4101317251247545298684173[RESULT 34],Table36111418263048555399694375[[#Headers],[LOSE]]),COUNTIFS(Table4101317251247545298684173[ATHLETE 4],Table61215192731495671100704476[[#This Row],[Athletes]],Table4101317251247545298684173[RESULT 34],Table36111418263048555399694375[[#Headers],[LOSE]]))</f>
        <v>0</v>
      </c>
      <c r="E20" s="19">
        <f>SUM(SUMIF(Table4101317251247545298684173[ATHLETE 1],Table61215192731495671100704476[[#This Row],[Athletes]],Table4101317251247545298684173[SALDO 12]),SUMIF(Table4101317251247545298684173[ATHLETE 2],Table61215192731495671100704476[[#This Row],[Athletes]],Table4101317251247545298684173[SALDO 12]),SUMIF(Table4101317251247545298684173[ATHLETE 3],Table61215192731495671100704476[[#This Row],[Athletes]],Table4101317251247545298684173[SALDO 34]),SUMIF(Table4101317251247545298684173[ATHLETE 4],Table61215192731495671100704476[[#This Row],[Athletes]],Table4101317251247545298684173[SALDO 34]))</f>
        <v>0</v>
      </c>
      <c r="F20" s="19">
        <f>SUM(SUMIF(Table4101317251247545298684173[ATHLETE 1],Table61215192731495671100704476[[#This Row],[Athletes]],Table4101317251247545298684173[PM 12]),SUMIF(Table4101317251247545298684173[ATHLETE 2],Table61215192731495671100704476[[#This Row],[Athletes]],Table4101317251247545298684173[PM 12]),SUMIF(Table4101317251247545298684173[ATHLETE 3],Table61215192731495671100704476[[#This Row],[Athletes]],Table4101317251247545298684173[PM 34]),SUMIF(Table4101317251247545298684173[ATHLETE 4],Table61215192731495671100704476[[#This Row],[Athletes]],Table4101317251247545298684173[PM 34]))</f>
        <v>0</v>
      </c>
      <c r="G20" s="14" t="str">
        <f>IF(COUNTBLANK(Table4101317251247545298684173[[SCORE 1]:[SCORE 2]])=0,IF(RANK(H20,$H$17:$H$20)=1,RANK(H20,$H$17:$H$20)&amp;"st",IF(RANK(H20,$H$17:$H$20)=2,RANK(H20,$H$17:$H$20)&amp;"nd",RANK(H20,$H$17:$H$20)&amp;"th")),"")</f>
        <v/>
      </c>
      <c r="H20" s="51">
        <f>Table61215192731495671100704476[[#This Row],[WIN]]*1000000+Table61215192731495671100704476[[#This Row],[Saldo]]*1000+Table61215192731495671100704476[[#This Row],[PM]]</f>
        <v>0</v>
      </c>
      <c r="L20" s="2" t="str">
        <f t="shared" si="2"/>
        <v/>
      </c>
      <c r="M20" s="548" t="s">
        <v>199</v>
      </c>
      <c r="N20" s="549"/>
      <c r="O20" s="549"/>
      <c r="P20" s="549"/>
      <c r="Q20" s="549"/>
      <c r="R20" s="549"/>
      <c r="V20" s="66"/>
      <c r="W20" s="66"/>
      <c r="X20" s="66"/>
      <c r="Y20" s="66"/>
    </row>
    <row r="21" spans="1:25">
      <c r="L21" s="2"/>
      <c r="M21" s="418" t="s">
        <v>193</v>
      </c>
      <c r="N21" s="418" t="s">
        <v>194</v>
      </c>
      <c r="O21" s="542" t="s">
        <v>195</v>
      </c>
      <c r="P21" s="543"/>
      <c r="Q21" s="418" t="s">
        <v>196</v>
      </c>
      <c r="R21" s="418" t="s">
        <v>197</v>
      </c>
      <c r="V21" s="66"/>
      <c r="W21" s="66"/>
      <c r="X21" s="66"/>
      <c r="Y21" s="66"/>
    </row>
    <row r="22" spans="1:25">
      <c r="M22" s="431" t="str">
        <f>IF(COUNTBLANK($O$11:$P$11),"",IF($O$12="lose",$Q$11,$M$11))</f>
        <v/>
      </c>
      <c r="N22" s="431" t="str">
        <f>IF(COUNTBLANK($O$11:$P$11),"",IF($O$12="lose",$R$11,$N$11))</f>
        <v/>
      </c>
      <c r="O22" s="149"/>
      <c r="P22" s="150"/>
      <c r="Q22" s="431" t="str">
        <f>IF(COUNTBLANK($O$16:$P$16),"",IF($O$17="lose",$Q$16,$M$16))</f>
        <v/>
      </c>
      <c r="R22" s="431" t="str">
        <f>IF(COUNTBLANK($O$16:$P$16),"",IF($O$17="lose",$R$16,$N$16))</f>
        <v/>
      </c>
      <c r="V22" s="66"/>
      <c r="W22" s="66"/>
      <c r="X22" s="66"/>
      <c r="Y22" s="66"/>
    </row>
    <row r="23" spans="1:25">
      <c r="I23" s="2"/>
      <c r="J23" s="2"/>
      <c r="K23" s="2"/>
      <c r="M23" s="62" t="str">
        <f>IF(OR($O$22="",$P$22="",$O$23="win"),"",IF($M$24&gt;$N$24,$U$5,$U$6))</f>
        <v/>
      </c>
      <c r="N23" s="62" t="str">
        <f>IF(OR($O$22="",$P$22="",$O$23="win"),"",IF($M$24&lt;$N$24,$U$5,$U$6))</f>
        <v/>
      </c>
      <c r="O23" s="2" t="str">
        <f>IF(OR(O22="",P22=""),"",IF((O22&gt;P22),"WIN","LOSE"))</f>
        <v/>
      </c>
      <c r="P23" s="2" t="str">
        <f>IF(OR(O22="",P22=""),"",IF((O22&lt;P22),"WIN","LOSE"))</f>
        <v/>
      </c>
      <c r="Q23" s="62" t="str">
        <f>IF($P$23="lose",$U$5,"")</f>
        <v/>
      </c>
      <c r="R23" s="62" t="str">
        <f>IF($P$23="lose",$U$6,"")</f>
        <v/>
      </c>
      <c r="V23" s="66"/>
      <c r="W23" s="66"/>
      <c r="X23" s="66"/>
      <c r="Y23" s="66"/>
    </row>
    <row r="24" spans="1:25">
      <c r="I24" s="2"/>
      <c r="J24" s="2"/>
      <c r="K24" s="2"/>
      <c r="M24" s="61" t="str">
        <f>IF(M22="","",_xlfn.XLOOKUP(M22,$K$11:$K$22,$I$11:$I$22))</f>
        <v/>
      </c>
      <c r="N24" s="61" t="str">
        <f>IF(N22="","",_xlfn.XLOOKUP(N22,$K$11:$K$22,$I$11:$I$22))</f>
        <v/>
      </c>
      <c r="Q24" s="61" t="str">
        <f>IF(Q22="","",_xlfn.XLOOKUP(Q22,$K$11:$K$22,$I$11:$I$22))</f>
        <v/>
      </c>
      <c r="R24" s="61" t="str">
        <f>IF(R22="","",_xlfn.XLOOKUP(R22,$K$11:$K$22,$I$11:$I$22))</f>
        <v/>
      </c>
      <c r="V24" s="66"/>
      <c r="W24" s="66"/>
      <c r="X24" s="66"/>
      <c r="Y24" s="66"/>
    </row>
    <row r="25" spans="1:25">
      <c r="I25" s="2"/>
      <c r="J25" s="2"/>
      <c r="K25" s="2"/>
      <c r="V25" s="66"/>
      <c r="W25" s="66"/>
      <c r="X25" s="66"/>
      <c r="Y25" s="66"/>
    </row>
    <row r="26" spans="1:25">
      <c r="I26" s="2"/>
      <c r="J26" s="2"/>
      <c r="K26" s="2"/>
      <c r="V26" s="66"/>
      <c r="W26" s="66"/>
      <c r="X26" s="66"/>
      <c r="Y26" s="66"/>
    </row>
    <row r="27" spans="1:25" ht="30" thickBot="1">
      <c r="M27" s="548" t="s">
        <v>200</v>
      </c>
      <c r="N27" s="549"/>
      <c r="O27" s="549"/>
      <c r="P27" s="549"/>
      <c r="Q27" s="549"/>
      <c r="R27" s="549"/>
      <c r="V27" s="66"/>
      <c r="W27" s="66"/>
      <c r="X27" s="66"/>
      <c r="Y27" s="66"/>
    </row>
    <row r="28" spans="1:25" ht="15.95" thickBot="1">
      <c r="A28" s="123" t="s">
        <v>218</v>
      </c>
      <c r="B28" s="124">
        <v>45814</v>
      </c>
      <c r="M28" s="418" t="s">
        <v>193</v>
      </c>
      <c r="N28" s="418" t="s">
        <v>194</v>
      </c>
      <c r="O28" s="542" t="s">
        <v>195</v>
      </c>
      <c r="P28" s="543"/>
      <c r="Q28" s="418" t="s">
        <v>196</v>
      </c>
      <c r="R28" s="418" t="s">
        <v>197</v>
      </c>
      <c r="T28" s="66"/>
      <c r="U28" s="66"/>
      <c r="V28" s="66"/>
      <c r="W28" s="66"/>
      <c r="X28" s="66"/>
      <c r="Y28" s="66"/>
    </row>
    <row r="29" spans="1:25">
      <c r="M29" s="432" t="str">
        <f>IF(OR($O$22="",$P$22=""),"",IF($O$23="WIN",$M$22,$Q$22))</f>
        <v/>
      </c>
      <c r="N29" s="65"/>
      <c r="O29" s="149"/>
      <c r="P29" s="149"/>
      <c r="Q29" s="432" t="str">
        <f>IF(OR($O$22="",$P$22=""),"",IF($O$23="WIN",$N$22,$R$22))</f>
        <v/>
      </c>
      <c r="R29" s="28"/>
      <c r="T29" s="66"/>
      <c r="U29" s="66"/>
      <c r="V29" s="66"/>
      <c r="W29" s="66"/>
      <c r="X29" s="66"/>
      <c r="Y29" s="66"/>
    </row>
    <row r="30" spans="1:25">
      <c r="M30" s="18" t="str">
        <f>IF(OR($O$29="",$P$29=""),"",IF($O$30="win",$U$3,$U$4))</f>
        <v/>
      </c>
      <c r="O30" s="2" t="str">
        <f>IF(OR(O29="",P29=""),"",IF((O29&gt;P29),"WIN","LOSE"))</f>
        <v/>
      </c>
      <c r="P30" s="2" t="str">
        <f>IF(OR(O29="",P29=""),"",IF((O29&lt;P29),"WIN","LOSE"))</f>
        <v/>
      </c>
      <c r="Q30" s="18" t="str">
        <f>IF(OR($O$29="",$P$29=""),"",IF($P$30="win",$U$3,$U$4))</f>
        <v/>
      </c>
      <c r="T30" s="66"/>
      <c r="U30" s="66"/>
      <c r="V30" s="66"/>
      <c r="W30" s="66"/>
      <c r="X30" s="66"/>
      <c r="Y30" s="66"/>
    </row>
    <row r="31" spans="1:25">
      <c r="T31" s="66"/>
      <c r="U31" s="66"/>
      <c r="V31" s="66"/>
      <c r="W31" s="66"/>
      <c r="X31" s="66"/>
      <c r="Y31" s="66"/>
    </row>
  </sheetData>
  <sheetProtection algorithmName="SHA-512" hashValue="vHPi2AT41dXQFIlverclUH0WdcGtSlVr5cDI6Q2zRCcma3srKwP1HijxNMlkZNOPbnQbjX9bQ4wPurvKgv7TCQ==" saltValue="HrsHRJ6hqhU4/rQqWi3Usw==" spinCount="100000" sheet="1" objects="1" scenarios="1"/>
  <mergeCells count="10">
    <mergeCell ref="A1:A7"/>
    <mergeCell ref="A9:G9"/>
    <mergeCell ref="M9:R9"/>
    <mergeCell ref="O10:P10"/>
    <mergeCell ref="O15:P15"/>
    <mergeCell ref="M20:R20"/>
    <mergeCell ref="O21:P21"/>
    <mergeCell ref="M27:R27"/>
    <mergeCell ref="O28:P28"/>
    <mergeCell ref="T1:U1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7CC3-EFE0-EC45-813F-87B7D3BB4731}">
  <sheetPr codeName="Sheet21"/>
  <dimension ref="A1:U22"/>
  <sheetViews>
    <sheetView workbookViewId="0">
      <selection sqref="A1:A7"/>
    </sheetView>
    <sheetView workbookViewId="1">
      <selection sqref="A1:A7"/>
    </sheetView>
  </sheetViews>
  <sheetFormatPr defaultColWidth="8.85546875" defaultRowHeight="15"/>
  <cols>
    <col min="1" max="1" width="9.7109375" style="44" customWidth="1"/>
    <col min="2" max="2" width="12.85546875" style="44" bestFit="1" customWidth="1"/>
    <col min="3" max="3" width="12.7109375" style="44" bestFit="1" customWidth="1"/>
    <col min="4" max="4" width="12.85546875" style="44" bestFit="1" customWidth="1"/>
    <col min="5" max="6" width="9.7109375" style="44" customWidth="1"/>
    <col min="7" max="7" width="9.140625" style="44" bestFit="1" customWidth="1"/>
    <col min="8" max="8" width="11.28515625" style="44" bestFit="1" customWidth="1"/>
    <col min="9" max="9" width="12" style="44" bestFit="1" customWidth="1"/>
    <col min="10" max="10" width="10.7109375" style="44" bestFit="1" customWidth="1"/>
    <col min="11" max="11" width="8" style="44" bestFit="1" customWidth="1"/>
    <col min="12" max="12" width="9.140625" style="44" bestFit="1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1">
      <c r="A1" s="550" t="s">
        <v>322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323</v>
      </c>
      <c r="U1" s="545"/>
    </row>
    <row r="2" spans="1:21" ht="15" customHeight="1">
      <c r="A2" s="554"/>
      <c r="B2" s="430" t="s">
        <v>178</v>
      </c>
      <c r="C2" s="2" t="str">
        <f>B11</f>
        <v>A1</v>
      </c>
      <c r="D2" s="38" t="str">
        <f>B12</f>
        <v>A2</v>
      </c>
      <c r="E2" s="100"/>
      <c r="F2" s="101"/>
      <c r="G2" s="41" t="str">
        <f>B13</f>
        <v>A3</v>
      </c>
      <c r="H2" s="41"/>
      <c r="I2" s="41"/>
      <c r="J2" s="41"/>
      <c r="K2" s="41"/>
      <c r="L2" s="42" t="str">
        <f>B14</f>
        <v>A4</v>
      </c>
      <c r="M2" s="430" t="str">
        <f>IF(OR(Table41013422336386[[#This Row],[SCORE 1]]="",Table41013422336386[[#This Row],[SCORE 2]]=""),"",Table41013422336386[[#This Row],[SCORE 1]]-Table41013422336386[[#This Row],[SCORE 2]])</f>
        <v/>
      </c>
      <c r="N2" s="430" t="str">
        <f>IF(OR(Table41013422336386[[#This Row],[SCORE 1]]="",Table41013422336386[[#This Row],[SCORE 2]]=""),"",Table41013422336386[[#This Row],[SCORE 2]]-Table41013422336386[[#This Row],[SCORE 1]])</f>
        <v/>
      </c>
      <c r="O2" s="430" t="str">
        <f>IF(Table41013422336386[[#This Row],[SCORE 1]]="","",Table41013422336386[[#This Row],[SCORE 1]])</f>
        <v/>
      </c>
      <c r="P2" s="430" t="str">
        <f>IF(Table41013422336386[[#This Row],[SCORE 2]]="","",Table41013422336386[[#This Row],[SCORE 2]])</f>
        <v/>
      </c>
      <c r="Q2" s="430" t="str">
        <f>IF(OR(Table41013422336386[[#This Row],[SCORE 1]]="",Table41013422336386[[#This Row],[SCORE 2]]=""),"",IF(Table41013422336386[[#This Row],[SALDO 12]]&gt;0, "WIN","LOSE"))</f>
        <v/>
      </c>
      <c r="R2" s="430" t="str">
        <f>IF(OR(Table41013422336386[[#This Row],[SCORE 2]]="",Table41013422336386[[#This Row],[SCORE 1]]=""),"",IF(Table41013422336386[[#This Row],[SALDO 34]]&gt;0, "WIN","LOSE"))</f>
        <v/>
      </c>
      <c r="T2" s="35" t="s">
        <v>179</v>
      </c>
      <c r="U2" s="35" t="s">
        <v>8</v>
      </c>
    </row>
    <row r="3" spans="1:21">
      <c r="A3" s="554"/>
      <c r="B3" s="430" t="s">
        <v>180</v>
      </c>
      <c r="C3" s="2" t="str">
        <f>B17</f>
        <v>B1</v>
      </c>
      <c r="D3" s="38" t="str">
        <f>B18</f>
        <v>B2</v>
      </c>
      <c r="E3" s="100"/>
      <c r="F3" s="101"/>
      <c r="G3" s="41" t="str">
        <f>B19</f>
        <v>B3</v>
      </c>
      <c r="H3" s="41"/>
      <c r="I3" s="41"/>
      <c r="J3" s="41"/>
      <c r="K3" s="41"/>
      <c r="L3" s="42" t="str">
        <f>B20</f>
        <v>B4</v>
      </c>
      <c r="M3" s="430" t="str">
        <f>IF(OR(Table41013422336386[[#This Row],[SCORE 1]]="",Table41013422336386[[#This Row],[SCORE 2]]=""),"",Table41013422336386[[#This Row],[SCORE 1]]-Table41013422336386[[#This Row],[SCORE 2]])</f>
        <v/>
      </c>
      <c r="N3" s="430" t="str">
        <f>IF(OR(Table41013422336386[[#This Row],[SCORE 1]]="",Table41013422336386[[#This Row],[SCORE 2]]=""),"",Table41013422336386[[#This Row],[SCORE 2]]-Table41013422336386[[#This Row],[SCORE 1]])</f>
        <v/>
      </c>
      <c r="O3" s="430" t="str">
        <f>IF(Table41013422336386[[#This Row],[SCORE 1]]="","",Table41013422336386[[#This Row],[SCORE 1]])</f>
        <v/>
      </c>
      <c r="P3" s="430" t="str">
        <f>IF(Table41013422336386[[#This Row],[SCORE 2]]="","",Table41013422336386[[#This Row],[SCORE 2]])</f>
        <v/>
      </c>
      <c r="Q3" s="430" t="str">
        <f>IF(OR(Table41013422336386[[#This Row],[SCORE 1]]="",Table41013422336386[[#This Row],[SCORE 2]]=""),"",IF(Table41013422336386[[#This Row],[SALDO 12]]&gt;0, "WIN","LOSE"))</f>
        <v/>
      </c>
      <c r="R3" s="430" t="str">
        <f>IF(OR(Table41013422336386[[#This Row],[SCORE 2]]="",Table41013422336386[[#This Row],[SCORE 1]]=""),"",IF(Table41013422336386[[#This Row],[SALDO 34]]&gt;0, "WIN","LOSE"))</f>
        <v/>
      </c>
      <c r="T3" s="44" t="str">
        <f>IFERROR(_xlfn.XLOOKUP(Table157223544789[[#This Row],[Rank]],$M$19:$R$19,$M$18:$R$18),"")</f>
        <v/>
      </c>
      <c r="U3" s="2" t="s">
        <v>19</v>
      </c>
    </row>
    <row r="4" spans="1:21">
      <c r="A4" s="554"/>
      <c r="B4" s="430" t="s">
        <v>178</v>
      </c>
      <c r="C4" s="2" t="str">
        <f>B11</f>
        <v>A1</v>
      </c>
      <c r="D4" s="38" t="str">
        <f>B13</f>
        <v>A3</v>
      </c>
      <c r="E4" s="100"/>
      <c r="F4" s="101"/>
      <c r="G4" s="41" t="str">
        <f>B14</f>
        <v>A4</v>
      </c>
      <c r="H4" s="41"/>
      <c r="I4" s="41"/>
      <c r="J4" s="41"/>
      <c r="K4" s="41"/>
      <c r="L4" s="42" t="str">
        <f>B12</f>
        <v>A2</v>
      </c>
      <c r="M4" s="430" t="str">
        <f>IF(OR(Table41013422336386[[#This Row],[SCORE 1]]="",Table41013422336386[[#This Row],[SCORE 2]]=""),"",Table41013422336386[[#This Row],[SCORE 1]]-Table41013422336386[[#This Row],[SCORE 2]])</f>
        <v/>
      </c>
      <c r="N4" s="430" t="str">
        <f>IF(OR(Table41013422336386[[#This Row],[SCORE 1]]="",Table41013422336386[[#This Row],[SCORE 2]]=""),"",Table41013422336386[[#This Row],[SCORE 2]]-Table41013422336386[[#This Row],[SCORE 1]])</f>
        <v/>
      </c>
      <c r="O4" s="430" t="str">
        <f>IF(Table41013422336386[[#This Row],[SCORE 1]]="","",Table41013422336386[[#This Row],[SCORE 1]])</f>
        <v/>
      </c>
      <c r="P4" s="430" t="str">
        <f>IF(Table41013422336386[[#This Row],[SCORE 2]]="","",Table41013422336386[[#This Row],[SCORE 2]])</f>
        <v/>
      </c>
      <c r="Q4" s="430" t="str">
        <f>IF(OR(Table41013422336386[[#This Row],[SCORE 1]]="",Table41013422336386[[#This Row],[SCORE 2]]=""),"",IF(Table41013422336386[[#This Row],[SALDO 12]]&gt;0, "WIN","LOSE"))</f>
        <v/>
      </c>
      <c r="R4" s="430" t="str">
        <f>IF(OR(Table41013422336386[[#This Row],[SCORE 2]]="",Table41013422336386[[#This Row],[SCORE 1]]=""),"",IF(Table41013422336386[[#This Row],[SALDO 34]]&gt;0, "WIN","LOSE"))</f>
        <v/>
      </c>
      <c r="T4" s="44" t="str">
        <f>IFERROR(_xlfn.XLOOKUP(Table157223544789[[#This Row],[Rank]],$M$19:$R$19,$M$18:$R$18),"")</f>
        <v/>
      </c>
      <c r="U4" s="2" t="s">
        <v>22</v>
      </c>
    </row>
    <row r="5" spans="1:21">
      <c r="A5" s="554"/>
      <c r="B5" s="430" t="s">
        <v>180</v>
      </c>
      <c r="C5" s="2" t="str">
        <f>B17</f>
        <v>B1</v>
      </c>
      <c r="D5" s="38" t="str">
        <f>B19</f>
        <v>B3</v>
      </c>
      <c r="E5" s="100"/>
      <c r="F5" s="101"/>
      <c r="G5" s="41" t="str">
        <f>B20</f>
        <v>B4</v>
      </c>
      <c r="H5" s="41"/>
      <c r="I5" s="41"/>
      <c r="J5" s="41"/>
      <c r="K5" s="41"/>
      <c r="L5" s="42" t="str">
        <f>B18</f>
        <v>B2</v>
      </c>
      <c r="M5" s="430" t="str">
        <f>IF(OR(Table41013422336386[[#This Row],[SCORE 1]]="",Table41013422336386[[#This Row],[SCORE 2]]=""),"",Table41013422336386[[#This Row],[SCORE 1]]-Table41013422336386[[#This Row],[SCORE 2]])</f>
        <v/>
      </c>
      <c r="N5" s="430" t="str">
        <f>IF(OR(Table41013422336386[[#This Row],[SCORE 1]]="",Table41013422336386[[#This Row],[SCORE 2]]=""),"",Table41013422336386[[#This Row],[SCORE 2]]-Table41013422336386[[#This Row],[SCORE 1]])</f>
        <v/>
      </c>
      <c r="O5" s="430" t="str">
        <f>IF(Table41013422336386[[#This Row],[SCORE 1]]="","",Table41013422336386[[#This Row],[SCORE 1]])</f>
        <v/>
      </c>
      <c r="P5" s="430" t="str">
        <f>IF(Table41013422336386[[#This Row],[SCORE 2]]="","",Table41013422336386[[#This Row],[SCORE 2]])</f>
        <v/>
      </c>
      <c r="Q5" s="430" t="str">
        <f>IF(OR(Table41013422336386[[#This Row],[SCORE 1]]="",Table41013422336386[[#This Row],[SCORE 2]]=""),"",IF(Table41013422336386[[#This Row],[SALDO 12]]&gt;0, "WIN","LOSE"))</f>
        <v/>
      </c>
      <c r="R5" s="430" t="str">
        <f>IF(OR(Table41013422336386[[#This Row],[SCORE 2]]="",Table41013422336386[[#This Row],[SCORE 1]]=""),"",IF(Table41013422336386[[#This Row],[SALDO 34]]&gt;0, "WIN","LOSE"))</f>
        <v/>
      </c>
      <c r="T5" s="44" t="str">
        <f>IFERROR(_xlfn.XLOOKUP(Table157223544789[[#This Row],[Rank]],$M$12:$R$12,$M$11:$R$11),"")</f>
        <v/>
      </c>
      <c r="U5" s="2" t="s">
        <v>25</v>
      </c>
    </row>
    <row r="6" spans="1:21">
      <c r="A6" s="554"/>
      <c r="B6" s="430" t="s">
        <v>178</v>
      </c>
      <c r="C6" s="2" t="str">
        <f>B11</f>
        <v>A1</v>
      </c>
      <c r="D6" s="38" t="str">
        <f>B14</f>
        <v>A4</v>
      </c>
      <c r="E6" s="100"/>
      <c r="F6" s="101"/>
      <c r="G6" s="41" t="str">
        <f>B12</f>
        <v>A2</v>
      </c>
      <c r="H6" s="41"/>
      <c r="I6" s="41"/>
      <c r="J6" s="41"/>
      <c r="K6" s="41"/>
      <c r="L6" s="42" t="str">
        <f>B13</f>
        <v>A3</v>
      </c>
      <c r="M6" s="430" t="str">
        <f>IF(OR(Table41013422336386[[#This Row],[SCORE 1]]="",Table41013422336386[[#This Row],[SCORE 2]]=""),"",Table41013422336386[[#This Row],[SCORE 1]]-Table41013422336386[[#This Row],[SCORE 2]])</f>
        <v/>
      </c>
      <c r="N6" s="430" t="str">
        <f>IF(OR(Table41013422336386[[#This Row],[SCORE 1]]="",Table41013422336386[[#This Row],[SCORE 2]]=""),"",Table41013422336386[[#This Row],[SCORE 2]]-Table41013422336386[[#This Row],[SCORE 1]])</f>
        <v/>
      </c>
      <c r="O6" s="430" t="str">
        <f>IF(Table41013422336386[[#This Row],[SCORE 1]]="","",Table41013422336386[[#This Row],[SCORE 1]])</f>
        <v/>
      </c>
      <c r="P6" s="430" t="str">
        <f>IF(Table41013422336386[[#This Row],[SCORE 2]]="","",Table41013422336386[[#This Row],[SCORE 2]])</f>
        <v/>
      </c>
      <c r="Q6" s="430" t="str">
        <f>IF(OR(Table41013422336386[[#This Row],[SCORE 1]]="",Table41013422336386[[#This Row],[SCORE 2]]=""),"",IF(Table41013422336386[[#This Row],[SALDO 12]]&gt;0, "WIN","LOSE"))</f>
        <v/>
      </c>
      <c r="R6" s="430" t="str">
        <f>IF(OR(Table41013422336386[[#This Row],[SCORE 2]]="",Table41013422336386[[#This Row],[SCORE 1]]=""),"",IF(Table41013422336386[[#This Row],[SALDO 34]]&gt;0, "WIN","LOSE"))</f>
        <v/>
      </c>
      <c r="T6" s="44" t="str">
        <f>IFERROR(_xlfn.XLOOKUP(Table157223544789[[#This Row],[Rank]],$M$12:$R$12,$M$11:$R$11),"")</f>
        <v/>
      </c>
      <c r="U6" s="2" t="s">
        <v>28</v>
      </c>
    </row>
    <row r="7" spans="1:21">
      <c r="A7" s="554"/>
      <c r="B7" s="430" t="s">
        <v>180</v>
      </c>
      <c r="C7" s="2" t="str">
        <f>B17</f>
        <v>B1</v>
      </c>
      <c r="D7" s="38" t="str">
        <f>B20</f>
        <v>B4</v>
      </c>
      <c r="E7" s="100"/>
      <c r="F7" s="101"/>
      <c r="G7" s="41" t="str">
        <f>B18</f>
        <v>B2</v>
      </c>
      <c r="H7" s="41"/>
      <c r="I7" s="41"/>
      <c r="J7" s="41"/>
      <c r="K7" s="41"/>
      <c r="L7" s="42" t="str">
        <f>B19</f>
        <v>B3</v>
      </c>
      <c r="M7" s="430" t="str">
        <f>IF(OR(Table41013422336386[[#This Row],[SCORE 1]]="",Table41013422336386[[#This Row],[SCORE 2]]=""),"",Table41013422336386[[#This Row],[SCORE 1]]-Table41013422336386[[#This Row],[SCORE 2]])</f>
        <v/>
      </c>
      <c r="N7" s="430" t="str">
        <f>IF(OR(Table41013422336386[[#This Row],[SCORE 1]]="",Table41013422336386[[#This Row],[SCORE 2]]=""),"",Table41013422336386[[#This Row],[SCORE 2]]-Table41013422336386[[#This Row],[SCORE 1]])</f>
        <v/>
      </c>
      <c r="O7" s="430" t="str">
        <f>IF(Table41013422336386[[#This Row],[SCORE 1]]="","",Table41013422336386[[#This Row],[SCORE 1]])</f>
        <v/>
      </c>
      <c r="P7" s="430" t="str">
        <f>IF(Table41013422336386[[#This Row],[SCORE 2]]="","",Table41013422336386[[#This Row],[SCORE 2]])</f>
        <v/>
      </c>
      <c r="Q7" s="430" t="str">
        <f>IF(OR(Table41013422336386[[#This Row],[SCORE 1]]="",Table41013422336386[[#This Row],[SCORE 2]]=""),"",IF(Table41013422336386[[#This Row],[SALDO 12]]&gt;0, "WIN","LOSE"))</f>
        <v/>
      </c>
      <c r="R7" s="430" t="str">
        <f>IF(OR(Table41013422336386[[#This Row],[SCORE 2]]="",Table41013422336386[[#This Row],[SCORE 1]]=""),"",IF(Table41013422336386[[#This Row],[SALDO 34]]&gt;0, "WIN","LOSE"))</f>
        <v/>
      </c>
      <c r="T7" s="44" t="str" cm="1">
        <f t="array" ref="T7">_xlfn.TEXTJOIN(", ", TRUE, _xlfn._xlws.FILTER($K$11:$K$18, $J$11:$J$18=$U7, ""))</f>
        <v>A2</v>
      </c>
      <c r="U7" s="2" t="s">
        <v>31</v>
      </c>
    </row>
    <row r="8" spans="1:21" ht="30" customHeight="1">
      <c r="T8" s="44" t="str" cm="1">
        <f t="array" ref="T8">_xlfn.TEXTJOIN(", ", TRUE, _xlfn._xlws.FILTER($K$11:$K$18, $J$11:$J$18=$U8, ""))</f>
        <v/>
      </c>
      <c r="U8" s="2" t="s">
        <v>34</v>
      </c>
    </row>
    <row r="9" spans="1:21" ht="30" customHeight="1">
      <c r="A9" s="546" t="s">
        <v>182</v>
      </c>
      <c r="B9" s="547"/>
      <c r="C9" s="547"/>
      <c r="D9" s="547"/>
      <c r="E9" s="547"/>
      <c r="F9" s="547"/>
      <c r="G9" s="547"/>
      <c r="H9" s="420"/>
      <c r="I9" s="420"/>
      <c r="J9" s="420"/>
      <c r="K9" s="420"/>
      <c r="M9" s="548" t="s">
        <v>199</v>
      </c>
      <c r="N9" s="549"/>
      <c r="O9" s="549"/>
      <c r="P9" s="549"/>
      <c r="Q9" s="549"/>
      <c r="R9" s="549"/>
      <c r="T9" s="44" t="str" cm="1">
        <f t="array" ref="T9">_xlfn.TEXTJOIN(", ", TRUE, _xlfn._xlws.FILTER($K$11:$K$18, $J$11:$J$18=$U9, ""))</f>
        <v/>
      </c>
      <c r="U9" s="2" t="s">
        <v>37</v>
      </c>
    </row>
    <row r="10" spans="1:21" ht="15.95">
      <c r="A10" s="6" t="s">
        <v>184</v>
      </c>
      <c r="B10" s="43" t="s">
        <v>261</v>
      </c>
      <c r="C10" s="43" t="s">
        <v>186</v>
      </c>
      <c r="D10" s="43" t="s">
        <v>187</v>
      </c>
      <c r="E10" s="43" t="s">
        <v>188</v>
      </c>
      <c r="F10" s="43" t="s">
        <v>189</v>
      </c>
      <c r="G10" s="43" t="s">
        <v>8</v>
      </c>
      <c r="H10" s="425" t="s">
        <v>204</v>
      </c>
      <c r="I10" s="419" t="s">
        <v>191</v>
      </c>
      <c r="J10" s="419" t="s">
        <v>192</v>
      </c>
      <c r="K10" s="419" t="s">
        <v>1</v>
      </c>
      <c r="M10" s="424" t="s">
        <v>193</v>
      </c>
      <c r="N10" s="424" t="s">
        <v>194</v>
      </c>
      <c r="O10" s="552" t="s">
        <v>195</v>
      </c>
      <c r="P10" s="553"/>
      <c r="Q10" s="424" t="s">
        <v>196</v>
      </c>
      <c r="R10" s="424" t="s">
        <v>197</v>
      </c>
      <c r="T10" s="44" t="str" cm="1">
        <f t="array" ref="T10">_xlfn.TEXTJOIN(", ", TRUE, _xlfn._xlws.FILTER($K$11:$K$18, $J$11:$J$18=$U10, ""))</f>
        <v/>
      </c>
      <c r="U10" s="2" t="s">
        <v>41</v>
      </c>
    </row>
    <row r="11" spans="1:21">
      <c r="A11" s="3" t="s">
        <v>178</v>
      </c>
      <c r="B11" s="102" t="s">
        <v>205</v>
      </c>
      <c r="C11" s="14">
        <f>SUM(COUNTIFS(Table41013422336386[ATHLETE 1],Table361114532437487[[#This Row],[Athletes ]],Table41013422336386[RESULT 12],Table361114532437487[[#Headers],[WIN]]),COUNTIFS(Table41013422336386[ATHLETE 2],Table361114532437487[[#This Row],[Athletes ]],Table41013422336386[RESULT 12],Table361114532437487[[#Headers],[WIN]]),COUNTIFS(Table41013422336386[ATHLETE 3],Table361114532437487[[#This Row],[Athletes ]],Table41013422336386[RESULT 34],Table361114532437487[[#Headers],[WIN]]),COUNTIFS(Table41013422336386[ATHLETE 4],Table361114532437487[[#This Row],[Athletes ]],Table41013422336386[RESULT 34],Table361114532437487[[#Headers],[WIN]]))</f>
        <v>0</v>
      </c>
      <c r="D11" s="14">
        <f>SUM(COUNTIFS(Table41013422336386[ATHLETE 1],Table361114532437487[[#This Row],[Athletes ]],Table41013422336386[RESULT 12],Table361114532437487[[#Headers],[LOSE]]),COUNTIFS(Table41013422336386[ATHLETE 2],Table361114532437487[[#This Row],[Athletes ]],Table41013422336386[RESULT 12],Table361114532437487[[#Headers],[LOSE]]),COUNTIFS(Table41013422336386[ATHLETE 3],Table361114532437487[[#This Row],[Athletes ]],Table41013422336386[RESULT 34],Table361114532437487[[#Headers],[LOSE]]),COUNTIFS(Table41013422336386[ATHLETE 4],Table361114532437487[[#This Row],[Athletes ]],Table41013422336386[RESULT 34],Table361114532437487[[#Headers],[LOSE]]))</f>
        <v>0</v>
      </c>
      <c r="E11" s="46">
        <f>SUM(SUMIF(Table41013422336386[ATHLETE 1],Table361114532437487[[#This Row],[Athletes ]],Table41013422336386[SALDO 12]),SUMIF(Table41013422336386[ATHLETE 2],Table361114532437487[[#This Row],[Athletes ]],Table41013422336386[SALDO 12]),SUMIF(Table41013422336386[ATHLETE 3],Table361114532437487[[#This Row],[Athletes ]],Table41013422336386[SALDO 34]),SUMIF(Table41013422336386[ATHLETE 4],Table361114532437487[[#This Row],[Athletes ]],Table41013422336386[SALDO 34]))</f>
        <v>0</v>
      </c>
      <c r="F11" s="46">
        <f>SUM(SUMIF(Table41013422336386[ATHLETE 1],Table361114532437487[[#This Row],[Athletes ]],Table41013422336386[PM 12]),SUMIF(Table41013422336386[ATHLETE 2],Table361114532437487[[#This Row],[Athletes ]],Table41013422336386[PM 12]),SUMIF(Table41013422336386[ATHLETE 3],Table361114532437487[[#This Row],[Athletes ]],Table41013422336386[PM 34]),SUMIF(Table41013422336386[ATHLETE 4],Table361114532437487[[#This Row],[Athletes ]],Table41013422336386[PM 34]))</f>
        <v>0</v>
      </c>
      <c r="G11" s="427" t="str">
        <f>IF(COUNTBLANK(Table41013422336386[[SCORE 1]:[SCORE 2]])=0,IF(RANK(H11,$H$11:$H$14)=1,RANK(H11,$H$11:$H$14)&amp;"st",IF(RANK(H11,$H$11:$H$14)=2,RANK(H11,$H$11:$H$14)&amp;"nd",RANK(H11,$H$11:$H$14)&amp;"th")),"")</f>
        <v/>
      </c>
      <c r="H11" s="51">
        <f>Table361114532437487[[#This Row],[WIN]]*1000000+Table361114532437487[[#This Row],[Saldo]]*1000+Table361114532437487[[#This Row],[PM]]</f>
        <v>0</v>
      </c>
      <c r="I11" s="51">
        <f>H11</f>
        <v>0</v>
      </c>
      <c r="J11" s="51" t="str">
        <f>IF(RANK(I11,$I$11:$I$18)=1,RANK(I11,$I$11:$I$18)&amp;"st",IF(RANK(I11,$I$11:$I$18)=2,RANK(I11,$I$11:$I$18)&amp;"nd",RANK(I11,$I$11:$I$18)&amp;"th"))</f>
        <v>1st</v>
      </c>
      <c r="K11" s="51" t="str">
        <f>Table361114532437487[[#This Row],[Athletes ]]</f>
        <v>A1</v>
      </c>
      <c r="M11" s="8" t="str" cm="1">
        <f t="array" ref="M11">_xlfn.TEXTJOIN(", ", TRUE, _xlfn._xlws.FILTER($B$11:$B$14, $G$11:$G$14=$U$3, ""))</f>
        <v/>
      </c>
      <c r="N11" s="8" t="str" cm="1">
        <f t="array" ref="N11">_xlfn.TEXTJOIN(", ", TRUE, _xlfn._xlws.FILTER($B$17:$B$20, $G$17:$G$20=$U$3, ""))</f>
        <v/>
      </c>
      <c r="O11" s="99"/>
      <c r="P11" s="99"/>
      <c r="Q11" s="8" t="str" cm="1">
        <f t="array" ref="Q11">_xlfn.TEXTJOIN(", ", TRUE, _xlfn._xlws.FILTER($B$11:$B$14, $G$11:$G$14=$U$4, ""))</f>
        <v/>
      </c>
      <c r="R11" s="8" t="str" cm="1">
        <f t="array" ref="R11">_xlfn.TEXTJOIN(", ", TRUE, _xlfn._xlws.FILTER($B$17:$B$20, $G$17:$G$20=$U$4, ""))</f>
        <v/>
      </c>
    </row>
    <row r="12" spans="1:21">
      <c r="A12" s="3" t="s">
        <v>178</v>
      </c>
      <c r="B12" s="102" t="s">
        <v>206</v>
      </c>
      <c r="C12" s="14">
        <f>SUM(COUNTIFS(Table41013422336386[ATHLETE 1],Table361114532437487[[#This Row],[Athletes ]],Table41013422336386[RESULT 12],Table361114532437487[[#Headers],[WIN]]),COUNTIFS(Table41013422336386[ATHLETE 2],Table361114532437487[[#This Row],[Athletes ]],Table41013422336386[RESULT 12],Table361114532437487[[#Headers],[WIN]]),COUNTIFS(Table41013422336386[ATHLETE 3],Table361114532437487[[#This Row],[Athletes ]],Table41013422336386[RESULT 34],Table361114532437487[[#Headers],[WIN]]),COUNTIFS(Table41013422336386[ATHLETE 4],Table361114532437487[[#This Row],[Athletes ]],Table41013422336386[RESULT 34],Table361114532437487[[#Headers],[WIN]]))</f>
        <v>0</v>
      </c>
      <c r="D12" s="14">
        <f>SUM(COUNTIFS(Table41013422336386[ATHLETE 1],Table361114532437487[[#This Row],[Athletes ]],Table41013422336386[RESULT 12],Table361114532437487[[#Headers],[LOSE]]),COUNTIFS(Table41013422336386[ATHLETE 2],Table361114532437487[[#This Row],[Athletes ]],Table41013422336386[RESULT 12],Table361114532437487[[#Headers],[LOSE]]),COUNTIFS(Table41013422336386[ATHLETE 3],Table361114532437487[[#This Row],[Athletes ]],Table41013422336386[RESULT 34],Table361114532437487[[#Headers],[LOSE]]),COUNTIFS(Table41013422336386[ATHLETE 4],Table361114532437487[[#This Row],[Athletes ]],Table41013422336386[RESULT 34],Table361114532437487[[#Headers],[LOSE]]))</f>
        <v>0</v>
      </c>
      <c r="E12" s="46">
        <f>SUM(SUMIF(Table41013422336386[ATHLETE 1],Table361114532437487[[#This Row],[Athletes ]],Table41013422336386[SALDO 12]),SUMIF(Table41013422336386[ATHLETE 2],Table361114532437487[[#This Row],[Athletes ]],Table41013422336386[SALDO 12]),SUMIF(Table41013422336386[ATHLETE 3],Table361114532437487[[#This Row],[Athletes ]],Table41013422336386[SALDO 34]),SUMIF(Table41013422336386[ATHLETE 4],Table361114532437487[[#This Row],[Athletes ]],Table41013422336386[SALDO 34]))</f>
        <v>0</v>
      </c>
      <c r="F12" s="46">
        <f>SUM(SUMIF(Table41013422336386[ATHLETE 1],Table361114532437487[[#This Row],[Athletes ]],Table41013422336386[PM 12]),SUMIF(Table41013422336386[ATHLETE 2],Table361114532437487[[#This Row],[Athletes ]],Table41013422336386[PM 12]),SUMIF(Table41013422336386[ATHLETE 3],Table361114532437487[[#This Row],[Athletes ]],Table41013422336386[PM 34]),SUMIF(Table41013422336386[ATHLETE 4],Table361114532437487[[#This Row],[Athletes ]],Table41013422336386[PM 34]))</f>
        <v>0</v>
      </c>
      <c r="G12" s="427" t="str">
        <f>IF(COUNTBLANK(Table41013422336386[[SCORE 1]:[SCORE 2]])=0,IF(RANK(H12,$H$11:$H$14)=1,RANK(H12,$H$11:$H$14)&amp;"st",IF(RANK(H12,$H$11:$H$14)=2,RANK(H12,$H$11:$H$14)&amp;"nd",RANK(H12,$H$11:$H$14)&amp;"th")),"")</f>
        <v/>
      </c>
      <c r="H12" s="51">
        <f>Table361114532437487[[#This Row],[WIN]]*1000000+Table361114532437487[[#This Row],[Saldo]]*1000+Table361114532437487[[#This Row],[PM]]</f>
        <v>0</v>
      </c>
      <c r="I12" s="51">
        <f t="shared" ref="I12:I14" si="0">H12</f>
        <v>0</v>
      </c>
      <c r="J12" s="51" t="s">
        <v>31</v>
      </c>
      <c r="K12" s="51" t="str">
        <f>Table361114532437487[[#This Row],[Athletes ]]</f>
        <v>A2</v>
      </c>
      <c r="M12" s="52" t="str">
        <f>IF(OR($O$12="WIN",O11="",P11=""),"",IF($M$13&gt;$N$13,$U$5,$U$6))</f>
        <v/>
      </c>
      <c r="N12" s="52" t="str">
        <f>IF(OR(O11="",P11="",$O$12="WIN"),"",IF($M$13&lt;$N$13,$U$5,$U$6))</f>
        <v/>
      </c>
      <c r="O12" s="67" t="str">
        <f>IF(OR(O11="",P11=""),"",IF((O11&gt;P11),"WIN","LOSE"))</f>
        <v/>
      </c>
      <c r="P12" s="67" t="str">
        <f>IF(OR(O11="",P11=""),"",IF((O11&lt;P11),"WIN","LOSE"))</f>
        <v/>
      </c>
      <c r="Q12" s="52" t="str">
        <f>IF(OR(O11="",P11="",$P$12="WIN"),"",IF($Q$13&gt;$R$13,$U$5,$U$6))</f>
        <v/>
      </c>
      <c r="R12" s="52" t="str">
        <f>IF(OR(O11="",P11="",$P$12="WIN"),"",IF($M$13&lt;$N$13,$U$5,$U$6))</f>
        <v/>
      </c>
      <c r="S12" s="47"/>
    </row>
    <row r="13" spans="1:21" ht="15.95">
      <c r="A13" s="5" t="s">
        <v>178</v>
      </c>
      <c r="B13" s="102" t="s">
        <v>207</v>
      </c>
      <c r="C13" s="14">
        <f>SUM(COUNTIFS(Table41013422336386[ATHLETE 1],Table361114532437487[[#This Row],[Athletes ]],Table41013422336386[RESULT 12],Table361114532437487[[#Headers],[WIN]]),COUNTIFS(Table41013422336386[ATHLETE 2],Table361114532437487[[#This Row],[Athletes ]],Table41013422336386[RESULT 12],Table361114532437487[[#Headers],[WIN]]),COUNTIFS(Table41013422336386[ATHLETE 3],Table361114532437487[[#This Row],[Athletes ]],Table41013422336386[RESULT 34],Table361114532437487[[#Headers],[WIN]]),COUNTIFS(Table41013422336386[ATHLETE 4],Table361114532437487[[#This Row],[Athletes ]],Table41013422336386[RESULT 34],Table361114532437487[[#Headers],[WIN]]))</f>
        <v>0</v>
      </c>
      <c r="D13" s="14">
        <f>SUM(COUNTIFS(Table41013422336386[ATHLETE 1],Table361114532437487[[#This Row],[Athletes ]],Table41013422336386[RESULT 12],Table361114532437487[[#Headers],[LOSE]]),COUNTIFS(Table41013422336386[ATHLETE 2],Table361114532437487[[#This Row],[Athletes ]],Table41013422336386[RESULT 12],Table361114532437487[[#Headers],[LOSE]]),COUNTIFS(Table41013422336386[ATHLETE 3],Table361114532437487[[#This Row],[Athletes ]],Table41013422336386[RESULT 34],Table361114532437487[[#Headers],[LOSE]]),COUNTIFS(Table41013422336386[ATHLETE 4],Table361114532437487[[#This Row],[Athletes ]],Table41013422336386[RESULT 34],Table361114532437487[[#Headers],[LOSE]]))</f>
        <v>0</v>
      </c>
      <c r="E13" s="46">
        <f>SUM(SUMIF(Table41013422336386[ATHLETE 1],Table361114532437487[[#This Row],[Athletes ]],Table41013422336386[SALDO 12]),SUMIF(Table41013422336386[ATHLETE 2],Table361114532437487[[#This Row],[Athletes ]],Table41013422336386[SALDO 12]),SUMIF(Table41013422336386[ATHLETE 3],Table361114532437487[[#This Row],[Athletes ]],Table41013422336386[SALDO 34]),SUMIF(Table41013422336386[ATHLETE 4],Table361114532437487[[#This Row],[Athletes ]],Table41013422336386[SALDO 34]))</f>
        <v>0</v>
      </c>
      <c r="F13" s="46">
        <f>SUM(SUMIF(Table41013422336386[ATHLETE 1],Table361114532437487[[#This Row],[Athletes ]],Table41013422336386[PM 12]),SUMIF(Table41013422336386[ATHLETE 2],Table361114532437487[[#This Row],[Athletes ]],Table41013422336386[PM 12]),SUMIF(Table41013422336386[ATHLETE 3],Table361114532437487[[#This Row],[Athletes ]],Table41013422336386[PM 34]),SUMIF(Table41013422336386[ATHLETE 4],Table361114532437487[[#This Row],[Athletes ]],Table41013422336386[PM 34]))</f>
        <v>0</v>
      </c>
      <c r="G13" s="427" t="str">
        <f>IF(COUNTBLANK(Table41013422336386[[SCORE 1]:[SCORE 2]])=0,IF(RANK(H13,$H$11:$H$14)=1,RANK(H13,$H$11:$H$14)&amp;"st",IF(RANK(H13,$H$11:$H$14)=2,RANK(H13,$H$11:$H$14)&amp;"nd",RANK(H13,$H$11:$H$14)&amp;"th")),"")</f>
        <v/>
      </c>
      <c r="H13" s="51">
        <f>Table361114532437487[[#This Row],[WIN]]*1000000+Table361114532437487[[#This Row],[Saldo]]*1000+Table361114532437487[[#This Row],[PM]]</f>
        <v>0</v>
      </c>
      <c r="I13" s="51">
        <f t="shared" si="0"/>
        <v>0</v>
      </c>
      <c r="J13" s="51" t="str">
        <f t="shared" ref="J13:J18" si="1">IF(RANK(I13,$I$11:$I$18)=1,RANK(I13,$I$11:$I$18)&amp;"st",IF(RANK(I13,$I$11:$I$18)=2,RANK(I13,$I$11:$I$18)&amp;"nd",RANK(I13,$I$11:$I$18)&amp;"th"))</f>
        <v>1st</v>
      </c>
      <c r="K13" s="51" t="str">
        <f>Table361114532437487[[#This Row],[Athletes ]]</f>
        <v>A3</v>
      </c>
      <c r="M13" s="93" t="e">
        <f>_xlfn.XLOOKUP(M11,$K$11:$K$18,$I$11:$I$18)</f>
        <v>#N/A</v>
      </c>
      <c r="N13" s="93" t="e">
        <f>_xlfn.XLOOKUP(N11,$K$11:$K$18,$I$11:$I$18)</f>
        <v>#N/A</v>
      </c>
      <c r="O13" s="94"/>
      <c r="P13" s="94"/>
      <c r="Q13" s="94" t="e">
        <f>_xlfn.XLOOKUP(Q11,$K$11:$K$18,$I$11:$I$18)</f>
        <v>#N/A</v>
      </c>
      <c r="R13" s="94" t="e">
        <f>_xlfn.XLOOKUP(R11,$K$11:$K$18,$I$11:$I$18)</f>
        <v>#N/A</v>
      </c>
    </row>
    <row r="14" spans="1:21">
      <c r="A14" s="3" t="s">
        <v>178</v>
      </c>
      <c r="B14" s="102" t="s">
        <v>208</v>
      </c>
      <c r="C14" s="14">
        <f>SUM(COUNTIFS(Table41013422336386[ATHLETE 1],Table361114532437487[[#This Row],[Athletes ]],Table41013422336386[RESULT 12],Table361114532437487[[#Headers],[WIN]]),COUNTIFS(Table41013422336386[ATHLETE 2],Table361114532437487[[#This Row],[Athletes ]],Table41013422336386[RESULT 12],Table361114532437487[[#Headers],[WIN]]),COUNTIFS(Table41013422336386[ATHLETE 3],Table361114532437487[[#This Row],[Athletes ]],Table41013422336386[RESULT 34],Table361114532437487[[#Headers],[WIN]]),COUNTIFS(Table41013422336386[ATHLETE 4],Table361114532437487[[#This Row],[Athletes ]],Table41013422336386[RESULT 34],Table361114532437487[[#Headers],[WIN]]))</f>
        <v>0</v>
      </c>
      <c r="D14" s="14">
        <f>SUM(COUNTIFS(Table41013422336386[ATHLETE 1],Table361114532437487[[#This Row],[Athletes ]],Table41013422336386[RESULT 12],Table361114532437487[[#Headers],[LOSE]]),COUNTIFS(Table41013422336386[ATHLETE 2],Table361114532437487[[#This Row],[Athletes ]],Table41013422336386[RESULT 12],Table361114532437487[[#Headers],[LOSE]]),COUNTIFS(Table41013422336386[ATHLETE 3],Table361114532437487[[#This Row],[Athletes ]],Table41013422336386[RESULT 34],Table361114532437487[[#Headers],[LOSE]]),COUNTIFS(Table41013422336386[ATHLETE 4],Table361114532437487[[#This Row],[Athletes ]],Table41013422336386[RESULT 34],Table361114532437487[[#Headers],[LOSE]]))</f>
        <v>0</v>
      </c>
      <c r="E14" s="46">
        <f>SUM(SUMIF(Table41013422336386[ATHLETE 1],Table361114532437487[[#This Row],[Athletes ]],Table41013422336386[SALDO 12]),SUMIF(Table41013422336386[ATHLETE 2],Table361114532437487[[#This Row],[Athletes ]],Table41013422336386[SALDO 12]),SUMIF(Table41013422336386[ATHLETE 3],Table361114532437487[[#This Row],[Athletes ]],Table41013422336386[SALDO 34]),SUMIF(Table41013422336386[ATHLETE 4],Table361114532437487[[#This Row],[Athletes ]],Table41013422336386[SALDO 34]))</f>
        <v>0</v>
      </c>
      <c r="F14" s="46">
        <f>SUM(SUMIF(Table41013422336386[ATHLETE 1],Table361114532437487[[#This Row],[Athletes ]],Table41013422336386[PM 12]),SUMIF(Table41013422336386[ATHLETE 2],Table361114532437487[[#This Row],[Athletes ]],Table41013422336386[PM 12]),SUMIF(Table41013422336386[ATHLETE 3],Table361114532437487[[#This Row],[Athletes ]],Table41013422336386[PM 34]),SUMIF(Table41013422336386[ATHLETE 4],Table361114532437487[[#This Row],[Athletes ]],Table41013422336386[PM 34]))</f>
        <v>0</v>
      </c>
      <c r="G14" s="427" t="str">
        <f>IF(COUNTBLANK(Table41013422336386[[SCORE 1]:[SCORE 2]])=0,IF(RANK(H14,$H$11:$H$14)=1,RANK(H14,$H$11:$H$14)&amp;"st",IF(RANK(H14,$H$11:$H$14)=2,RANK(H14,$H$11:$H$14)&amp;"nd",RANK(H14,$H$11:$H$14)&amp;"th")),"")</f>
        <v/>
      </c>
      <c r="H14" s="51">
        <f>Table361114532437487[[#This Row],[WIN]]*1000000+Table361114532437487[[#This Row],[Saldo]]*1000+Table361114532437487[[#This Row],[PM]]</f>
        <v>0</v>
      </c>
      <c r="I14" s="51">
        <f t="shared" si="0"/>
        <v>0</v>
      </c>
      <c r="J14" s="51" t="str">
        <f t="shared" si="1"/>
        <v>1st</v>
      </c>
      <c r="K14" s="51" t="str">
        <f>Table361114532437487[[#This Row],[Athletes ]]</f>
        <v>A4</v>
      </c>
      <c r="M14" s="94"/>
      <c r="N14" s="94"/>
      <c r="O14" s="94"/>
      <c r="P14" s="94"/>
      <c r="Q14" s="94"/>
      <c r="R14" s="94"/>
    </row>
    <row r="15" spans="1:21">
      <c r="I15" s="2">
        <f>H17</f>
        <v>0</v>
      </c>
      <c r="J15" s="51" t="str">
        <f t="shared" si="1"/>
        <v>1st</v>
      </c>
      <c r="K15" s="51" t="str">
        <f>B17</f>
        <v>B1</v>
      </c>
    </row>
    <row r="16" spans="1:21" ht="28.5" customHeight="1">
      <c r="A16" s="9" t="s">
        <v>184</v>
      </c>
      <c r="B16" s="48" t="s">
        <v>261</v>
      </c>
      <c r="C16" s="48" t="s">
        <v>186</v>
      </c>
      <c r="D16" s="48" t="s">
        <v>187</v>
      </c>
      <c r="E16" s="48" t="s">
        <v>188</v>
      </c>
      <c r="F16" s="48" t="s">
        <v>189</v>
      </c>
      <c r="G16" s="43" t="s">
        <v>8</v>
      </c>
      <c r="H16" s="425" t="s">
        <v>204</v>
      </c>
      <c r="I16" s="2">
        <f t="shared" ref="I16:I18" si="2">H18</f>
        <v>0</v>
      </c>
      <c r="J16" s="51" t="str">
        <f t="shared" si="1"/>
        <v>1st</v>
      </c>
      <c r="K16" s="51" t="str">
        <f>B18</f>
        <v>B2</v>
      </c>
      <c r="M16" s="548" t="s">
        <v>200</v>
      </c>
      <c r="N16" s="549"/>
      <c r="O16" s="549"/>
      <c r="P16" s="549"/>
      <c r="Q16" s="549"/>
      <c r="R16" s="549"/>
    </row>
    <row r="17" spans="1:18">
      <c r="A17" s="430" t="s">
        <v>180</v>
      </c>
      <c r="B17" s="102" t="s">
        <v>209</v>
      </c>
      <c r="C17" s="14">
        <f>SUM(COUNTIFS(Table41013422336386[ATHLETE 1],Table612156213443588[[#This Row],[Athletes ]],Table41013422336386[RESULT 12],Table361114532437487[[#Headers],[WIN]]),COUNTIFS(Table41013422336386[ATHLETE 2],Table612156213443588[[#This Row],[Athletes ]],Table41013422336386[RESULT 12],Table361114532437487[[#Headers],[WIN]]),COUNTIFS(Table41013422336386[ATHLETE 3],Table612156213443588[[#This Row],[Athletes ]],Table41013422336386[RESULT 34],Table361114532437487[[#Headers],[WIN]]),COUNTIFS(Table41013422336386[ATHLETE 4],Table612156213443588[[#This Row],[Athletes ]],Table41013422336386[RESULT 34],Table361114532437487[[#Headers],[WIN]]))</f>
        <v>0</v>
      </c>
      <c r="D17" s="14">
        <f>SUM(COUNTIFS(Table41013422336386[ATHLETE 1],Table612156213443588[[#This Row],[Athletes ]],Table41013422336386[RESULT 12],Table361114532437487[[#Headers],[LOSE]]),COUNTIFS(Table41013422336386[ATHLETE 2],Table612156213443588[[#This Row],[Athletes ]],Table41013422336386[RESULT 12],Table361114532437487[[#Headers],[LOSE]]),COUNTIFS(Table41013422336386[ATHLETE 3],Table612156213443588[[#This Row],[Athletes ]],Table41013422336386[RESULT 34],Table361114532437487[[#Headers],[LOSE]]),COUNTIFS(Table41013422336386[ATHLETE 4],Table612156213443588[[#This Row],[Athletes ]],Table41013422336386[RESULT 34],Table361114532437487[[#Headers],[LOSE]]))</f>
        <v>0</v>
      </c>
      <c r="E17" s="46">
        <f>SUM(SUMIF(Table41013422336386[ATHLETE 1],Table612156213443588[[#This Row],[Athletes ]],Table41013422336386[SALDO 12]),SUMIF(Table41013422336386[ATHLETE 2],Table612156213443588[[#This Row],[Athletes ]],Table41013422336386[SALDO 12]),SUMIF(Table41013422336386[ATHLETE 3],Table612156213443588[[#This Row],[Athletes ]],Table41013422336386[SALDO 34]),SUMIF(Table41013422336386[ATHLETE 4],Table612156213443588[[#This Row],[Athletes ]],Table41013422336386[SALDO 34]))</f>
        <v>0</v>
      </c>
      <c r="F17" s="46">
        <f>SUM(SUMIF(Table41013422336386[ATHLETE 1],Table612156213443588[[#This Row],[Athletes ]],Table41013422336386[PM 12]),SUMIF(Table41013422336386[ATHLETE 2],Table612156213443588[[#This Row],[Athletes ]],Table41013422336386[PM 12]),SUMIF(Table41013422336386[ATHLETE 3],Table612156213443588[[#This Row],[Athletes ]],Table41013422336386[PM 34]),SUMIF(Table41013422336386[ATHLETE 4],Table612156213443588[[#This Row],[Athletes ]],Table41013422336386[PM 34]))</f>
        <v>0</v>
      </c>
      <c r="G17" s="427" t="str">
        <f>IF(COUNTBLANK(Table41013422336386[[SCORE 1]:[SCORE 2]])=0,IF(RANK(H17,$H$17:$H$20)=1,RANK(H17,$H$17:$H$20)&amp;"st",IF(RANK(H17,$H$17:$H$20)=2,RANK(H17,$H$17:$H$20)&amp;"nd",RANK(H17,$H$17:$H$20)&amp;"th")),"")</f>
        <v/>
      </c>
      <c r="H17" s="51">
        <f>Table612156213443588[[#This Row],[WIN]]*1000000+Table612156213443588[[#This Row],[Saldo]]*1000+Table612156213443588[[#This Row],[PM]]</f>
        <v>0</v>
      </c>
      <c r="I17" s="2">
        <f t="shared" si="2"/>
        <v>0</v>
      </c>
      <c r="J17" s="51" t="str">
        <f t="shared" si="1"/>
        <v>1st</v>
      </c>
      <c r="K17" s="51" t="str">
        <f>B19</f>
        <v>B3</v>
      </c>
      <c r="M17" s="424" t="s">
        <v>193</v>
      </c>
      <c r="N17" s="424" t="s">
        <v>194</v>
      </c>
      <c r="O17" s="552" t="s">
        <v>195</v>
      </c>
      <c r="P17" s="553"/>
      <c r="Q17" s="424" t="s">
        <v>196</v>
      </c>
      <c r="R17" s="424" t="s">
        <v>197</v>
      </c>
    </row>
    <row r="18" spans="1:18">
      <c r="A18" s="430" t="s">
        <v>180</v>
      </c>
      <c r="B18" s="102" t="s">
        <v>210</v>
      </c>
      <c r="C18" s="14">
        <f>SUM(COUNTIFS(Table41013422336386[ATHLETE 1],Table612156213443588[[#This Row],[Athletes ]],Table41013422336386[RESULT 12],Table361114532437487[[#Headers],[WIN]]),COUNTIFS(Table41013422336386[ATHLETE 2],Table612156213443588[[#This Row],[Athletes ]],Table41013422336386[RESULT 12],Table361114532437487[[#Headers],[WIN]]),COUNTIFS(Table41013422336386[ATHLETE 3],Table612156213443588[[#This Row],[Athletes ]],Table41013422336386[RESULT 34],Table361114532437487[[#Headers],[WIN]]),COUNTIFS(Table41013422336386[ATHLETE 4],Table612156213443588[[#This Row],[Athletes ]],Table41013422336386[RESULT 34],Table361114532437487[[#Headers],[WIN]]))</f>
        <v>0</v>
      </c>
      <c r="D18" s="14">
        <f>SUM(COUNTIFS(Table41013422336386[ATHLETE 1],Table612156213443588[[#This Row],[Athletes ]],Table41013422336386[RESULT 12],Table361114532437487[[#Headers],[LOSE]]),COUNTIFS(Table41013422336386[ATHLETE 2],Table612156213443588[[#This Row],[Athletes ]],Table41013422336386[RESULT 12],Table361114532437487[[#Headers],[LOSE]]),COUNTIFS(Table41013422336386[ATHLETE 3],Table612156213443588[[#This Row],[Athletes ]],Table41013422336386[RESULT 34],Table361114532437487[[#Headers],[LOSE]]),COUNTIFS(Table41013422336386[ATHLETE 4],Table612156213443588[[#This Row],[Athletes ]],Table41013422336386[RESULT 34],Table361114532437487[[#Headers],[LOSE]]))</f>
        <v>0</v>
      </c>
      <c r="E18" s="46">
        <f>SUM(SUMIF(Table41013422336386[ATHLETE 1],Table612156213443588[[#This Row],[Athletes ]],Table41013422336386[SALDO 12]),SUMIF(Table41013422336386[ATHLETE 2],Table612156213443588[[#This Row],[Athletes ]],Table41013422336386[SALDO 12]),SUMIF(Table41013422336386[ATHLETE 3],Table612156213443588[[#This Row],[Athletes ]],Table41013422336386[SALDO 34]),SUMIF(Table41013422336386[ATHLETE 4],Table612156213443588[[#This Row],[Athletes ]],Table41013422336386[SALDO 34]))</f>
        <v>0</v>
      </c>
      <c r="F18" s="46">
        <f>SUM(SUMIF(Table41013422336386[ATHLETE 1],Table612156213443588[[#This Row],[Athletes ]],Table41013422336386[PM 12]),SUMIF(Table41013422336386[ATHLETE 2],Table612156213443588[[#This Row],[Athletes ]],Table41013422336386[PM 12]),SUMIF(Table41013422336386[ATHLETE 3],Table612156213443588[[#This Row],[Athletes ]],Table41013422336386[PM 34]),SUMIF(Table41013422336386[ATHLETE 4],Table612156213443588[[#This Row],[Athletes ]],Table41013422336386[PM 34]))</f>
        <v>0</v>
      </c>
      <c r="G18" s="427" t="str">
        <f>IF(COUNTBLANK(Table41013422336386[[SCORE 1]:[SCORE 2]])=0,IF(RANK(H18,$H$17:$H$20)=1,RANK(H18,$H$17:$H$20)&amp;"st",IF(RANK(H18,$H$17:$H$20)=2,RANK(H18,$H$17:$H$20)&amp;"nd",RANK(H18,$H$17:$H$20)&amp;"th")),"")</f>
        <v/>
      </c>
      <c r="H18" s="51">
        <f>Table612156213443588[[#This Row],[WIN]]*1000000+Table612156213443588[[#This Row],[Saldo]]*1000+Table612156213443588[[#This Row],[PM]]</f>
        <v>0</v>
      </c>
      <c r="I18" s="2">
        <f t="shared" si="2"/>
        <v>0</v>
      </c>
      <c r="J18" s="51" t="str">
        <f t="shared" si="1"/>
        <v>1st</v>
      </c>
      <c r="K18" s="51" t="str">
        <f>B20</f>
        <v>B4</v>
      </c>
      <c r="M18" s="432" t="str">
        <f>IF(OR($O$11="",$P$11=""),"",IF($O$12="WIN",$M$11,$Q$11))</f>
        <v/>
      </c>
      <c r="N18" s="115"/>
      <c r="O18" s="99"/>
      <c r="P18" s="151"/>
      <c r="Q18" s="432" t="str">
        <f>IF(OR($O$11="",$P$11=""),"",IF($O$12="WIN",$N$11,$R$11))</f>
        <v/>
      </c>
      <c r="R18" s="115"/>
    </row>
    <row r="19" spans="1:18">
      <c r="A19" s="430" t="s">
        <v>180</v>
      </c>
      <c r="B19" s="102" t="s">
        <v>211</v>
      </c>
      <c r="C19" s="14">
        <f>SUM(COUNTIFS(Table41013422336386[ATHLETE 1],Table612156213443588[[#This Row],[Athletes ]],Table41013422336386[RESULT 12],Table361114532437487[[#Headers],[WIN]]),COUNTIFS(Table41013422336386[ATHLETE 2],Table612156213443588[[#This Row],[Athletes ]],Table41013422336386[RESULT 12],Table361114532437487[[#Headers],[WIN]]),COUNTIFS(Table41013422336386[ATHLETE 3],Table612156213443588[[#This Row],[Athletes ]],Table41013422336386[RESULT 34],Table361114532437487[[#Headers],[WIN]]),COUNTIFS(Table41013422336386[ATHLETE 4],Table612156213443588[[#This Row],[Athletes ]],Table41013422336386[RESULT 34],Table361114532437487[[#Headers],[WIN]]))</f>
        <v>0</v>
      </c>
      <c r="D19" s="14">
        <f>SUM(COUNTIFS(Table41013422336386[ATHLETE 1],Table612156213443588[[#This Row],[Athletes ]],Table41013422336386[RESULT 12],Table361114532437487[[#Headers],[LOSE]]),COUNTIFS(Table41013422336386[ATHLETE 2],Table612156213443588[[#This Row],[Athletes ]],Table41013422336386[RESULT 12],Table361114532437487[[#Headers],[LOSE]]),COUNTIFS(Table41013422336386[ATHLETE 3],Table612156213443588[[#This Row],[Athletes ]],Table41013422336386[RESULT 34],Table361114532437487[[#Headers],[LOSE]]),COUNTIFS(Table41013422336386[ATHLETE 4],Table612156213443588[[#This Row],[Athletes ]],Table41013422336386[RESULT 34],Table361114532437487[[#Headers],[LOSE]]))</f>
        <v>0</v>
      </c>
      <c r="E19" s="46">
        <f>SUM(SUMIF(Table41013422336386[ATHLETE 1],Table612156213443588[[#This Row],[Athletes ]],Table41013422336386[SALDO 12]),SUMIF(Table41013422336386[ATHLETE 2],Table612156213443588[[#This Row],[Athletes ]],Table41013422336386[SALDO 12]),SUMIF(Table41013422336386[ATHLETE 3],Table612156213443588[[#This Row],[Athletes ]],Table41013422336386[SALDO 34]),SUMIF(Table41013422336386[ATHLETE 4],Table612156213443588[[#This Row],[Athletes ]],Table41013422336386[SALDO 34]))</f>
        <v>0</v>
      </c>
      <c r="F19" s="46">
        <f>SUM(SUMIF(Table41013422336386[ATHLETE 1],Table612156213443588[[#This Row],[Athletes ]],Table41013422336386[PM 12]),SUMIF(Table41013422336386[ATHLETE 2],Table612156213443588[[#This Row],[Athletes ]],Table41013422336386[PM 12]),SUMIF(Table41013422336386[ATHLETE 3],Table612156213443588[[#This Row],[Athletes ]],Table41013422336386[PM 34]),SUMIF(Table41013422336386[ATHLETE 4],Table612156213443588[[#This Row],[Athletes ]],Table41013422336386[PM 34]))</f>
        <v>0</v>
      </c>
      <c r="G19" s="427" t="str">
        <f>IF(COUNTBLANK(Table41013422336386[[SCORE 1]:[SCORE 2]])=0,IF(RANK(H19,$H$17:$H$20)=1,RANK(H19,$H$17:$H$20)&amp;"st",IF(RANK(H19,$H$17:$H$20)=2,RANK(H19,$H$17:$H$20)&amp;"nd",RANK(H19,$H$17:$H$20)&amp;"th")),"")</f>
        <v/>
      </c>
      <c r="H19" s="51">
        <f>Table612156213443588[[#This Row],[WIN]]*1000000+Table612156213443588[[#This Row],[Saldo]]*1000+Table612156213443588[[#This Row],[PM]]</f>
        <v>0</v>
      </c>
      <c r="I19" s="51"/>
      <c r="J19" s="51"/>
      <c r="K19" s="51"/>
      <c r="M19" s="52" t="str">
        <f>IF(OR($O$18="",$P$18=""),"",IF($O$19="win",$U$3,$U$4))</f>
        <v/>
      </c>
      <c r="N19" s="92"/>
      <c r="O19" s="67" t="str">
        <f>IF(OR(O18="",P18=""),"",IF((O18&gt;P18),"WIN","LOSE"))</f>
        <v/>
      </c>
      <c r="P19" s="67" t="str">
        <f>IF(OR(O18="",P18=""),"",IF((O18&lt;P18),"WIN","LOSE"))</f>
        <v/>
      </c>
      <c r="Q19" s="52" t="str">
        <f>IF(OR($O$18="",$P$18=""),"",IF($P$19="win",$U$3,$U$4))</f>
        <v/>
      </c>
      <c r="R19" s="92"/>
    </row>
    <row r="20" spans="1:18">
      <c r="A20" s="11" t="s">
        <v>180</v>
      </c>
      <c r="B20" s="113" t="s">
        <v>212</v>
      </c>
      <c r="C20" s="14">
        <f>SUM(COUNTIFS(Table41013422336386[ATHLETE 1],Table612156213443588[[#This Row],[Athletes ]],Table41013422336386[RESULT 12],Table361114532437487[[#Headers],[WIN]]),COUNTIFS(Table41013422336386[ATHLETE 2],Table612156213443588[[#This Row],[Athletes ]],Table41013422336386[RESULT 12],Table361114532437487[[#Headers],[WIN]]),COUNTIFS(Table41013422336386[ATHLETE 3],Table612156213443588[[#This Row],[Athletes ]],Table41013422336386[RESULT 34],Table361114532437487[[#Headers],[WIN]]),COUNTIFS(Table41013422336386[ATHLETE 4],Table612156213443588[[#This Row],[Athletes ]],Table41013422336386[RESULT 34],Table361114532437487[[#Headers],[WIN]]))</f>
        <v>0</v>
      </c>
      <c r="D20" s="14">
        <f>SUM(COUNTIFS(Table41013422336386[ATHLETE 1],Table612156213443588[[#This Row],[Athletes ]],Table41013422336386[RESULT 12],Table361114532437487[[#Headers],[LOSE]]),COUNTIFS(Table41013422336386[ATHLETE 2],Table612156213443588[[#This Row],[Athletes ]],Table41013422336386[RESULT 12],Table361114532437487[[#Headers],[LOSE]]),COUNTIFS(Table41013422336386[ATHLETE 3],Table612156213443588[[#This Row],[Athletes ]],Table41013422336386[RESULT 34],Table361114532437487[[#Headers],[LOSE]]),COUNTIFS(Table41013422336386[ATHLETE 4],Table612156213443588[[#This Row],[Athletes ]],Table41013422336386[RESULT 34],Table361114532437487[[#Headers],[LOSE]]))</f>
        <v>0</v>
      </c>
      <c r="E20" s="46">
        <f>SUM(SUMIF(Table41013422336386[ATHLETE 1],Table612156213443588[[#This Row],[Athletes ]],Table41013422336386[SALDO 12]),SUMIF(Table41013422336386[ATHLETE 2],Table612156213443588[[#This Row],[Athletes ]],Table41013422336386[SALDO 12]),SUMIF(Table41013422336386[ATHLETE 3],Table612156213443588[[#This Row],[Athletes ]],Table41013422336386[SALDO 34]),SUMIF(Table41013422336386[ATHLETE 4],Table612156213443588[[#This Row],[Athletes ]],Table41013422336386[SALDO 34]))</f>
        <v>0</v>
      </c>
      <c r="F20" s="46">
        <f>SUM(SUMIF(Table41013422336386[ATHLETE 1],Table612156213443588[[#This Row],[Athletes ]],Table41013422336386[PM 12]),SUMIF(Table41013422336386[ATHLETE 2],Table612156213443588[[#This Row],[Athletes ]],Table41013422336386[PM 12]),SUMIF(Table41013422336386[ATHLETE 3],Table612156213443588[[#This Row],[Athletes ]],Table41013422336386[PM 34]),SUMIF(Table41013422336386[ATHLETE 4],Table612156213443588[[#This Row],[Athletes ]],Table41013422336386[PM 34]))</f>
        <v>0</v>
      </c>
      <c r="G20" s="427" t="str">
        <f>IF(COUNTBLANK(Table41013422336386[[SCORE 1]:[SCORE 2]])=0,IF(RANK(H20,$H$17:$H$20)=1,RANK(H20,$H$17:$H$20)&amp;"st",IF(RANK(H20,$H$17:$H$20)=2,RANK(H20,$H$17:$H$20)&amp;"nd",RANK(H20,$H$17:$H$20)&amp;"th")),"")</f>
        <v/>
      </c>
      <c r="H20" s="51">
        <f>Table612156213443588[[#This Row],[WIN]]*1000000+Table612156213443588[[#This Row],[Saldo]]*1000+Table612156213443588[[#This Row],[PM]]</f>
        <v>0</v>
      </c>
      <c r="I20" s="51"/>
      <c r="J20" s="51"/>
      <c r="K20" s="51"/>
      <c r="M20" s="94"/>
      <c r="N20" s="94"/>
      <c r="O20" s="94"/>
      <c r="P20" s="94"/>
      <c r="Q20" s="94"/>
      <c r="R20" s="94"/>
    </row>
    <row r="21" spans="1:18" ht="15.95" thickBot="1">
      <c r="M21" s="94"/>
      <c r="N21" s="94"/>
      <c r="O21" s="94"/>
      <c r="P21" s="94"/>
      <c r="Q21" s="94"/>
      <c r="R21" s="94"/>
    </row>
    <row r="22" spans="1:18" ht="15.95" thickBot="1">
      <c r="A22" s="123" t="s">
        <v>218</v>
      </c>
      <c r="B22" s="124">
        <v>45814</v>
      </c>
    </row>
  </sheetData>
  <sheetProtection algorithmName="SHA-512" hashValue="8yBr8aRWmxLJDh9ZtNuWmE0Yk7J/XJxjQevHDl3T3ldC3APgjDyg2OtsPWDrbBOuzbBtDJOVGpyPWc9XlJId4g==" saltValue="gzOj8qpHyTcYtse499zgCw==" spinCount="100000" sheet="1" objects="1" scenarios="1"/>
  <mergeCells count="7">
    <mergeCell ref="O17:P17"/>
    <mergeCell ref="A1:A7"/>
    <mergeCell ref="T1:U1"/>
    <mergeCell ref="A9:G9"/>
    <mergeCell ref="M9:R9"/>
    <mergeCell ref="O10:P10"/>
    <mergeCell ref="M16:R16"/>
  </mergeCells>
  <pageMargins left="0.7" right="0.7" top="0.75" bottom="0.75" header="0.3" footer="0.3"/>
  <pageSetup orientation="portrait" r:id="rId1"/>
  <ignoredErrors>
    <ignoredError sqref="M13:N13 Q13:R13" evalError="1"/>
  </ignoredErrors>
  <tableParts count="4">
    <tablePart r:id="rId2"/>
    <tablePart r:id="rId3"/>
    <tablePart r:id="rId4"/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5904-3BFD-354B-AB5D-A2FF5C518A1C}">
  <sheetPr codeName="Sheet22"/>
  <dimension ref="A1:Y50"/>
  <sheetViews>
    <sheetView workbookViewId="0">
      <selection activeCell="B2" sqref="B2:B13"/>
    </sheetView>
    <sheetView workbookViewId="1">
      <selection sqref="A1:A13"/>
    </sheetView>
  </sheetViews>
  <sheetFormatPr defaultColWidth="8.85546875" defaultRowHeight="15"/>
  <cols>
    <col min="1" max="1" width="13.42578125" customWidth="1"/>
    <col min="2" max="3" width="25" customWidth="1"/>
    <col min="4" max="4" width="12.7109375" customWidth="1"/>
    <col min="5" max="5" width="12.85546875" bestFit="1" customWidth="1"/>
    <col min="6" max="7" width="7.140625" bestFit="1" customWidth="1"/>
    <col min="8" max="8" width="11.28515625" hidden="1" customWidth="1"/>
    <col min="9" max="10" width="13.28515625" hidden="1" customWidth="1"/>
    <col min="11" max="11" width="8" hidden="1" customWidth="1"/>
    <col min="12" max="12" width="25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25" customWidth="1"/>
    <col min="21" max="22" width="9.7109375" bestFit="1" customWidth="1"/>
  </cols>
  <sheetData>
    <row r="1" spans="1:21" ht="15" customHeight="1" thickTop="1">
      <c r="A1" s="551" t="s">
        <v>329</v>
      </c>
      <c r="B1" s="7" t="s">
        <v>161</v>
      </c>
      <c r="C1" s="20" t="s">
        <v>163</v>
      </c>
      <c r="D1" s="7" t="s">
        <v>164</v>
      </c>
      <c r="E1" s="7" t="s">
        <v>165</v>
      </c>
      <c r="F1" s="175" t="s">
        <v>167</v>
      </c>
      <c r="G1" s="175" t="s">
        <v>168</v>
      </c>
      <c r="H1" s="43" t="s">
        <v>169</v>
      </c>
      <c r="I1" s="43" t="s">
        <v>292</v>
      </c>
      <c r="J1" s="43" t="s">
        <v>293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603" t="s">
        <v>294</v>
      </c>
      <c r="U1" s="604"/>
    </row>
    <row r="2" spans="1:21" ht="15" customHeight="1">
      <c r="A2" s="551"/>
      <c r="B2" s="13" t="s">
        <v>178</v>
      </c>
      <c r="C2" s="174" t="str">
        <f>B17</f>
        <v>A1</v>
      </c>
      <c r="D2" s="116"/>
      <c r="E2" s="116"/>
      <c r="F2" s="63"/>
      <c r="G2" s="63"/>
      <c r="H2" s="63"/>
      <c r="I2" s="63"/>
      <c r="J2" s="63"/>
      <c r="K2" s="63"/>
      <c r="L2" s="16" t="str">
        <f>B18</f>
        <v>A2</v>
      </c>
      <c r="M2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2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2" s="13" t="str">
        <f>IF(Table4101317251247545298684173134[[#This Row],[SCORE 1]]="","",Table4101317251247545298684173134[[#This Row],[SCORE 1]])</f>
        <v/>
      </c>
      <c r="P2" s="13" t="str">
        <f>IF(Table4101317251247545298684173134[[#This Row],[SCORE 2]]="","",Table4101317251247545298684173134[[#This Row],[SCORE 2]])</f>
        <v/>
      </c>
      <c r="Q2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2" s="13" t="str">
        <f>IF(OR(Table4101317251247545298684173134[[#This Row],[SCORE 1]]="",Table4101317251247545298684173134[[#This Row],[SCORE 2]]=""),"",IF(Table4101317251247545298684173134[[#This Row],[SALDO 34]]&gt;0, "WIN","LOSE"))</f>
        <v/>
      </c>
      <c r="T2" s="188" t="s">
        <v>179</v>
      </c>
      <c r="U2" s="189" t="s">
        <v>8</v>
      </c>
    </row>
    <row r="3" spans="1:21">
      <c r="A3" s="551"/>
      <c r="B3" s="13" t="s">
        <v>180</v>
      </c>
      <c r="C3" s="174" t="str">
        <f>B23</f>
        <v>B1</v>
      </c>
      <c r="D3" s="116"/>
      <c r="E3" s="116"/>
      <c r="F3" s="63"/>
      <c r="G3" s="63"/>
      <c r="H3" s="63"/>
      <c r="I3" s="63"/>
      <c r="J3" s="63"/>
      <c r="K3" s="63"/>
      <c r="L3" s="16" t="str">
        <f>B24</f>
        <v>B2</v>
      </c>
      <c r="M3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3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3" s="13" t="str">
        <f>IF(Table4101317251247545298684173134[[#This Row],[SCORE 1]]="","",Table4101317251247545298684173134[[#This Row],[SCORE 1]])</f>
        <v/>
      </c>
      <c r="P3" s="13" t="str">
        <f>IF(Table4101317251247545298684173134[[#This Row],[SCORE 2]]="","",Table4101317251247545298684173134[[#This Row],[SCORE 2]])</f>
        <v/>
      </c>
      <c r="Q3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3" s="13" t="str">
        <f>IF(OR(Table4101317251247545298684173134[[#This Row],[SCORE 1]]="",Table4101317251247545298684173134[[#This Row],[SCORE 2]]=""),"",IF(Table4101317251247545298684173134[[#This Row],[SALDO 34]]&gt;0, "WIN","LOSE"))</f>
        <v/>
      </c>
      <c r="T3" s="190" t="str">
        <f>IFERROR(_xlfn.XLOOKUP(Table15202832506072101714577137[[#This Row],[Rank]],#REF!,$M$48:$R$48),"")</f>
        <v/>
      </c>
      <c r="U3" s="191" t="s">
        <v>19</v>
      </c>
    </row>
    <row r="4" spans="1:21">
      <c r="A4" s="551"/>
      <c r="B4" s="13" t="s">
        <v>178</v>
      </c>
      <c r="C4" s="174" t="str">
        <f>B19</f>
        <v>A3</v>
      </c>
      <c r="D4" s="116"/>
      <c r="E4" s="116"/>
      <c r="F4" s="63"/>
      <c r="G4" s="63"/>
      <c r="H4" s="63"/>
      <c r="I4" s="63"/>
      <c r="J4" s="63"/>
      <c r="K4" s="63"/>
      <c r="L4" s="16" t="str">
        <f>B20</f>
        <v>A4</v>
      </c>
      <c r="M4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4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4" s="13" t="str">
        <f>IF(Table4101317251247545298684173134[[#This Row],[SCORE 1]]="","",Table4101317251247545298684173134[[#This Row],[SCORE 1]])</f>
        <v/>
      </c>
      <c r="P4" s="13" t="str">
        <f>IF(Table4101317251247545298684173134[[#This Row],[SCORE 2]]="","",Table4101317251247545298684173134[[#This Row],[SCORE 2]])</f>
        <v/>
      </c>
      <c r="Q4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4" s="13" t="str">
        <f>IF(OR(Table4101317251247545298684173134[[#This Row],[SCORE 1]]="",Table4101317251247545298684173134[[#This Row],[SCORE 2]]=""),"",IF(Table4101317251247545298684173134[[#This Row],[SALDO 34]]&gt;0, "WIN","LOSE"))</f>
        <v/>
      </c>
      <c r="T4" s="190" t="str">
        <f>IFERROR(_xlfn.XLOOKUP(Table15202832506072101714577137[[#This Row],[Rank]],#REF!,$M$48:$R$48),"")</f>
        <v/>
      </c>
      <c r="U4" s="191" t="s">
        <v>22</v>
      </c>
    </row>
    <row r="5" spans="1:21">
      <c r="A5" s="551"/>
      <c r="B5" s="13" t="s">
        <v>180</v>
      </c>
      <c r="C5" s="174" t="str">
        <f>B25</f>
        <v>B3</v>
      </c>
      <c r="D5" s="116"/>
      <c r="E5" s="116"/>
      <c r="F5" s="63"/>
      <c r="G5" s="63"/>
      <c r="H5" s="63"/>
      <c r="I5" s="63"/>
      <c r="J5" s="63"/>
      <c r="K5" s="63"/>
      <c r="L5" s="16" t="str">
        <f>B26</f>
        <v>B4</v>
      </c>
      <c r="M5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5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5" s="13" t="str">
        <f>IF(Table4101317251247545298684173134[[#This Row],[SCORE 1]]="","",Table4101317251247545298684173134[[#This Row],[SCORE 1]])</f>
        <v/>
      </c>
      <c r="P5" s="13" t="str">
        <f>IF(Table4101317251247545298684173134[[#This Row],[SCORE 2]]="","",Table4101317251247545298684173134[[#This Row],[SCORE 2]])</f>
        <v/>
      </c>
      <c r="Q5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5" s="13" t="str">
        <f>IF(OR(Table4101317251247545298684173134[[#This Row],[SCORE 1]]="",Table4101317251247545298684173134[[#This Row],[SCORE 2]]=""),"",IF(Table4101317251247545298684173134[[#This Row],[SALDO 34]]&gt;0, "WIN","LOSE"))</f>
        <v/>
      </c>
      <c r="T5" s="190" t="str">
        <f>IFERROR(_xlfn.XLOOKUP(Table15202832506072101714577137[[#This Row],[Rank]],#REF!,$M$34:$R$34),"")</f>
        <v/>
      </c>
      <c r="U5" s="191" t="s">
        <v>25</v>
      </c>
    </row>
    <row r="6" spans="1:21">
      <c r="A6" s="551"/>
      <c r="B6" s="13" t="s">
        <v>178</v>
      </c>
      <c r="C6" s="174" t="str">
        <f>B17</f>
        <v>A1</v>
      </c>
      <c r="D6" s="116"/>
      <c r="E6" s="116"/>
      <c r="F6" s="63"/>
      <c r="G6" s="63"/>
      <c r="H6" s="63"/>
      <c r="I6" s="63"/>
      <c r="J6" s="63"/>
      <c r="K6" s="63"/>
      <c r="L6" s="16" t="str">
        <f>B19</f>
        <v>A3</v>
      </c>
      <c r="M6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6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6" s="13" t="str">
        <f>IF(Table4101317251247545298684173134[[#This Row],[SCORE 1]]="","",Table4101317251247545298684173134[[#This Row],[SCORE 1]])</f>
        <v/>
      </c>
      <c r="P6" s="13" t="str">
        <f>IF(Table4101317251247545298684173134[[#This Row],[SCORE 2]]="","",Table4101317251247545298684173134[[#This Row],[SCORE 2]])</f>
        <v/>
      </c>
      <c r="Q6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6" s="13" t="str">
        <f>IF(OR(Table4101317251247545298684173134[[#This Row],[SCORE 1]]="",Table4101317251247545298684173134[[#This Row],[SCORE 2]]=""),"",IF(Table4101317251247545298684173134[[#This Row],[SALDO 34]]&gt;0, "WIN","LOSE"))</f>
        <v/>
      </c>
      <c r="T6" s="190" t="str">
        <f>IFERROR(_xlfn.XLOOKUP(Table15202832506072101714577137[[#This Row],[Rank]],#REF!,$M$34:$R$34),"")</f>
        <v/>
      </c>
      <c r="U6" s="191" t="s">
        <v>28</v>
      </c>
    </row>
    <row r="7" spans="1:21">
      <c r="A7" s="551"/>
      <c r="B7" s="13" t="s">
        <v>180</v>
      </c>
      <c r="C7" s="174" t="str">
        <f>B23</f>
        <v>B1</v>
      </c>
      <c r="D7" s="116"/>
      <c r="E7" s="116"/>
      <c r="F7" s="63"/>
      <c r="G7" s="63"/>
      <c r="H7" s="63"/>
      <c r="I7" s="63"/>
      <c r="J7" s="63"/>
      <c r="K7" s="63"/>
      <c r="L7" s="16" t="str">
        <f>B25</f>
        <v>B3</v>
      </c>
      <c r="M7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7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7" s="13" t="str">
        <f>IF(Table4101317251247545298684173134[[#This Row],[SCORE 1]]="","",Table4101317251247545298684173134[[#This Row],[SCORE 1]])</f>
        <v/>
      </c>
      <c r="P7" s="13" t="str">
        <f>IF(Table4101317251247545298684173134[[#This Row],[SCORE 2]]="","",Table4101317251247545298684173134[[#This Row],[SCORE 2]])</f>
        <v/>
      </c>
      <c r="Q7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7" s="13" t="str">
        <f>IF(OR(Table4101317251247545298684173134[[#This Row],[SCORE 1]]="",Table4101317251247545298684173134[[#This Row],[SCORE 2]]=""),"",IF(Table4101317251247545298684173134[[#This Row],[SALDO 34]]&gt;0, "WIN","LOSE"))</f>
        <v/>
      </c>
      <c r="T7" s="190"/>
      <c r="U7" s="191" t="s">
        <v>31</v>
      </c>
    </row>
    <row r="8" spans="1:21">
      <c r="A8" s="551"/>
      <c r="B8" s="13" t="s">
        <v>178</v>
      </c>
      <c r="C8" s="174" t="str">
        <f>B18</f>
        <v>A2</v>
      </c>
      <c r="D8" s="116"/>
      <c r="E8" s="116"/>
      <c r="F8" s="63"/>
      <c r="G8" s="63"/>
      <c r="H8" s="63"/>
      <c r="I8" s="63"/>
      <c r="J8" s="63"/>
      <c r="K8" s="63"/>
      <c r="L8" s="16" t="str">
        <f>B20</f>
        <v>A4</v>
      </c>
      <c r="M8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8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8" s="13" t="str">
        <f>IF(Table4101317251247545298684173134[[#This Row],[SCORE 1]]="","",Table4101317251247545298684173134[[#This Row],[SCORE 1]])</f>
        <v/>
      </c>
      <c r="P8" s="13" t="str">
        <f>IF(Table4101317251247545298684173134[[#This Row],[SCORE 2]]="","",Table4101317251247545298684173134[[#This Row],[SCORE 2]])</f>
        <v/>
      </c>
      <c r="Q8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8" s="13" t="str">
        <f>IF(OR(Table4101317251247545298684173134[[#This Row],[SCORE 1]]="",Table4101317251247545298684173134[[#This Row],[SCORE 2]]=""),"",IF(Table4101317251247545298684173134[[#This Row],[SALDO 34]]&gt;0, "WIN","LOSE"))</f>
        <v/>
      </c>
      <c r="T8" s="190"/>
      <c r="U8" s="191" t="s">
        <v>34</v>
      </c>
    </row>
    <row r="9" spans="1:21">
      <c r="A9" s="551"/>
      <c r="B9" s="13" t="s">
        <v>180</v>
      </c>
      <c r="C9" s="174" t="str">
        <f>B24</f>
        <v>B2</v>
      </c>
      <c r="D9" s="116"/>
      <c r="E9" s="116"/>
      <c r="F9" s="63"/>
      <c r="G9" s="63"/>
      <c r="H9" s="63"/>
      <c r="I9" s="63"/>
      <c r="J9" s="63"/>
      <c r="K9" s="63"/>
      <c r="L9" s="16" t="str">
        <f>B26</f>
        <v>B4</v>
      </c>
      <c r="M9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9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9" s="13" t="str">
        <f>IF(Table4101317251247545298684173134[[#This Row],[SCORE 1]]="","",Table4101317251247545298684173134[[#This Row],[SCORE 1]])</f>
        <v/>
      </c>
      <c r="P9" s="13" t="str">
        <f>IF(Table4101317251247545298684173134[[#This Row],[SCORE 2]]="","",Table4101317251247545298684173134[[#This Row],[SCORE 2]])</f>
        <v/>
      </c>
      <c r="Q9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9" s="13" t="str">
        <f>IF(OR(Table4101317251247545298684173134[[#This Row],[SCORE 1]]="",Table4101317251247545298684173134[[#This Row],[SCORE 2]]=""),"",IF(Table4101317251247545298684173134[[#This Row],[SALDO 34]]&gt;0, "WIN","LOSE"))</f>
        <v/>
      </c>
      <c r="T9" s="190"/>
      <c r="U9" s="191" t="s">
        <v>37</v>
      </c>
    </row>
    <row r="10" spans="1:21" ht="15.95" thickBot="1">
      <c r="A10" s="551"/>
      <c r="B10" s="13" t="s">
        <v>178</v>
      </c>
      <c r="C10" s="174" t="str">
        <f>B17</f>
        <v>A1</v>
      </c>
      <c r="D10" s="116"/>
      <c r="E10" s="116"/>
      <c r="F10" s="63"/>
      <c r="G10" s="63"/>
      <c r="H10" s="63"/>
      <c r="I10" s="63"/>
      <c r="J10" s="63"/>
      <c r="K10" s="63"/>
      <c r="L10" s="16" t="str">
        <f>B20</f>
        <v>A4</v>
      </c>
      <c r="M10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10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10" s="13" t="str">
        <f>IF(Table4101317251247545298684173134[[#This Row],[SCORE 1]]="","",Table4101317251247545298684173134[[#This Row],[SCORE 1]])</f>
        <v/>
      </c>
      <c r="P10" s="13" t="str">
        <f>IF(Table4101317251247545298684173134[[#This Row],[SCORE 2]]="","",Table4101317251247545298684173134[[#This Row],[SCORE 2]])</f>
        <v/>
      </c>
      <c r="Q10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10" s="13" t="str">
        <f>IF(OR(Table4101317251247545298684173134[[#This Row],[SCORE 1]]="",Table4101317251247545298684173134[[#This Row],[SCORE 2]]=""),"",IF(Table4101317251247545298684173134[[#This Row],[SALDO 34]]&gt;0, "WIN","LOSE"))</f>
        <v/>
      </c>
      <c r="T10" s="192"/>
      <c r="U10" s="193" t="s">
        <v>41</v>
      </c>
    </row>
    <row r="11" spans="1:21" ht="15.95" thickTop="1">
      <c r="A11" s="551"/>
      <c r="B11" s="13" t="s">
        <v>180</v>
      </c>
      <c r="C11" s="174" t="str">
        <f>B23</f>
        <v>B1</v>
      </c>
      <c r="D11" s="116"/>
      <c r="E11" s="116"/>
      <c r="F11" s="63"/>
      <c r="G11" s="63"/>
      <c r="H11" s="63"/>
      <c r="I11" s="63"/>
      <c r="J11" s="63"/>
      <c r="K11" s="63"/>
      <c r="L11" s="16" t="str">
        <f>B26</f>
        <v>B4</v>
      </c>
      <c r="M11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11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11" s="13" t="str">
        <f>IF(Table4101317251247545298684173134[[#This Row],[SCORE 1]]="","",Table4101317251247545298684173134[[#This Row],[SCORE 1]])</f>
        <v/>
      </c>
      <c r="P11" s="13" t="str">
        <f>IF(Table4101317251247545298684173134[[#This Row],[SCORE 2]]="","",Table4101317251247545298684173134[[#This Row],[SCORE 2]])</f>
        <v/>
      </c>
      <c r="Q11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11" s="13" t="str">
        <f>IF(OR(Table4101317251247545298684173134[[#This Row],[SCORE 1]]="",Table4101317251247545298684173134[[#This Row],[SCORE 2]]=""),"",IF(Table4101317251247545298684173134[[#This Row],[SALDO 34]]&gt;0, "WIN","LOSE"))</f>
        <v/>
      </c>
      <c r="T11" s="17" t="s">
        <v>295</v>
      </c>
    </row>
    <row r="12" spans="1:21">
      <c r="A12" s="551"/>
      <c r="B12" s="13" t="s">
        <v>178</v>
      </c>
      <c r="C12" s="174" t="str">
        <f>B18</f>
        <v>A2</v>
      </c>
      <c r="D12" s="116"/>
      <c r="E12" s="116"/>
      <c r="F12" s="63"/>
      <c r="G12" s="63"/>
      <c r="H12" s="63"/>
      <c r="I12" s="63"/>
      <c r="J12" s="63"/>
      <c r="K12" s="63"/>
      <c r="L12" s="16" t="str">
        <f>B19</f>
        <v>A3</v>
      </c>
      <c r="M12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12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12" s="13" t="str">
        <f>IF(Table4101317251247545298684173134[[#This Row],[SCORE 1]]="","",Table4101317251247545298684173134[[#This Row],[SCORE 1]])</f>
        <v/>
      </c>
      <c r="P12" s="13" t="str">
        <f>IF(Table4101317251247545298684173134[[#This Row],[SCORE 2]]="","",Table4101317251247545298684173134[[#This Row],[SCORE 2]])</f>
        <v/>
      </c>
      <c r="Q12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12" s="13" t="str">
        <f>IF(OR(Table4101317251247545298684173134[[#This Row],[SCORE 1]]="",Table4101317251247545298684173134[[#This Row],[SCORE 2]]=""),"",IF(Table4101317251247545298684173134[[#This Row],[SALDO 34]]&gt;0, "WIN","LOSE"))</f>
        <v/>
      </c>
    </row>
    <row r="13" spans="1:21">
      <c r="A13" s="551"/>
      <c r="B13" s="13" t="s">
        <v>180</v>
      </c>
      <c r="C13" s="174" t="str">
        <f>B24</f>
        <v>B2</v>
      </c>
      <c r="D13" s="116"/>
      <c r="E13" s="116"/>
      <c r="F13" s="63"/>
      <c r="G13" s="63"/>
      <c r="H13" s="63"/>
      <c r="I13" s="63"/>
      <c r="J13" s="63"/>
      <c r="K13" s="63"/>
      <c r="L13" s="16" t="str">
        <f>B25</f>
        <v>B3</v>
      </c>
      <c r="M13" s="13" t="str">
        <f>IF(OR(Table4101317251247545298684173134[[#This Row],[SCORE 1]]="",Table4101317251247545298684173134[[#This Row],[SCORE 2]]=""),"",Table4101317251247545298684173134[[#This Row],[SCORE 1]]-Table4101317251247545298684173134[[#This Row],[SCORE 2]])</f>
        <v/>
      </c>
      <c r="N13" s="13" t="str">
        <f>IF(OR(Table4101317251247545298684173134[[#This Row],[SCORE 1]]="",Table4101317251247545298684173134[[#This Row],[SCORE 2]]=""),"",Table4101317251247545298684173134[[#This Row],[SCORE 2]]-Table4101317251247545298684173134[[#This Row],[SCORE 1]])</f>
        <v/>
      </c>
      <c r="O13" s="13" t="str">
        <f>IF(Table4101317251247545298684173134[[#This Row],[SCORE 1]]="","",Table4101317251247545298684173134[[#This Row],[SCORE 1]])</f>
        <v/>
      </c>
      <c r="P13" s="13" t="str">
        <f>IF(Table4101317251247545298684173134[[#This Row],[SCORE 2]]="","",Table4101317251247545298684173134[[#This Row],[SCORE 2]])</f>
        <v/>
      </c>
      <c r="Q13" s="13" t="str">
        <f>IF(OR(Table4101317251247545298684173134[[#This Row],[SCORE 1]]="",Table4101317251247545298684173134[[#This Row],[SCORE 2]]=""),"",IF(Table4101317251247545298684173134[[#This Row],[SALDO 12]]&gt;0, "WIN","LOSE"))</f>
        <v/>
      </c>
      <c r="R13" s="13" t="str">
        <f>IF(OR(Table4101317251247545298684173134[[#This Row],[SCORE 1]]="",Table4101317251247545298684173134[[#This Row],[SCORE 2]]=""),"",IF(Table4101317251247545298684173134[[#This Row],[SALDO 34]]&gt;0, "WIN","LOSE"))</f>
        <v/>
      </c>
    </row>
    <row r="14" spans="1:21" ht="30" customHeight="1" thickBot="1"/>
    <row r="15" spans="1:21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60" t="s">
        <v>183</v>
      </c>
      <c r="N15" s="561"/>
      <c r="O15" s="561"/>
      <c r="P15" s="561"/>
      <c r="Q15" s="561"/>
      <c r="R15" s="562"/>
    </row>
    <row r="16" spans="1:21" ht="15.95">
      <c r="A16" s="6" t="s">
        <v>184</v>
      </c>
      <c r="B16" s="7" t="s">
        <v>296</v>
      </c>
      <c r="C16" s="7" t="s">
        <v>186</v>
      </c>
      <c r="D16" s="7" t="s">
        <v>187</v>
      </c>
      <c r="E16" s="7" t="s">
        <v>188</v>
      </c>
      <c r="F16" s="7" t="s">
        <v>189</v>
      </c>
      <c r="G16" s="7" t="s">
        <v>8</v>
      </c>
      <c r="H16" s="80" t="s">
        <v>204</v>
      </c>
      <c r="I16" s="20" t="s">
        <v>191</v>
      </c>
      <c r="J16" s="20" t="s">
        <v>192</v>
      </c>
      <c r="K16" s="20" t="s">
        <v>1</v>
      </c>
      <c r="L16" s="20" t="s">
        <v>192</v>
      </c>
      <c r="M16" s="601" t="s">
        <v>297</v>
      </c>
      <c r="N16" s="553"/>
      <c r="O16" s="179" t="s">
        <v>195</v>
      </c>
      <c r="P16" s="180"/>
      <c r="Q16" s="552" t="s">
        <v>298</v>
      </c>
      <c r="R16" s="602"/>
    </row>
    <row r="17" spans="1:25">
      <c r="A17" s="4" t="s">
        <v>205</v>
      </c>
      <c r="B17" s="171" t="s">
        <v>205</v>
      </c>
      <c r="C17" s="14">
        <f>SUM(COUNTIFS(Table4101317251247545298684173134[ATHLETE 2],Table36111418263048555399694375135[[#This Row],[Team]],Table4101317251247545298684173134[RESULT 12],Table36111418263048555399694375135[[#Headers],[WIN]]),COUNTIFS(Table4101317251247545298684173134[ATHLETE 4],Table36111418263048555399694375135[[#This Row],[Team]],Table4101317251247545298684173134[RESULT 34],Table36111418263048555399694375135[[#Headers],[WIN]]))</f>
        <v>0</v>
      </c>
      <c r="D17" s="14">
        <f>SUM(COUNTIFS(Table4101317251247545298684173134[ATHLETE 2],Table36111418263048555399694375135[[#This Row],[Team]],Table4101317251247545298684173134[RESULT 12],Table36111418263048555399694375135[[#Headers],[LOSE]]),COUNTIFS(Table4101317251247545298684173134[ATHLETE 4],Table36111418263048555399694375135[[#This Row],[Team]],Table4101317251247545298684173134[RESULT 34],Table36111418263048555399694375135[[#Headers],[LOSE]]))</f>
        <v>0</v>
      </c>
      <c r="E17" s="19">
        <f>SUM(SUMIF(Table4101317251247545298684173134[ATHLETE 2],Table36111418263048555399694375135[[#This Row],[Team]],Table4101317251247545298684173134[SALDO 12]),SUMIF(Table4101317251247545298684173134[ATHLETE 4],Table36111418263048555399694375135[[#This Row],[Team]],Table4101317251247545298684173134[SALDO 34]))</f>
        <v>0</v>
      </c>
      <c r="F17" s="19">
        <f>SUM(SUMIF(Table4101317251247545298684173134[ATHLETE 2],Table36111418263048555399694375135[[#This Row],[Team]],Table4101317251247545298684173134[PM 12]),SUMIF(Table4101317251247545298684173134[ATHLETE 4],Table36111418263048555399694375135[[#This Row],[Team]],Table4101317251247545298684173134[PM 34]))</f>
        <v>0</v>
      </c>
      <c r="G17" s="14" t="str">
        <f>IF(COUNTBLANK(Table4101317251247545298684173134[[SCORE 1]:[SCORE 2]])=0,IF(RANK(H17,$H$17:$H$20)=1,RANK(H17,$H$17:$H$20)&amp;"st",IF(RANK(H17,$H$17:$H$20)=2,RANK(H17,$H$17:$H$20)&amp;"nd",RANK(H17,$H$17:$H$20)&amp;"th")),"")</f>
        <v/>
      </c>
      <c r="H17" s="51">
        <f>Table36111418263048555399694375135[[#This Row],[WIN]]*1000000+Table36111418263048555399694375135[[#This Row],[Saldo]]*1000+Table36111418263048555399694375135[[#This Row],[PM]]</f>
        <v>0</v>
      </c>
      <c r="I17" s="2">
        <f>H17</f>
        <v>0</v>
      </c>
      <c r="J17" s="2" t="str">
        <f>IF(COUNTBLANK(Table4101317251247545298684173134[[SCORE 1]:[SCORE 2]])=0,IF(RANK(I17,$I$17:$I$28)=1,RANK(I17,$I$17:$I$28)&amp;"st",IF(RANK(I17,$I$17:$I$28)=2,RANK(I17,$I$17:$I$28)&amp;"nd",IF(RANK(I17,$I$17:$I$28)=3,RANK(I17,$I$17:$I$28)&amp;"rd",RANK(I17,$I$17:$I$28)&amp;"th"))),"")</f>
        <v/>
      </c>
      <c r="K17" s="38" t="str">
        <f>Table36111418263048555399694375135[[#This Row],[Team]]</f>
        <v>A1</v>
      </c>
      <c r="L17" s="2" t="str">
        <f>J17</f>
        <v/>
      </c>
      <c r="M17" s="588" t="str" cm="1">
        <f t="array" ref="M17">_xlfn.TEXTJOIN(", ", TRUE, _xlfn._xlws.FILTER($K$17:$K$24, $J$17:$J$24=$U$3, ""))</f>
        <v/>
      </c>
      <c r="N17" s="589"/>
      <c r="O17" s="119"/>
      <c r="P17" s="119"/>
      <c r="Q17" s="590" t="str" cm="1">
        <f t="array" ref="Q17">_xlfn.TEXTJOIN(", ", TRUE, _xlfn._xlws.FILTER($K$17:$K$24, $J$17:$J$24=$U$10, ""))</f>
        <v/>
      </c>
      <c r="R17" s="591"/>
    </row>
    <row r="18" spans="1:25">
      <c r="A18" s="3" t="s">
        <v>206</v>
      </c>
      <c r="B18" s="171" t="s">
        <v>206</v>
      </c>
      <c r="C18" s="14">
        <f>SUM(COUNTIFS(Table4101317251247545298684173134[ATHLETE 2],Table36111418263048555399694375135[[#This Row],[Team]],Table4101317251247545298684173134[RESULT 12],Table36111418263048555399694375135[[#Headers],[WIN]]),COUNTIFS(Table4101317251247545298684173134[ATHLETE 4],Table36111418263048555399694375135[[#This Row],[Team]],Table4101317251247545298684173134[RESULT 34],Table36111418263048555399694375135[[#Headers],[WIN]]))</f>
        <v>0</v>
      </c>
      <c r="D18" s="14">
        <f>SUM(COUNTIFS(Table4101317251247545298684173134[ATHLETE 2],Table36111418263048555399694375135[[#This Row],[Team]],Table4101317251247545298684173134[RESULT 12],Table36111418263048555399694375135[[#Headers],[LOSE]]),COUNTIFS(Table4101317251247545298684173134[ATHLETE 4],Table36111418263048555399694375135[[#This Row],[Team]],Table4101317251247545298684173134[RESULT 34],Table36111418263048555399694375135[[#Headers],[LOSE]]))</f>
        <v>0</v>
      </c>
      <c r="E18" s="19">
        <f>SUM(SUMIF(Table4101317251247545298684173134[ATHLETE 2],Table36111418263048555399694375135[[#This Row],[Team]],Table4101317251247545298684173134[SALDO 12]),SUMIF(Table4101317251247545298684173134[ATHLETE 4],Table36111418263048555399694375135[[#This Row],[Team]],Table4101317251247545298684173134[SALDO 34]))</f>
        <v>0</v>
      </c>
      <c r="F18" s="19">
        <f>SUM(SUMIF(Table4101317251247545298684173134[ATHLETE 2],Table36111418263048555399694375135[[#This Row],[Team]],Table4101317251247545298684173134[PM 12]),SUMIF(Table4101317251247545298684173134[ATHLETE 4],Table36111418263048555399694375135[[#This Row],[Team]],Table4101317251247545298684173134[PM 34]))</f>
        <v>0</v>
      </c>
      <c r="G18" s="14" t="str">
        <f>IF(COUNTBLANK(Table4101317251247545298684173134[[SCORE 1]:[SCORE 2]])=0,IF(RANK(H18,$H$17:$H$20)=1,RANK(H18,$H$17:$H$20)&amp;"st",IF(RANK(H18,$H$17:$H$20)=2,RANK(H18,$H$17:$H$20)&amp;"nd",RANK(H18,$H$17:$H$20)&amp;"th")),"")</f>
        <v/>
      </c>
      <c r="H18" s="51">
        <f>Table36111418263048555399694375135[[#This Row],[WIN]]*1000000+Table36111418263048555399694375135[[#This Row],[Saldo]]*1000+Table36111418263048555399694375135[[#This Row],[PM]]</f>
        <v>0</v>
      </c>
      <c r="I18" s="2">
        <f t="shared" ref="I18:I20" si="0">H18</f>
        <v>0</v>
      </c>
      <c r="J18" s="2" t="str">
        <f>IF(COUNTBLANK(Table4101317251247545298684173134[[SCORE 1]:[SCORE 2]])=0,IF(RANK(I18,$I$17:$I$28)=1,RANK(I18,$I$17:$I$28)&amp;"st",IF(RANK(I18,$I$17:$I$28)=2,RANK(I18,$I$17:$I$28)&amp;"nd",IF(RANK(I18,$I$17:$I$28)=3,RANK(I18,$I$17:$I$28)&amp;"rd",RANK(I18,$I$17:$I$28)&amp;"th"))),"")</f>
        <v/>
      </c>
      <c r="K18" s="38" t="str">
        <f>Table36111418263048555399694375135[[#This Row],[Team]]</f>
        <v>A2</v>
      </c>
      <c r="L18" s="2" t="str">
        <f t="shared" ref="L18:L20" si="1">J18</f>
        <v/>
      </c>
      <c r="M18" s="592" t="str">
        <f>IF(COUNTBLANK($O$17:$P$30)=0,IF($O$18="lose",$U$7,""),"")</f>
        <v/>
      </c>
      <c r="N18" s="593"/>
      <c r="O18" s="2" t="str">
        <f>IF(OR(O17="",P17=""),"",IF((O17&gt;P17),"WIN","LOSE"))</f>
        <v/>
      </c>
      <c r="P18" s="2" t="str">
        <f>IF(OR(O17="",P17=""),"",IF((O17&lt;P17),"WIN","LOSE"))</f>
        <v/>
      </c>
      <c r="Q18" s="593" t="str">
        <f>IF(COUNTBLANK($O$17:$P$30)=0,IF($P$18="lose",$U$10,""),"")</f>
        <v/>
      </c>
      <c r="R18" s="594"/>
      <c r="S18" s="17"/>
    </row>
    <row r="19" spans="1:25">
      <c r="A19" s="3" t="s">
        <v>207</v>
      </c>
      <c r="B19" s="171" t="s">
        <v>207</v>
      </c>
      <c r="C19" s="14">
        <f>SUM(COUNTIFS(Table4101317251247545298684173134[ATHLETE 2],Table36111418263048555399694375135[[#This Row],[Team]],Table4101317251247545298684173134[RESULT 12],Table36111418263048555399694375135[[#Headers],[WIN]]),COUNTIFS(Table4101317251247545298684173134[ATHLETE 4],Table36111418263048555399694375135[[#This Row],[Team]],Table4101317251247545298684173134[RESULT 34],Table36111418263048555399694375135[[#Headers],[WIN]]))</f>
        <v>0</v>
      </c>
      <c r="D19" s="14">
        <f>SUM(COUNTIFS(Table4101317251247545298684173134[ATHLETE 2],Table36111418263048555399694375135[[#This Row],[Team]],Table4101317251247545298684173134[RESULT 12],Table36111418263048555399694375135[[#Headers],[LOSE]]),COUNTIFS(Table4101317251247545298684173134[ATHLETE 4],Table36111418263048555399694375135[[#This Row],[Team]],Table4101317251247545298684173134[RESULT 34],Table36111418263048555399694375135[[#Headers],[LOSE]]))</f>
        <v>0</v>
      </c>
      <c r="E19" s="19">
        <f>SUM(SUMIF(Table4101317251247545298684173134[ATHLETE 2],Table36111418263048555399694375135[[#This Row],[Team]],Table4101317251247545298684173134[SALDO 12]),SUMIF(Table4101317251247545298684173134[ATHLETE 4],Table36111418263048555399694375135[[#This Row],[Team]],Table4101317251247545298684173134[SALDO 34]))</f>
        <v>0</v>
      </c>
      <c r="F19" s="19">
        <f>SUM(SUMIF(Table4101317251247545298684173134[ATHLETE 2],Table36111418263048555399694375135[[#This Row],[Team]],Table4101317251247545298684173134[PM 12]),SUMIF(Table4101317251247545298684173134[ATHLETE 4],Table36111418263048555399694375135[[#This Row],[Team]],Table4101317251247545298684173134[PM 34]))</f>
        <v>0</v>
      </c>
      <c r="G19" s="14" t="str">
        <f>IF(COUNTBLANK(Table4101317251247545298684173134[[SCORE 1]:[SCORE 2]])=0,IF(RANK(H19,$H$17:$H$20)=1,RANK(H19,$H$17:$H$20)&amp;"st",IF(RANK(H19,$H$17:$H$20)=2,RANK(H19,$H$17:$H$20)&amp;"nd",RANK(H19,$H$17:$H$20)&amp;"th")),"")</f>
        <v/>
      </c>
      <c r="H19" s="51">
        <f>Table36111418263048555399694375135[[#This Row],[WIN]]*1000000+Table36111418263048555399694375135[[#This Row],[Saldo]]*1000+Table36111418263048555399694375135[[#This Row],[PM]]</f>
        <v>0</v>
      </c>
      <c r="I19" s="2">
        <f t="shared" si="0"/>
        <v>0</v>
      </c>
      <c r="J19" s="2" t="str">
        <f>IF(COUNTBLANK(Table4101317251247545298684173134[[SCORE 1]:[SCORE 2]])=0,IF(RANK(I19,$I$17:$I$28)=1,RANK(I19,$I$17:$I$28)&amp;"st",IF(RANK(I19,$I$17:$I$28)=2,RANK(I19,$I$17:$I$28)&amp;"nd",IF(RANK(I19,$I$17:$I$28)=3,RANK(I19,$I$17:$I$28)&amp;"rd",RANK(I19,$I$17:$I$28)&amp;"th"))),"")</f>
        <v/>
      </c>
      <c r="K19" s="38" t="str">
        <f>Table36111418263048555399694375135[[#This Row],[Team]]</f>
        <v>A3</v>
      </c>
      <c r="L19" s="2" t="str">
        <f t="shared" si="1"/>
        <v/>
      </c>
      <c r="M19" s="598">
        <v>1</v>
      </c>
      <c r="N19" s="599"/>
      <c r="O19" s="183" t="s">
        <v>302</v>
      </c>
      <c r="P19" s="183" t="s">
        <v>302</v>
      </c>
      <c r="Q19" s="599">
        <v>8</v>
      </c>
      <c r="R19" s="600"/>
      <c r="V19" s="66"/>
      <c r="W19" s="66"/>
      <c r="X19" s="66"/>
      <c r="Y19" s="66"/>
    </row>
    <row r="20" spans="1:25" ht="15.95">
      <c r="A20" s="5" t="s">
        <v>208</v>
      </c>
      <c r="B20" s="171" t="s">
        <v>208</v>
      </c>
      <c r="C20" s="14">
        <f>SUM(COUNTIFS(Table4101317251247545298684173134[ATHLETE 2],Table36111418263048555399694375135[[#This Row],[Team]],Table4101317251247545298684173134[RESULT 12],Table36111418263048555399694375135[[#Headers],[WIN]]),COUNTIFS(Table4101317251247545298684173134[ATHLETE 4],Table36111418263048555399694375135[[#This Row],[Team]],Table4101317251247545298684173134[RESULT 34],Table36111418263048555399694375135[[#Headers],[WIN]]))</f>
        <v>0</v>
      </c>
      <c r="D20" s="14">
        <f>SUM(COUNTIFS(Table4101317251247545298684173134[ATHLETE 2],Table36111418263048555399694375135[[#This Row],[Team]],Table4101317251247545298684173134[RESULT 12],Table36111418263048555399694375135[[#Headers],[LOSE]]),COUNTIFS(Table4101317251247545298684173134[ATHLETE 4],Table36111418263048555399694375135[[#This Row],[Team]],Table4101317251247545298684173134[RESULT 34],Table36111418263048555399694375135[[#Headers],[LOSE]]))</f>
        <v>0</v>
      </c>
      <c r="E20" s="19">
        <f>SUM(SUMIF(Table4101317251247545298684173134[ATHLETE 2],Table36111418263048555399694375135[[#This Row],[Team]],Table4101317251247545298684173134[SALDO 12]),SUMIF(Table4101317251247545298684173134[ATHLETE 4],Table36111418263048555399694375135[[#This Row],[Team]],Table4101317251247545298684173134[SALDO 34]))</f>
        <v>0</v>
      </c>
      <c r="F20" s="19">
        <f>SUM(SUMIF(Table4101317251247545298684173134[ATHLETE 2],Table36111418263048555399694375135[[#This Row],[Team]],Table4101317251247545298684173134[PM 12]),SUMIF(Table4101317251247545298684173134[ATHLETE 4],Table36111418263048555399694375135[[#This Row],[Team]],Table4101317251247545298684173134[PM 34]))</f>
        <v>0</v>
      </c>
      <c r="G20" s="14" t="str">
        <f>IF(COUNTBLANK(Table4101317251247545298684173134[[SCORE 1]:[SCORE 2]])=0,IF(RANK(H20,$H$17:$H$20)=1,RANK(H20,$H$17:$H$20)&amp;"st",IF(RANK(H20,$H$17:$H$20)=2,RANK(H20,$H$17:$H$20)&amp;"nd",RANK(H20,$H$17:$H$20)&amp;"th")),"")</f>
        <v/>
      </c>
      <c r="H20" s="51">
        <f>Table36111418263048555399694375135[[#This Row],[WIN]]*1000000+Table36111418263048555399694375135[[#This Row],[Saldo]]*1000+Table36111418263048555399694375135[[#This Row],[PM]]</f>
        <v>0</v>
      </c>
      <c r="I20" s="2">
        <f t="shared" si="0"/>
        <v>0</v>
      </c>
      <c r="J20" s="2" t="str">
        <f>IF(COUNTBLANK(Table4101317251247545298684173134[[SCORE 1]:[SCORE 2]])=0,IF(RANK(I20,$I$17:$I$28)=1,RANK(I20,$I$17:$I$28)&amp;"st",IF(RANK(I20,$I$17:$I$28)=2,RANK(I20,$I$17:$I$28)&amp;"nd",IF(RANK(I20,$I$17:$I$28)=3,RANK(I20,$I$17:$I$28)&amp;"rd",RANK(I20,$I$17:$I$28)&amp;"th"))),"")</f>
        <v/>
      </c>
      <c r="K20" s="38" t="str">
        <f>Table36111418263048555399694375135[[#This Row],[Team]]</f>
        <v>A4</v>
      </c>
      <c r="L20" s="2" t="str">
        <f t="shared" si="1"/>
        <v/>
      </c>
      <c r="M20" s="601" t="s">
        <v>297</v>
      </c>
      <c r="N20" s="553"/>
      <c r="O20" s="179" t="s">
        <v>195</v>
      </c>
      <c r="P20" s="181" t="s">
        <v>302</v>
      </c>
      <c r="Q20" s="552" t="s">
        <v>298</v>
      </c>
      <c r="R20" s="602"/>
      <c r="V20" s="66"/>
      <c r="W20" s="66"/>
      <c r="X20" s="66"/>
      <c r="Y20" s="66"/>
    </row>
    <row r="21" spans="1:25">
      <c r="I21" s="2">
        <f>H23</f>
        <v>0</v>
      </c>
      <c r="J21" s="2" t="str">
        <f>IF(COUNTBLANK(Table4101317251247545298684173134[[SCORE 1]:[SCORE 2]])=0,IF(RANK(I21,$I$17:$I$28)=1,RANK(I21,$I$17:$I$28)&amp;"st",IF(RANK(I21,$I$17:$I$28)=2,RANK(I21,$I$17:$I$28)&amp;"nd",IF(RANK(I21,$I$17:$I$28)=3,RANK(I21,$I$17:$I$28)&amp;"rd",RANK(I21,$I$17:$I$28)&amp;"th"))),"")</f>
        <v/>
      </c>
      <c r="K21" s="38" t="str">
        <f>B23</f>
        <v>B1</v>
      </c>
      <c r="L21" s="2"/>
      <c r="M21" s="588" t="str" cm="1">
        <f t="array" ref="M21">_xlfn.TEXTJOIN(", ", TRUE, _xlfn._xlws.FILTER($K$17:$K$24, $J$17:$J$24=$U$4, ""))</f>
        <v/>
      </c>
      <c r="N21" s="589"/>
      <c r="O21" s="119"/>
      <c r="P21" s="119"/>
      <c r="Q21" s="590" t="str" cm="1">
        <f t="array" ref="Q21">_xlfn.TEXTJOIN(", ", TRUE, _xlfn._xlws.FILTER($K$17:$K$24, $J$17:$J$24=$U$9, ""))</f>
        <v/>
      </c>
      <c r="R21" s="591"/>
      <c r="V21" s="66"/>
      <c r="W21" s="66"/>
      <c r="X21" s="66"/>
      <c r="Y21" s="66"/>
    </row>
    <row r="22" spans="1:25" s="44" customFormat="1" ht="28.5" customHeight="1">
      <c r="A22" s="9" t="s">
        <v>184</v>
      </c>
      <c r="B22" s="48" t="s">
        <v>296</v>
      </c>
      <c r="C22" s="48" t="s">
        <v>186</v>
      </c>
      <c r="D22" s="48" t="s">
        <v>187</v>
      </c>
      <c r="E22" s="48" t="s">
        <v>188</v>
      </c>
      <c r="F22" s="48" t="s">
        <v>189</v>
      </c>
      <c r="G22" s="43" t="s">
        <v>8</v>
      </c>
      <c r="H22" s="79" t="s">
        <v>204</v>
      </c>
      <c r="I22" s="2">
        <f>H24</f>
        <v>0</v>
      </c>
      <c r="J22" s="2" t="str">
        <f>IF(COUNTBLANK(Table4101317251247545298684173134[[SCORE 1]:[SCORE 2]])=0,IF(RANK(I22,$I$17:$I$28)=1,RANK(I22,$I$17:$I$28)&amp;"st",IF(RANK(I22,$I$17:$I$28)=2,RANK(I22,$I$17:$I$28)&amp;"nd",IF(RANK(I22,$I$17:$I$28)=3,RANK(I22,$I$17:$I$28)&amp;"rd",RANK(I22,$I$17:$I$28)&amp;"th"))),"")</f>
        <v/>
      </c>
      <c r="K22" s="38" t="str">
        <f>B24</f>
        <v>B2</v>
      </c>
      <c r="L22" s="419" t="s">
        <v>192</v>
      </c>
      <c r="M22" s="592" t="str">
        <f>IF(COUNTBLANK($O$17:$P$30)=0,IF(O22="lose",IF(O18="win",$U$7,U8),""),"")</f>
        <v/>
      </c>
      <c r="N22" s="593"/>
      <c r="O22" s="2" t="str">
        <f>IF(OR(O21="",P21=""),"",IF((O21&gt;P21),"WIN","LOSE"))</f>
        <v/>
      </c>
      <c r="P22" s="2" t="str">
        <f>IF(OR(O21="",P21=""),"",IF((O21&lt;P21),"WIN","LOSE"))</f>
        <v/>
      </c>
      <c r="Q22" s="593" t="str">
        <f>IF(COUNTBLANK($O$17:$P$30)=0,IF(P22="lose",IF(P18="win",$U$10,U9),""),"")</f>
        <v/>
      </c>
      <c r="R22" s="594"/>
      <c r="V22" s="92"/>
      <c r="W22" s="92"/>
      <c r="X22" s="92"/>
      <c r="Y22" s="92"/>
    </row>
    <row r="23" spans="1:25">
      <c r="A23" s="430" t="s">
        <v>209</v>
      </c>
      <c r="B23" s="171" t="s">
        <v>209</v>
      </c>
      <c r="C23" s="14">
        <f>SUM(COUNTIFS(Table4101317251247545298684173134[ATHLETE 2],Table61215192731495671100704476136[[#This Row],[Team]],Table4101317251247545298684173134[RESULT 12],Table36111418263048555399694375135[[#Headers],[WIN]]),COUNTIFS(Table4101317251247545298684173134[ATHLETE 4],Table61215192731495671100704476136[[#This Row],[Team]],Table4101317251247545298684173134[RESULT 34],Table36111418263048555399694375135[[#Headers],[WIN]]))</f>
        <v>0</v>
      </c>
      <c r="D23" s="14">
        <f>SUM(COUNTIFS(Table4101317251247545298684173134[ATHLETE 2],Table61215192731495671100704476136[[#This Row],[Team]],Table4101317251247545298684173134[RESULT 12],Table36111418263048555399694375135[[#Headers],[LOSE]]),COUNTIFS(Table4101317251247545298684173134[ATHLETE 4],Table61215192731495671100704476136[[#This Row],[Team]],Table4101317251247545298684173134[RESULT 34],Table36111418263048555399694375135[[#Headers],[LOSE]]))</f>
        <v>0</v>
      </c>
      <c r="E23" s="19">
        <f>SUM(SUMIF(Table4101317251247545298684173134[ATHLETE 2],Table61215192731495671100704476136[[#This Row],[Team]],Table4101317251247545298684173134[SALDO 12]),SUMIF(Table4101317251247545298684173134[ATHLETE 4],Table61215192731495671100704476136[[#This Row],[Team]],Table4101317251247545298684173134[SALDO 34]))</f>
        <v>0</v>
      </c>
      <c r="F23" s="19">
        <f>SUM(SUMIF(Table4101317251247545298684173134[ATHLETE 2],Table61215192731495671100704476136[[#This Row],[Team]],Table4101317251247545298684173134[PM 12]),SUMIF(Table4101317251247545298684173134[ATHLETE 4],Table61215192731495671100704476136[[#This Row],[Team]],Table4101317251247545298684173134[PM 34]))</f>
        <v>0</v>
      </c>
      <c r="G23" s="14" t="str">
        <f>IF(COUNTBLANK(Table4101317251247545298684173134[[SCORE 1]:[SCORE 2]])=0,IF(RANK(H23,$H$23:$H$26)=1,RANK(H23,$H$23:$H$26)&amp;"st",IF(RANK(H23,$H$23:$H$26)=2,RANK(H23,$H$23:$H$26)&amp;"nd",RANK(H23,$H$23:$H$26)&amp;"th")),"")</f>
        <v/>
      </c>
      <c r="H23" s="51">
        <f>Table61215192731495671100704476136[[#This Row],[WIN]]*1000000+Table61215192731495671100704476136[[#This Row],[Saldo]]*1000+Table61215192731495671100704476136[[#This Row],[PM]]</f>
        <v>0</v>
      </c>
      <c r="I23" s="2">
        <f>H25</f>
        <v>0</v>
      </c>
      <c r="J23" s="2" t="str">
        <f>IF(COUNTBLANK(Table4101317251247545298684173134[[SCORE 1]:[SCORE 2]])=0,IF(RANK(I23,$I$17:$I$28)=1,RANK(I23,$I$17:$I$28)&amp;"st",IF(RANK(I23,$I$17:$I$28)=2,RANK(I23,$I$17:$I$28)&amp;"nd",IF(RANK(I23,$I$17:$I$28)=3,RANK(I23,$I$17:$I$28)&amp;"rd",RANK(I23,$I$17:$I$28)&amp;"th"))),"")</f>
        <v/>
      </c>
      <c r="K23" s="38" t="str">
        <f>B25</f>
        <v>B3</v>
      </c>
      <c r="L23" s="2" t="str">
        <f>J21</f>
        <v/>
      </c>
      <c r="M23" s="598">
        <v>2</v>
      </c>
      <c r="N23" s="599"/>
      <c r="O23" s="183" t="s">
        <v>302</v>
      </c>
      <c r="P23" s="183" t="s">
        <v>302</v>
      </c>
      <c r="Q23" s="599">
        <v>7</v>
      </c>
      <c r="R23" s="600"/>
      <c r="V23" s="66"/>
      <c r="W23" s="66"/>
      <c r="X23" s="66"/>
      <c r="Y23" s="66"/>
    </row>
    <row r="24" spans="1:25">
      <c r="A24" s="430" t="s">
        <v>210</v>
      </c>
      <c r="B24" s="171" t="s">
        <v>210</v>
      </c>
      <c r="C24" s="14">
        <f>SUM(COUNTIFS(Table4101317251247545298684173134[ATHLETE 2],Table61215192731495671100704476136[[#This Row],[Team]],Table4101317251247545298684173134[RESULT 12],Table36111418263048555399694375135[[#Headers],[WIN]]),COUNTIFS(Table4101317251247545298684173134[ATHLETE 4],Table61215192731495671100704476136[[#This Row],[Team]],Table4101317251247545298684173134[RESULT 34],Table36111418263048555399694375135[[#Headers],[WIN]]))</f>
        <v>0</v>
      </c>
      <c r="D24" s="14">
        <f>SUM(COUNTIFS(Table4101317251247545298684173134[ATHLETE 2],Table61215192731495671100704476136[[#This Row],[Team]],Table4101317251247545298684173134[RESULT 12],Table36111418263048555399694375135[[#Headers],[LOSE]]),COUNTIFS(Table4101317251247545298684173134[ATHLETE 4],Table61215192731495671100704476136[[#This Row],[Team]],Table4101317251247545298684173134[RESULT 34],Table36111418263048555399694375135[[#Headers],[LOSE]]))</f>
        <v>0</v>
      </c>
      <c r="E24" s="19">
        <f>SUM(SUMIF(Table4101317251247545298684173134[ATHLETE 2],Table61215192731495671100704476136[[#This Row],[Team]],Table4101317251247545298684173134[SALDO 12]),SUMIF(Table4101317251247545298684173134[ATHLETE 4],Table61215192731495671100704476136[[#This Row],[Team]],Table4101317251247545298684173134[SALDO 34]))</f>
        <v>0</v>
      </c>
      <c r="F24" s="19">
        <f>SUM(SUMIF(Table4101317251247545298684173134[ATHLETE 2],Table61215192731495671100704476136[[#This Row],[Team]],Table4101317251247545298684173134[PM 12]),SUMIF(Table4101317251247545298684173134[ATHLETE 4],Table61215192731495671100704476136[[#This Row],[Team]],Table4101317251247545298684173134[PM 34]))</f>
        <v>0</v>
      </c>
      <c r="G24" s="14" t="str">
        <f>IF(COUNTBLANK(Table4101317251247545298684173134[[SCORE 1]:[SCORE 2]])=0,IF(RANK(H24,$H$23:$H$26)=1,RANK(H24,$H$23:$H$26)&amp;"st",IF(RANK(H24,$H$23:$H$26)=2,RANK(H24,$H$23:$H$26)&amp;"nd",RANK(H24,$H$23:$H$26)&amp;"th")),"")</f>
        <v/>
      </c>
      <c r="H24" s="51">
        <f>Table61215192731495671100704476136[[#This Row],[WIN]]*1000000+Table61215192731495671100704476136[[#This Row],[Saldo]]*1000+Table61215192731495671100704476136[[#This Row],[PM]]</f>
        <v>0</v>
      </c>
      <c r="I24" s="2">
        <f>H26</f>
        <v>0</v>
      </c>
      <c r="J24" s="2" t="str">
        <f>IF(COUNTBLANK(Table4101317251247545298684173134[[SCORE 1]:[SCORE 2]])=0,IF(RANK(I24,$I$17:$I$28)=1,RANK(I24,$I$17:$I$28)&amp;"st",IF(RANK(I24,$I$17:$I$28)=2,RANK(I24,$I$17:$I$28)&amp;"nd",IF(RANK(I24,$I$17:$I$28)=3,RANK(I24,$I$17:$I$28)&amp;"rd",RANK(I24,$I$17:$I$28)&amp;"th"))),"")</f>
        <v/>
      </c>
      <c r="K24" s="38" t="str">
        <f>B26</f>
        <v>B4</v>
      </c>
      <c r="L24" s="2" t="str">
        <f t="shared" ref="L24:L26" si="2">J22</f>
        <v/>
      </c>
      <c r="M24" s="601" t="s">
        <v>297</v>
      </c>
      <c r="N24" s="553"/>
      <c r="O24" s="179" t="s">
        <v>195</v>
      </c>
      <c r="P24" s="181" t="s">
        <v>302</v>
      </c>
      <c r="Q24" s="552" t="s">
        <v>298</v>
      </c>
      <c r="R24" s="602"/>
      <c r="V24" s="66"/>
      <c r="W24" s="66"/>
      <c r="X24" s="66"/>
      <c r="Y24" s="66"/>
    </row>
    <row r="25" spans="1:25">
      <c r="A25" s="430" t="s">
        <v>211</v>
      </c>
      <c r="B25" s="171" t="s">
        <v>211</v>
      </c>
      <c r="C25" s="14">
        <f>SUM(COUNTIFS(Table4101317251247545298684173134[ATHLETE 2],Table61215192731495671100704476136[[#This Row],[Team]],Table4101317251247545298684173134[RESULT 12],Table36111418263048555399694375135[[#Headers],[WIN]]),COUNTIFS(Table4101317251247545298684173134[ATHLETE 4],Table61215192731495671100704476136[[#This Row],[Team]],Table4101317251247545298684173134[RESULT 34],Table36111418263048555399694375135[[#Headers],[WIN]]))</f>
        <v>0</v>
      </c>
      <c r="D25" s="14">
        <f>SUM(COUNTIFS(Table4101317251247545298684173134[ATHLETE 2],Table61215192731495671100704476136[[#This Row],[Team]],Table4101317251247545298684173134[RESULT 12],Table36111418263048555399694375135[[#Headers],[LOSE]]),COUNTIFS(Table4101317251247545298684173134[ATHLETE 4],Table61215192731495671100704476136[[#This Row],[Team]],Table4101317251247545298684173134[RESULT 34],Table36111418263048555399694375135[[#Headers],[LOSE]]))</f>
        <v>0</v>
      </c>
      <c r="E25" s="19">
        <f>SUM(SUMIF(Table4101317251247545298684173134[ATHLETE 2],Table61215192731495671100704476136[[#This Row],[Team]],Table4101317251247545298684173134[SALDO 12]),SUMIF(Table4101317251247545298684173134[ATHLETE 4],Table61215192731495671100704476136[[#This Row],[Team]],Table4101317251247545298684173134[SALDO 34]))</f>
        <v>0</v>
      </c>
      <c r="F25" s="19">
        <f>SUM(SUMIF(Table4101317251247545298684173134[ATHLETE 2],Table61215192731495671100704476136[[#This Row],[Team]],Table4101317251247545298684173134[PM 12]),SUMIF(Table4101317251247545298684173134[ATHLETE 4],Table61215192731495671100704476136[[#This Row],[Team]],Table4101317251247545298684173134[PM 34]))</f>
        <v>0</v>
      </c>
      <c r="G25" s="14" t="str">
        <f>IF(COUNTBLANK(Table4101317251247545298684173134[[SCORE 1]:[SCORE 2]])=0,IF(RANK(H25,$H$23:$H$26)=1,RANK(H25,$H$23:$H$26)&amp;"st",IF(RANK(H25,$H$23:$H$26)=2,RANK(H25,$H$23:$H$26)&amp;"nd",RANK(H25,$H$23:$H$26)&amp;"th")),"")</f>
        <v/>
      </c>
      <c r="H25" s="51">
        <f>Table61215192731495671100704476136[[#This Row],[WIN]]*1000000+Table61215192731495671100704476136[[#This Row],[Saldo]]*1000+Table61215192731495671100704476136[[#This Row],[PM]]</f>
        <v>0</v>
      </c>
      <c r="L25" s="2" t="str">
        <f t="shared" si="2"/>
        <v/>
      </c>
      <c r="M25" s="588" t="str" cm="1">
        <f t="array" ref="M25">_xlfn.TEXTJOIN(", ", TRUE, _xlfn._xlws.FILTER($K$17:$K$24, $J$17:$J$24=$U$5, ""))</f>
        <v/>
      </c>
      <c r="N25" s="589"/>
      <c r="O25" s="119"/>
      <c r="P25" s="119"/>
      <c r="Q25" s="590" t="str" cm="1">
        <f t="array" ref="Q25">_xlfn.TEXTJOIN(", ", TRUE, _xlfn._xlws.FILTER($K$17:$K$24, $J$17:$J$24=$U$8, ""))</f>
        <v/>
      </c>
      <c r="R25" s="591"/>
      <c r="V25" s="66"/>
      <c r="W25" s="66"/>
      <c r="X25" s="66"/>
      <c r="Y25" s="66"/>
    </row>
    <row r="26" spans="1:25">
      <c r="A26" s="430" t="s">
        <v>212</v>
      </c>
      <c r="B26" s="105" t="s">
        <v>212</v>
      </c>
      <c r="C26" s="14">
        <f>SUM(COUNTIFS(Table4101317251247545298684173134[ATHLETE 2],Table61215192731495671100704476136[[#This Row],[Team]],Table4101317251247545298684173134[RESULT 12],Table36111418263048555399694375135[[#Headers],[WIN]]),COUNTIFS(Table4101317251247545298684173134[ATHLETE 4],Table61215192731495671100704476136[[#This Row],[Team]],Table4101317251247545298684173134[RESULT 34],Table36111418263048555399694375135[[#Headers],[WIN]]))</f>
        <v>0</v>
      </c>
      <c r="D26" s="14">
        <f>SUM(COUNTIFS(Table4101317251247545298684173134[ATHLETE 2],Table61215192731495671100704476136[[#This Row],[Team]],Table4101317251247545298684173134[RESULT 12],Table36111418263048555399694375135[[#Headers],[LOSE]]),COUNTIFS(Table4101317251247545298684173134[ATHLETE 4],Table61215192731495671100704476136[[#This Row],[Team]],Table4101317251247545298684173134[RESULT 34],Table36111418263048555399694375135[[#Headers],[LOSE]]))</f>
        <v>0</v>
      </c>
      <c r="E26" s="19">
        <f>SUM(SUMIF(Table4101317251247545298684173134[ATHLETE 2],Table61215192731495671100704476136[[#This Row],[Team]],Table4101317251247545298684173134[SALDO 12]),SUMIF(Table4101317251247545298684173134[ATHLETE 4],Table61215192731495671100704476136[[#This Row],[Team]],Table4101317251247545298684173134[SALDO 34]))</f>
        <v>0</v>
      </c>
      <c r="F26" s="19">
        <f>SUM(SUMIF(Table4101317251247545298684173134[ATHLETE 2],Table61215192731495671100704476136[[#This Row],[Team]],Table4101317251247545298684173134[PM 12]),SUMIF(Table4101317251247545298684173134[ATHLETE 4],Table61215192731495671100704476136[[#This Row],[Team]],Table4101317251247545298684173134[PM 34]))</f>
        <v>0</v>
      </c>
      <c r="G26" s="14" t="str">
        <f>IF(COUNTBLANK(Table4101317251247545298684173134[[SCORE 1]:[SCORE 2]])=0,IF(RANK(H26,$H$23:$H$26)=1,RANK(H26,$H$23:$H$26)&amp;"st",IF(RANK(H26,$H$23:$H$26)=2,RANK(H26,$H$23:$H$26)&amp;"nd",RANK(H26,$H$23:$H$26)&amp;"th")),"")</f>
        <v/>
      </c>
      <c r="H26" s="51">
        <f>Table61215192731495671100704476136[[#This Row],[WIN]]*1000000+Table61215192731495671100704476136[[#This Row],[Saldo]]*1000+Table61215192731495671100704476136[[#This Row],[PM]]</f>
        <v>0</v>
      </c>
      <c r="L26" s="2" t="str">
        <f t="shared" si="2"/>
        <v/>
      </c>
      <c r="M26" s="592" t="str">
        <f>IF(COUNTBLANK($O$17:$P$30)=0,IF(O26="lose",IF(AND($O$18="lose",$O$22="lose"),$U$9,IF(OR($O$18="lose",$O$22="lose"),$U$8,$U$7)),""),"")</f>
        <v/>
      </c>
      <c r="N26" s="593"/>
      <c r="O26" s="2" t="str">
        <f>IF(OR(O25="",P25=""),"",IF((O25&gt;P25),"WIN","LOSE"))</f>
        <v/>
      </c>
      <c r="P26" s="2" t="str">
        <f>IF(OR(O25="",P25=""),"",IF((O25&lt;P25),"WIN","LOSE"))</f>
        <v/>
      </c>
      <c r="Q26" s="593" t="str">
        <f>IF(COUNTBLANK($O$17:$P$30)=0,IF(P26="lose",IF(AND($P$18="lose",$P$22="lose"),$U$7,IF(OR($P$18="lose",$P$22="lose"),$U$8,$U$9)),""),"")</f>
        <v/>
      </c>
      <c r="R26" s="594"/>
      <c r="V26" s="66"/>
      <c r="W26" s="66"/>
      <c r="X26" s="66"/>
      <c r="Y26" s="66"/>
    </row>
    <row r="27" spans="1:25">
      <c r="L27" s="2"/>
      <c r="M27" s="598">
        <v>3</v>
      </c>
      <c r="N27" s="599"/>
      <c r="O27" s="183" t="s">
        <v>302</v>
      </c>
      <c r="P27" s="183" t="s">
        <v>302</v>
      </c>
      <c r="Q27" s="599">
        <v>6</v>
      </c>
      <c r="R27" s="600"/>
      <c r="V27" s="66"/>
      <c r="W27" s="66"/>
      <c r="X27" s="66"/>
      <c r="Y27" s="66"/>
    </row>
    <row r="28" spans="1:25">
      <c r="M28" s="601" t="s">
        <v>297</v>
      </c>
      <c r="N28" s="553"/>
      <c r="O28" s="179" t="s">
        <v>195</v>
      </c>
      <c r="P28" s="181" t="s">
        <v>302</v>
      </c>
      <c r="Q28" s="552" t="s">
        <v>298</v>
      </c>
      <c r="R28" s="602"/>
      <c r="V28" s="66"/>
      <c r="W28" s="66"/>
      <c r="X28" s="66"/>
      <c r="Y28" s="66"/>
    </row>
    <row r="29" spans="1:25">
      <c r="I29" s="2"/>
      <c r="J29" s="2"/>
      <c r="K29" s="2"/>
      <c r="M29" s="588" t="str" cm="1">
        <f t="array" ref="M29">_xlfn.TEXTJOIN(", ", TRUE, _xlfn._xlws.FILTER($K$17:$K$24, $J$17:$J$24=$U$6, ""))</f>
        <v/>
      </c>
      <c r="N29" s="589"/>
      <c r="O29" s="119"/>
      <c r="P29" s="119"/>
      <c r="Q29" s="590" t="str" cm="1">
        <f t="array" ref="Q29">_xlfn.TEXTJOIN(", ", TRUE, _xlfn._xlws.FILTER($K$17:$K$24, $J$17:$J$24=$U$7, ""))</f>
        <v/>
      </c>
      <c r="R29" s="591"/>
      <c r="V29" s="66"/>
      <c r="W29" s="66"/>
      <c r="X29" s="66"/>
      <c r="Y29" s="66"/>
    </row>
    <row r="30" spans="1:25">
      <c r="I30" s="2"/>
      <c r="J30" s="2"/>
      <c r="K30" s="2"/>
      <c r="M30" s="592" t="str">
        <f>IF(COUNTBLANK($O$17:$P$30)=0,IF(O30="lose",IF(COUNTIF(O18:O26,"lose")=3,$U$10,IF(COUNTIF(O18:O26,"lose")=2,U9,IF(COUNTIF(O18:O26,"lose")=1,U8,U7))),""),"")</f>
        <v/>
      </c>
      <c r="N30" s="593"/>
      <c r="O30" s="2" t="str">
        <f>IF(OR(O29="",P29=""),"",IF((O29&gt;P29),"WIN","LOSE"))</f>
        <v/>
      </c>
      <c r="P30" s="2" t="str">
        <f>IF(OR(O29="",P29=""),"",IF((O29&lt;P29),"WIN","LOSE"))</f>
        <v/>
      </c>
      <c r="Q30" s="593" t="str">
        <f>IF(COUNTBLANK($O$17:$P$30)=0,IF(P30="lose",IF(COUNTIF(O18:O26,"lose")=3,$U$10,IF(COUNTIF(O18:O26,"lose")=2,U9,IF(COUNTIF(O18:O26,"lose")=1,U8,U7))),""),"")</f>
        <v/>
      </c>
      <c r="R30" s="594"/>
      <c r="U30">
        <f>COUNTIF(O17:O26,"lose")</f>
        <v>0</v>
      </c>
      <c r="V30" s="66"/>
      <c r="W30" s="66"/>
      <c r="X30" s="66"/>
      <c r="Y30" s="66"/>
    </row>
    <row r="31" spans="1:25" ht="15.95" thickBot="1">
      <c r="I31" s="2"/>
      <c r="J31" s="2"/>
      <c r="K31" s="2"/>
      <c r="M31" s="595">
        <v>4</v>
      </c>
      <c r="N31" s="596"/>
      <c r="O31" s="184" t="s">
        <v>302</v>
      </c>
      <c r="P31" s="184" t="s">
        <v>302</v>
      </c>
      <c r="Q31" s="596">
        <v>5</v>
      </c>
      <c r="R31" s="597"/>
      <c r="V31" s="66"/>
      <c r="W31" s="66"/>
      <c r="X31" s="66"/>
      <c r="Y31" s="66"/>
    </row>
    <row r="32" spans="1:25" ht="29.1">
      <c r="I32" s="2"/>
      <c r="J32" s="2"/>
      <c r="K32" s="2"/>
      <c r="M32" s="560" t="s">
        <v>199</v>
      </c>
      <c r="N32" s="561"/>
      <c r="O32" s="561"/>
      <c r="P32" s="561"/>
      <c r="Q32" s="561"/>
      <c r="R32" s="562"/>
      <c r="V32" s="66"/>
      <c r="W32" s="66"/>
      <c r="X32" s="66"/>
      <c r="Y32" s="66"/>
    </row>
    <row r="33" spans="1:25" ht="15.95" thickBot="1">
      <c r="M33" s="563" t="s">
        <v>193</v>
      </c>
      <c r="N33" s="543"/>
      <c r="O33" s="177" t="s">
        <v>195</v>
      </c>
      <c r="P33" s="182" t="s">
        <v>302</v>
      </c>
      <c r="Q33" s="542" t="s">
        <v>196</v>
      </c>
      <c r="R33" s="564"/>
      <c r="T33" s="66"/>
      <c r="U33" s="66"/>
      <c r="V33" s="66"/>
      <c r="W33" s="66"/>
      <c r="X33" s="66"/>
      <c r="Y33" s="66"/>
    </row>
    <row r="34" spans="1:25" ht="15.95" thickBot="1">
      <c r="A34" s="123" t="s">
        <v>218</v>
      </c>
      <c r="B34" s="124">
        <v>45814</v>
      </c>
      <c r="M34" s="581" t="str">
        <f>IF(COUNTBLANK($O$17:$P$30)&lt;&gt;0,"",IF($O$18="win",M17,Q17))</f>
        <v/>
      </c>
      <c r="N34" s="582"/>
      <c r="O34" s="149"/>
      <c r="P34" s="150"/>
      <c r="Q34" s="583" t="str">
        <f>IF(COUNTBLANK($O$17:$P$30)&lt;&gt;0,"",IF($O$30="win",M29,Q29))</f>
        <v/>
      </c>
      <c r="R34" s="584"/>
      <c r="T34" s="66"/>
      <c r="U34" s="66"/>
      <c r="V34" s="66"/>
      <c r="W34" s="66"/>
      <c r="X34" s="66"/>
      <c r="Y34" s="66"/>
    </row>
    <row r="35" spans="1:25">
      <c r="M35" s="572"/>
      <c r="N35" s="573"/>
      <c r="O35" s="2" t="str">
        <f>IF(OR(O34="",P34=""),"",IF((O34&gt;P34),"WIN","LOSE"))</f>
        <v/>
      </c>
      <c r="P35" s="2" t="str">
        <f>IF(OR(O34="",P34=""),"",IF((O34&lt;P34),"WIN","LOSE"))</f>
        <v/>
      </c>
      <c r="Q35" s="573"/>
      <c r="R35" s="574"/>
      <c r="T35" s="66"/>
      <c r="U35" s="66"/>
      <c r="V35" s="66"/>
      <c r="W35" s="66"/>
      <c r="X35" s="66"/>
      <c r="Y35" s="66"/>
    </row>
    <row r="36" spans="1:25">
      <c r="M36" s="578">
        <v>18</v>
      </c>
      <c r="N36" s="579"/>
      <c r="O36" s="185" t="s">
        <v>302</v>
      </c>
      <c r="P36" s="185" t="s">
        <v>302</v>
      </c>
      <c r="Q36" s="579">
        <v>45</v>
      </c>
      <c r="R36" s="580"/>
      <c r="T36" s="66"/>
      <c r="U36" s="66"/>
      <c r="V36" s="66"/>
      <c r="W36" s="66"/>
      <c r="X36" s="66"/>
      <c r="Y36" s="66"/>
    </row>
    <row r="37" spans="1:25">
      <c r="M37" s="563" t="s">
        <v>193</v>
      </c>
      <c r="N37" s="543"/>
      <c r="O37" s="177" t="s">
        <v>195</v>
      </c>
      <c r="P37" s="178" t="s">
        <v>302</v>
      </c>
      <c r="Q37" s="542" t="s">
        <v>196</v>
      </c>
      <c r="R37" s="564"/>
      <c r="T37" s="66"/>
      <c r="U37" s="66"/>
      <c r="V37" s="66"/>
      <c r="W37" s="66"/>
      <c r="X37" s="66"/>
      <c r="Y37" s="66"/>
    </row>
    <row r="38" spans="1:25">
      <c r="M38" s="581" t="str">
        <f>IF(COUNTBLANK($O$17:$P$30)&lt;&gt;0,"",IF($O$22="win",M21,Q21))</f>
        <v/>
      </c>
      <c r="N38" s="582"/>
      <c r="O38" s="149"/>
      <c r="P38" s="150"/>
      <c r="Q38" s="583" t="str">
        <f>IF(COUNTBLANK($O$17:$P$30)&lt;&gt;0,"",IF($O$26="win",M25,Q25))</f>
        <v/>
      </c>
      <c r="R38" s="584"/>
      <c r="T38" s="66"/>
      <c r="U38" s="66"/>
      <c r="V38" s="66"/>
      <c r="W38" s="66"/>
      <c r="X38" s="66"/>
    </row>
    <row r="39" spans="1:25">
      <c r="M39" s="572"/>
      <c r="N39" s="573"/>
      <c r="O39" s="2" t="str">
        <f>IF(OR(O38="",P38=""),"",IF((O38&gt;P38),"WIN","LOSE"))</f>
        <v/>
      </c>
      <c r="P39" s="2" t="str">
        <f>IF(OR(O38="",P38=""),"",IF((O38&lt;P38),"WIN","LOSE"))</f>
        <v/>
      </c>
      <c r="Q39" s="573"/>
      <c r="R39" s="574"/>
    </row>
    <row r="40" spans="1:25" ht="15.95" thickBot="1">
      <c r="M40" s="585">
        <v>27</v>
      </c>
      <c r="N40" s="586"/>
      <c r="O40" s="186" t="s">
        <v>302</v>
      </c>
      <c r="P40" s="186" t="s">
        <v>302</v>
      </c>
      <c r="Q40" s="586">
        <v>36</v>
      </c>
      <c r="R40" s="587"/>
    </row>
    <row r="41" spans="1:25" ht="29.1" customHeight="1">
      <c r="M41" s="560" t="s">
        <v>308</v>
      </c>
      <c r="N41" s="561"/>
      <c r="O41" s="561"/>
      <c r="P41" s="561"/>
      <c r="Q41" s="561"/>
      <c r="R41" s="562"/>
    </row>
    <row r="42" spans="1:25">
      <c r="M42" s="563" t="s">
        <v>193</v>
      </c>
      <c r="N42" s="543"/>
      <c r="O42" s="417" t="s">
        <v>195</v>
      </c>
      <c r="P42" s="418"/>
      <c r="Q42" s="542" t="s">
        <v>196</v>
      </c>
      <c r="R42" s="564"/>
    </row>
    <row r="43" spans="1:25">
      <c r="M43" s="565" t="str">
        <f>IF(COUNTBLANK($O$34:$P$40)&lt;&gt;0,"",IF($O$35="lose",M34,Q34))</f>
        <v/>
      </c>
      <c r="N43" s="566"/>
      <c r="O43" s="149"/>
      <c r="P43" s="149"/>
      <c r="Q43" s="567" t="str">
        <f>IF(COUNTBLANK($O$34:$P$40)&lt;&gt;0,"",IF($O$39="lose",M38,Q38))</f>
        <v/>
      </c>
      <c r="R43" s="568"/>
    </row>
    <row r="44" spans="1:25">
      <c r="M44" s="572" t="str">
        <f>IF(COUNTBLANK(O43:P43)&lt;&gt;0,"",IF($O$44="lose",$U$6,$U$5))</f>
        <v/>
      </c>
      <c r="N44" s="573"/>
      <c r="O44" s="2" t="str">
        <f>IF(OR(O43="",P43=""),"",IF((O43&gt;P43),"WIN","LOSE"))</f>
        <v/>
      </c>
      <c r="P44" s="2" t="str">
        <f>IF(OR(O43="",P43=""),"",IF((O43&lt;P43),"WIN","LOSE"))</f>
        <v/>
      </c>
      <c r="Q44" s="573" t="str">
        <f>IF(COUNTBLANK(O43:P43)&lt;&gt;0,"",IF($P$44="lose",$U$6,$U$5))</f>
        <v/>
      </c>
      <c r="R44" s="574"/>
    </row>
    <row r="45" spans="1:25" ht="15.95" thickBot="1">
      <c r="M45" s="575"/>
      <c r="N45" s="576"/>
      <c r="O45" s="186" t="s">
        <v>302</v>
      </c>
      <c r="P45" s="186" t="s">
        <v>302</v>
      </c>
      <c r="Q45" s="576"/>
      <c r="R45" s="577"/>
    </row>
    <row r="46" spans="1:25" ht="30" customHeight="1">
      <c r="M46" s="560" t="s">
        <v>200</v>
      </c>
      <c r="N46" s="561"/>
      <c r="O46" s="561"/>
      <c r="P46" s="561"/>
      <c r="Q46" s="561"/>
      <c r="R46" s="562"/>
    </row>
    <row r="47" spans="1:25">
      <c r="M47" s="563" t="s">
        <v>193</v>
      </c>
      <c r="N47" s="543"/>
      <c r="O47" s="417" t="s">
        <v>195</v>
      </c>
      <c r="P47" s="418"/>
      <c r="Q47" s="542" t="s">
        <v>196</v>
      </c>
      <c r="R47" s="564"/>
    </row>
    <row r="48" spans="1:25">
      <c r="M48" s="565" t="str">
        <f>IF(COUNTBLANK($O$34:$P$40)&lt;&gt;0,"",IF($O$35="win",M34,Q34))</f>
        <v/>
      </c>
      <c r="N48" s="566"/>
      <c r="O48" s="149"/>
      <c r="P48" s="149"/>
      <c r="Q48" s="567" t="str">
        <f>IF(COUNTBLANK($O$34:$P$40)&lt;&gt;0,"",IF($O$39="win",M38,Q38))</f>
        <v/>
      </c>
      <c r="R48" s="568"/>
    </row>
    <row r="49" spans="13:18" ht="15.95" thickBot="1">
      <c r="M49" s="569" t="str">
        <f>IF(COUNTBLANK(O48:P48)&lt;&gt;0,"",IF($O$49="lose",$U$4,$U$3))</f>
        <v/>
      </c>
      <c r="N49" s="570"/>
      <c r="O49" s="187" t="str">
        <f>IF(OR(O48="",P48=""),"",IF((O48&gt;P48),"WIN","LOSE"))</f>
        <v/>
      </c>
      <c r="P49" s="187" t="str">
        <f>IF(OR(O48="",P48=""),"",IF((O48&lt;P48),"WIN","LOSE"))</f>
        <v/>
      </c>
      <c r="Q49" s="570" t="str">
        <f>IF(COUNTBLANK(O48:P48)&lt;&gt;0,"",IF($P$49="lose",$U$4,$U$3))</f>
        <v/>
      </c>
      <c r="R49" s="571"/>
    </row>
    <row r="50" spans="13:18">
      <c r="M50" s="559"/>
      <c r="N50" s="559"/>
      <c r="Q50" s="559"/>
      <c r="R50" s="559"/>
    </row>
  </sheetData>
  <sheetProtection algorithmName="SHA-512" hashValue="imSGvqCP1ojNpHoTg7sAux0nA1CcYY4vo30UHahfKHg06+hKLD0gDiirvZ01JGktuIzK3yWZQDoQs8VdLdM30A==" saltValue="t6mDf7D4D1BXvXhKIQXbYQ==" spinCount="100000" sheet="1" objects="1" scenarios="1"/>
  <mergeCells count="71">
    <mergeCell ref="A1:A13"/>
    <mergeCell ref="A15:G15"/>
    <mergeCell ref="M15:R15"/>
    <mergeCell ref="M18:N18"/>
    <mergeCell ref="M32:R32"/>
    <mergeCell ref="Q18:R18"/>
    <mergeCell ref="M19:N19"/>
    <mergeCell ref="Q19:R19"/>
    <mergeCell ref="M25:N25"/>
    <mergeCell ref="Q25:R25"/>
    <mergeCell ref="M29:N29"/>
    <mergeCell ref="Q29:R29"/>
    <mergeCell ref="M28:N28"/>
    <mergeCell ref="Q24:R24"/>
    <mergeCell ref="Q28:R28"/>
    <mergeCell ref="M33:N33"/>
    <mergeCell ref="Q33:R33"/>
    <mergeCell ref="M34:N34"/>
    <mergeCell ref="Q22:R22"/>
    <mergeCell ref="M22:N22"/>
    <mergeCell ref="M23:N23"/>
    <mergeCell ref="Q23:R23"/>
    <mergeCell ref="M27:N27"/>
    <mergeCell ref="Q27:R27"/>
    <mergeCell ref="M31:N31"/>
    <mergeCell ref="Q31:R31"/>
    <mergeCell ref="M30:N30"/>
    <mergeCell ref="Q30:R30"/>
    <mergeCell ref="M26:N26"/>
    <mergeCell ref="Q26:R26"/>
    <mergeCell ref="M24:N24"/>
    <mergeCell ref="T1:U1"/>
    <mergeCell ref="Q20:R20"/>
    <mergeCell ref="M17:N17"/>
    <mergeCell ref="Q17:R17"/>
    <mergeCell ref="M21:N21"/>
    <mergeCell ref="Q21:R21"/>
    <mergeCell ref="M16:N16"/>
    <mergeCell ref="Q16:R16"/>
    <mergeCell ref="M20:N20"/>
    <mergeCell ref="Q34:R34"/>
    <mergeCell ref="Q37:R37"/>
    <mergeCell ref="Q38:R38"/>
    <mergeCell ref="M37:N37"/>
    <mergeCell ref="M38:N38"/>
    <mergeCell ref="M35:N35"/>
    <mergeCell ref="Q35:R35"/>
    <mergeCell ref="M36:N36"/>
    <mergeCell ref="Q36:R36"/>
    <mergeCell ref="Q43:R43"/>
    <mergeCell ref="M46:R46"/>
    <mergeCell ref="M45:N45"/>
    <mergeCell ref="Q45:R45"/>
    <mergeCell ref="M42:N42"/>
    <mergeCell ref="Q42:R42"/>
    <mergeCell ref="M43:N43"/>
    <mergeCell ref="Q40:R40"/>
    <mergeCell ref="M40:N40"/>
    <mergeCell ref="M41:R41"/>
    <mergeCell ref="M39:N39"/>
    <mergeCell ref="Q39:R39"/>
    <mergeCell ref="Q49:R49"/>
    <mergeCell ref="M49:N49"/>
    <mergeCell ref="M50:N50"/>
    <mergeCell ref="Q50:R50"/>
    <mergeCell ref="M44:N44"/>
    <mergeCell ref="Q44:R44"/>
    <mergeCell ref="M48:N48"/>
    <mergeCell ref="Q48:R48"/>
    <mergeCell ref="Q47:R47"/>
    <mergeCell ref="M47:N47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C6F4-42E4-DA43-B476-9360B2DB2D58}">
  <sheetPr codeName="Sheet23"/>
  <dimension ref="A1:X32"/>
  <sheetViews>
    <sheetView workbookViewId="0">
      <selection sqref="A1:A13"/>
    </sheetView>
    <sheetView workbookViewId="1">
      <selection sqref="A1:A13"/>
    </sheetView>
  </sheetViews>
  <sheetFormatPr defaultColWidth="8.85546875" defaultRowHeight="15"/>
  <cols>
    <col min="1" max="1" width="10.7109375" style="44" customWidth="1"/>
    <col min="2" max="4" width="20" style="44" customWidth="1"/>
    <col min="5" max="6" width="10.7109375" style="44" customWidth="1"/>
    <col min="7" max="7" width="20" style="44" customWidth="1"/>
    <col min="8" max="8" width="11.28515625" style="44" hidden="1" customWidth="1"/>
    <col min="9" max="9" width="12" style="44" hidden="1" customWidth="1"/>
    <col min="10" max="10" width="10.7109375" style="44" hidden="1" customWidth="1"/>
    <col min="11" max="11" width="8" style="44" hidden="1" customWidth="1"/>
    <col min="12" max="12" width="20" style="44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 ht="15" customHeight="1">
      <c r="A1" s="550" t="s">
        <v>322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323</v>
      </c>
      <c r="U1" s="545"/>
      <c r="W1" s="44" t="s">
        <v>205</v>
      </c>
      <c r="X1" s="44">
        <f>COUNTIF(Games_2[[ATHLETE 1]:[ATHLETE 4]],W1)</f>
        <v>3</v>
      </c>
    </row>
    <row r="2" spans="1:24" ht="15" customHeight="1">
      <c r="A2" s="550"/>
      <c r="B2" s="430" t="s">
        <v>178</v>
      </c>
      <c r="C2" s="2" t="str">
        <f>$B$21</f>
        <v>HA1</v>
      </c>
      <c r="D2" s="38" t="str">
        <f>B17</f>
        <v>A1</v>
      </c>
      <c r="E2" s="100"/>
      <c r="F2" s="101"/>
      <c r="G2" s="41" t="str">
        <f>$B$22</f>
        <v>HA2</v>
      </c>
      <c r="H2" s="41"/>
      <c r="I2" s="41"/>
      <c r="J2" s="41"/>
      <c r="K2" s="41"/>
      <c r="L2" s="2" t="str">
        <f>B18</f>
        <v>A2</v>
      </c>
      <c r="M2" s="430" t="str">
        <f>IF(OR(Games_2[[#This Row],[SCORE 1]]="",Games_2[[#This Row],[SCORE 2]]=""),"",Games_2[[#This Row],[SCORE 1]]-Games_2[[#This Row],[SCORE 2]])</f>
        <v/>
      </c>
      <c r="N2" s="430" t="str">
        <f>IF(OR(Games_2[[#This Row],[SCORE 1]]="",Games_2[[#This Row],[SCORE 2]]=""),"",Games_2[[#This Row],[SCORE 2]]-Games_2[[#This Row],[SCORE 1]])</f>
        <v/>
      </c>
      <c r="O2" s="430" t="str">
        <f>IF(Games_2[[#This Row],[SCORE 1]]="","",Games_2[[#This Row],[SCORE 1]])</f>
        <v/>
      </c>
      <c r="P2" s="430" t="str">
        <f>IF(Games_2[[#This Row],[SCORE 2]]="","",Games_2[[#This Row],[SCORE 2]])</f>
        <v/>
      </c>
      <c r="Q2" s="430" t="str">
        <f>IF(OR(Games_2[[#This Row],[SCORE 1]]="",Games_2[[#This Row],[SCORE 2]]=""),"",IF(Games_2[[#This Row],[SALDO 12]]&gt;0, "WIN","LOSE"))</f>
        <v/>
      </c>
      <c r="R2" s="430" t="str">
        <f>IF(OR(Games_2[[#This Row],[SCORE 2]]="",Games_2[[#This Row],[SCORE 1]]=""),"",IF(Games_2[[#This Row],[SALDO 34]]&gt;0, "WIN","LOSE"))</f>
        <v/>
      </c>
      <c r="T2" s="35" t="s">
        <v>179</v>
      </c>
      <c r="U2" s="35" t="s">
        <v>8</v>
      </c>
      <c r="W2" s="44" t="s">
        <v>206</v>
      </c>
      <c r="X2" s="44">
        <f>COUNTIF(Games_2[[ATHLETE 1]:[ATHLETE 4]],W2)</f>
        <v>3</v>
      </c>
    </row>
    <row r="3" spans="1:24">
      <c r="A3" s="550"/>
      <c r="B3" s="430" t="s">
        <v>180</v>
      </c>
      <c r="C3" s="2" t="str">
        <f>$B$29</f>
        <v>HB1</v>
      </c>
      <c r="D3" s="38" t="str">
        <f>B25</f>
        <v>B1</v>
      </c>
      <c r="E3" s="100"/>
      <c r="F3" s="101"/>
      <c r="G3" s="41" t="str">
        <f>$B$30</f>
        <v>HB2</v>
      </c>
      <c r="H3" s="41"/>
      <c r="I3" s="41"/>
      <c r="J3" s="41"/>
      <c r="K3" s="41"/>
      <c r="L3" s="2" t="str">
        <f>B26</f>
        <v>B2</v>
      </c>
      <c r="M3" s="430" t="str">
        <f>IF(OR(Games_2[[#This Row],[SCORE 1]]="",Games_2[[#This Row],[SCORE 2]]=""),"",Games_2[[#This Row],[SCORE 1]]-Games_2[[#This Row],[SCORE 2]])</f>
        <v/>
      </c>
      <c r="N3" s="430" t="str">
        <f>IF(OR(Games_2[[#This Row],[SCORE 1]]="",Games_2[[#This Row],[SCORE 2]]=""),"",Games_2[[#This Row],[SCORE 2]]-Games_2[[#This Row],[SCORE 1]])</f>
        <v/>
      </c>
      <c r="O3" s="430" t="str">
        <f>IF(Games_2[[#This Row],[SCORE 1]]="","",Games_2[[#This Row],[SCORE 1]])</f>
        <v/>
      </c>
      <c r="P3" s="430" t="str">
        <f>IF(Games_2[[#This Row],[SCORE 2]]="","",Games_2[[#This Row],[SCORE 2]])</f>
        <v/>
      </c>
      <c r="Q3" s="430" t="str">
        <f>IF(OR(Games_2[[#This Row],[SCORE 1]]="",Games_2[[#This Row],[SCORE 2]]=""),"",IF(Games_2[[#This Row],[SALDO 12]]&gt;0, "WIN","LOSE"))</f>
        <v/>
      </c>
      <c r="R3" s="430" t="str">
        <f>IF(OR(Games_2[[#This Row],[SCORE 2]]="",Games_2[[#This Row],[SCORE 1]]=""),"",IF(Games_2[[#This Row],[SALDO 34]]&gt;0, "WIN","LOSE"))</f>
        <v/>
      </c>
      <c r="T3" s="2" t="str">
        <f>IFERROR(_xlfn.XLOOKUP(Table157223544789133510[[#This Row],[Rank]],$M$24:$R$24,$M$23:$R$23),"")</f>
        <v/>
      </c>
      <c r="U3" s="2" t="s">
        <v>19</v>
      </c>
      <c r="W3" s="44" t="s">
        <v>207</v>
      </c>
      <c r="X3" s="44">
        <f>COUNTIF(Games_2[[ATHLETE 1]:[ATHLETE 4]],W3)</f>
        <v>3</v>
      </c>
    </row>
    <row r="4" spans="1:24">
      <c r="A4" s="550"/>
      <c r="B4" s="430" t="s">
        <v>178</v>
      </c>
      <c r="C4" s="2" t="str">
        <f>$B$21</f>
        <v>HA1</v>
      </c>
      <c r="D4" s="38" t="str">
        <f>B19</f>
        <v>A3</v>
      </c>
      <c r="E4" s="100"/>
      <c r="F4" s="101"/>
      <c r="G4" s="41" t="str">
        <f>$B$22</f>
        <v>HA2</v>
      </c>
      <c r="H4" s="41"/>
      <c r="I4" s="41"/>
      <c r="J4" s="41"/>
      <c r="K4" s="41"/>
      <c r="L4" s="2" t="str">
        <f>B20</f>
        <v>A4</v>
      </c>
      <c r="M4" s="430" t="str">
        <f>IF(OR(Games_2[[#This Row],[SCORE 1]]="",Games_2[[#This Row],[SCORE 2]]=""),"",Games_2[[#This Row],[SCORE 1]]-Games_2[[#This Row],[SCORE 2]])</f>
        <v/>
      </c>
      <c r="N4" s="430" t="str">
        <f>IF(OR(Games_2[[#This Row],[SCORE 1]]="",Games_2[[#This Row],[SCORE 2]]=""),"",Games_2[[#This Row],[SCORE 2]]-Games_2[[#This Row],[SCORE 1]])</f>
        <v/>
      </c>
      <c r="O4" s="430" t="str">
        <f>IF(Games_2[[#This Row],[SCORE 1]]="","",Games_2[[#This Row],[SCORE 1]])</f>
        <v/>
      </c>
      <c r="P4" s="430" t="str">
        <f>IF(Games_2[[#This Row],[SCORE 2]]="","",Games_2[[#This Row],[SCORE 2]])</f>
        <v/>
      </c>
      <c r="Q4" s="430" t="str">
        <f>IF(OR(Games_2[[#This Row],[SCORE 1]]="",Games_2[[#This Row],[SCORE 2]]=""),"",IF(Games_2[[#This Row],[SALDO 12]]&gt;0, "WIN","LOSE"))</f>
        <v/>
      </c>
      <c r="R4" s="430" t="str">
        <f>IF(OR(Games_2[[#This Row],[SCORE 2]]="",Games_2[[#This Row],[SCORE 1]]=""),"",IF(Games_2[[#This Row],[SALDO 34]]&gt;0, "WIN","LOSE"))</f>
        <v/>
      </c>
      <c r="T4" s="2" t="str">
        <f>IFERROR(_xlfn.XLOOKUP(Table157223544789133510[[#This Row],[Rank]],$M$24:$R$24,$M$23:$R$23),"")</f>
        <v/>
      </c>
      <c r="U4" s="2" t="s">
        <v>22</v>
      </c>
      <c r="W4" s="44" t="s">
        <v>208</v>
      </c>
      <c r="X4" s="44">
        <f>COUNTIF(Games_2[[ATHLETE 1]:[ATHLETE 4]],W4)</f>
        <v>3</v>
      </c>
    </row>
    <row r="5" spans="1:24">
      <c r="A5" s="550"/>
      <c r="B5" s="430" t="s">
        <v>180</v>
      </c>
      <c r="C5" s="2" t="str">
        <f>$B$29</f>
        <v>HB1</v>
      </c>
      <c r="D5" s="38" t="str">
        <f>B27</f>
        <v>B3</v>
      </c>
      <c r="E5" s="100"/>
      <c r="F5" s="101"/>
      <c r="G5" s="41" t="str">
        <f>$B$30</f>
        <v>HB2</v>
      </c>
      <c r="H5" s="41"/>
      <c r="I5" s="41"/>
      <c r="J5" s="41"/>
      <c r="K5" s="41"/>
      <c r="L5" s="2" t="str">
        <f>B28</f>
        <v>B4</v>
      </c>
      <c r="M5" s="11" t="str">
        <f>IF(OR(Games_2[[#This Row],[SCORE 1]]="",Games_2[[#This Row],[SCORE 2]]=""),"",Games_2[[#This Row],[SCORE 1]]-Games_2[[#This Row],[SCORE 2]])</f>
        <v/>
      </c>
      <c r="N5" s="430" t="str">
        <f>IF(OR(Games_2[[#This Row],[SCORE 1]]="",Games_2[[#This Row],[SCORE 2]]=""),"",Games_2[[#This Row],[SCORE 2]]-Games_2[[#This Row],[SCORE 1]])</f>
        <v/>
      </c>
      <c r="O5" s="430" t="str">
        <f>IF(Games_2[[#This Row],[SCORE 1]]="","",Games_2[[#This Row],[SCORE 1]])</f>
        <v/>
      </c>
      <c r="P5" s="430" t="str">
        <f>IF(Games_2[[#This Row],[SCORE 2]]="","",Games_2[[#This Row],[SCORE 2]])</f>
        <v/>
      </c>
      <c r="Q5" s="430" t="str">
        <f>IF(OR(Games_2[[#This Row],[SCORE 1]]="",Games_2[[#This Row],[SCORE 2]]=""),"",IF(Games_2[[#This Row],[SALDO 12]]&gt;0, "WIN","LOSE"))</f>
        <v/>
      </c>
      <c r="R5" s="430" t="str">
        <f>IF(OR(Games_2[[#This Row],[SCORE 2]]="",Games_2[[#This Row],[SCORE 1]]=""),"",IF(Games_2[[#This Row],[SALDO 34]]&gt;0, "WIN","LOSE"))</f>
        <v/>
      </c>
      <c r="T5" s="2" t="str">
        <f>IFERROR(_xlfn.XLOOKUP(Table157223544789133510[[#This Row],[Rank]],$M$18:$R$18,$M$17:$R$17),"")</f>
        <v/>
      </c>
      <c r="U5" s="2" t="s">
        <v>25</v>
      </c>
      <c r="W5" s="44" t="s">
        <v>230</v>
      </c>
      <c r="X5" s="44">
        <f>COUNTIF(Games_2[[ATHLETE 1]:[ATHLETE 4]],W5)</f>
        <v>0</v>
      </c>
    </row>
    <row r="6" spans="1:24">
      <c r="A6" s="550"/>
      <c r="B6" s="430" t="s">
        <v>178</v>
      </c>
      <c r="C6" s="2" t="str">
        <f>$B$21</f>
        <v>HA1</v>
      </c>
      <c r="D6" s="38" t="str">
        <f>B17</f>
        <v>A1</v>
      </c>
      <c r="E6" s="100"/>
      <c r="F6" s="101"/>
      <c r="G6" s="41" t="str">
        <f>$B$22</f>
        <v>HA2</v>
      </c>
      <c r="H6" s="41"/>
      <c r="I6" s="41"/>
      <c r="J6" s="41"/>
      <c r="K6" s="41"/>
      <c r="L6" s="2" t="str">
        <f>B19</f>
        <v>A3</v>
      </c>
      <c r="M6" s="2" t="str">
        <f>IF(OR(Games_2[[#This Row],[SCORE 1]]="",Games_2[[#This Row],[SCORE 2]]=""),"",Games_2[[#This Row],[SCORE 1]]-Games_2[[#This Row],[SCORE 2]])</f>
        <v/>
      </c>
      <c r="N6" s="430" t="str">
        <f>IF(OR(Games_2[[#This Row],[SCORE 1]]="",Games_2[[#This Row],[SCORE 2]]=""),"",Games_2[[#This Row],[SCORE 2]]-Games_2[[#This Row],[SCORE 1]])</f>
        <v/>
      </c>
      <c r="O6" s="430" t="str">
        <f>IF(Games_2[[#This Row],[SCORE 1]]="","",Games_2[[#This Row],[SCORE 1]])</f>
        <v/>
      </c>
      <c r="P6" s="430" t="str">
        <f>IF(Games_2[[#This Row],[SCORE 2]]="","",Games_2[[#This Row],[SCORE 2]])</f>
        <v/>
      </c>
      <c r="Q6" s="430" t="str">
        <f>IF(OR(Games_2[[#This Row],[SCORE 1]]="",Games_2[[#This Row],[SCORE 2]]=""),"",IF(Games_2[[#This Row],[SALDO 12]]&gt;0, "WIN","LOSE"))</f>
        <v/>
      </c>
      <c r="R6" s="430" t="str">
        <f>IF(OR(Games_2[[#This Row],[SCORE 2]]="",Games_2[[#This Row],[SCORE 1]]=""),"",IF(Games_2[[#This Row],[SALDO 34]]&gt;0, "WIN","LOSE"))</f>
        <v/>
      </c>
      <c r="T6" s="2" t="str">
        <f>IFERROR(_xlfn.XLOOKUP(Table157223544789133510[[#This Row],[Rank]],$M$18:$R$18,$M$17:$R$17),"")</f>
        <v/>
      </c>
      <c r="U6" s="2" t="s">
        <v>28</v>
      </c>
      <c r="W6" s="44" t="s">
        <v>245</v>
      </c>
      <c r="X6" s="44">
        <f>COUNTIF(Games_2[[ATHLETE 1]:[ATHLETE 4]],W6)</f>
        <v>0</v>
      </c>
    </row>
    <row r="7" spans="1:24">
      <c r="A7" s="550"/>
      <c r="B7" s="430" t="s">
        <v>180</v>
      </c>
      <c r="C7" s="2" t="str">
        <f>$B$29</f>
        <v>HB1</v>
      </c>
      <c r="D7" s="38" t="str">
        <f>B25</f>
        <v>B1</v>
      </c>
      <c r="E7" s="100"/>
      <c r="F7" s="101"/>
      <c r="G7" s="41" t="str">
        <f>$B$30</f>
        <v>HB2</v>
      </c>
      <c r="H7" s="41"/>
      <c r="I7" s="41"/>
      <c r="J7" s="41"/>
      <c r="K7" s="41"/>
      <c r="L7" s="2" t="str">
        <f>B27</f>
        <v>B3</v>
      </c>
      <c r="M7" s="2" t="str">
        <f>IF(OR(Games_2[[#This Row],[SCORE 1]]="",Games_2[[#This Row],[SCORE 2]]=""),"",Games_2[[#This Row],[SCORE 1]]-Games_2[[#This Row],[SCORE 2]])</f>
        <v/>
      </c>
      <c r="N7" s="430" t="str">
        <f>IF(OR(Games_2[[#This Row],[SCORE 1]]="",Games_2[[#This Row],[SCORE 2]]=""),"",Games_2[[#This Row],[SCORE 2]]-Games_2[[#This Row],[SCORE 1]])</f>
        <v/>
      </c>
      <c r="O7" s="430" t="str">
        <f>IF(Games_2[[#This Row],[SCORE 1]]="","",Games_2[[#This Row],[SCORE 1]])</f>
        <v/>
      </c>
      <c r="P7" s="430" t="str">
        <f>IF(Games_2[[#This Row],[SCORE 2]]="","",Games_2[[#This Row],[SCORE 2]])</f>
        <v/>
      </c>
      <c r="Q7" s="430" t="str">
        <f>IF(OR(Games_2[[#This Row],[SCORE 1]]="",Games_2[[#This Row],[SCORE 2]]=""),"",IF(Games_2[[#This Row],[SALDO 12]]&gt;0, "WIN","LOSE"))</f>
        <v/>
      </c>
      <c r="R7" s="430" t="str">
        <f>IF(OR(Games_2[[#This Row],[SCORE 2]]="",Games_2[[#This Row],[SCORE 1]]=""),"",IF(Games_2[[#This Row],[SALDO 34]]&gt;0, "WIN","LOSE"))</f>
        <v/>
      </c>
      <c r="T7" s="2" t="str" cm="1">
        <f t="array" ref="T7">_xlfn.TEXTJOIN(", ", TRUE, _xlfn._xlws.FILTER($K$17:$K$24, $J$17:$J$24=U7,""))</f>
        <v/>
      </c>
      <c r="U7" s="2" t="s">
        <v>31</v>
      </c>
    </row>
    <row r="8" spans="1:24">
      <c r="A8" s="550"/>
      <c r="B8" s="430" t="s">
        <v>178</v>
      </c>
      <c r="C8" s="2" t="str">
        <f>$B$21</f>
        <v>HA1</v>
      </c>
      <c r="D8" s="38" t="str">
        <f>B18</f>
        <v>A2</v>
      </c>
      <c r="E8" s="100"/>
      <c r="F8" s="101"/>
      <c r="G8" s="41" t="str">
        <f>$B$22</f>
        <v>HA2</v>
      </c>
      <c r="H8" s="41"/>
      <c r="I8" s="41"/>
      <c r="J8" s="41"/>
      <c r="K8" s="41"/>
      <c r="L8" s="2" t="str">
        <f>B20</f>
        <v>A4</v>
      </c>
      <c r="M8" s="2" t="str">
        <f>IF(OR(Games_2[[#This Row],[SCORE 1]]="",Games_2[[#This Row],[SCORE 2]]=""),"",Games_2[[#This Row],[SCORE 1]]-Games_2[[#This Row],[SCORE 2]])</f>
        <v/>
      </c>
      <c r="N8" s="430" t="str">
        <f>IF(OR(Games_2[[#This Row],[SCORE 1]]="",Games_2[[#This Row],[SCORE 2]]=""),"",Games_2[[#This Row],[SCORE 2]]-Games_2[[#This Row],[SCORE 1]])</f>
        <v/>
      </c>
      <c r="O8" s="430" t="str">
        <f>IF(Games_2[[#This Row],[SCORE 1]]="","",Games_2[[#This Row],[SCORE 1]])</f>
        <v/>
      </c>
      <c r="P8" s="430" t="str">
        <f>IF(Games_2[[#This Row],[SCORE 2]]="","",Games_2[[#This Row],[SCORE 2]])</f>
        <v/>
      </c>
      <c r="Q8" s="430" t="str">
        <f>IF(OR(Games_2[[#This Row],[SCORE 1]]="",Games_2[[#This Row],[SCORE 2]]=""),"",IF(Games_2[[#This Row],[SALDO 12]]&gt;0, "WIN","LOSE"))</f>
        <v/>
      </c>
      <c r="R8" s="430" t="str">
        <f>IF(OR(Games_2[[#This Row],[SCORE 2]]="",Games_2[[#This Row],[SCORE 1]]=""),"",IF(Games_2[[#This Row],[SALDO 34]]&gt;0, "WIN","LOSE"))</f>
        <v/>
      </c>
      <c r="T8" s="2" t="str" cm="1">
        <f t="array" ref="T8">_xlfn.TEXTJOIN(", ", TRUE, _xlfn._xlws.FILTER($K$17:$K$24, $J$17:$J$24=U8,""))</f>
        <v/>
      </c>
      <c r="U8" s="2" t="s">
        <v>34</v>
      </c>
    </row>
    <row r="9" spans="1:24">
      <c r="A9" s="550"/>
      <c r="B9" s="430" t="s">
        <v>180</v>
      </c>
      <c r="C9" s="2" t="str">
        <f>$B$29</f>
        <v>HB1</v>
      </c>
      <c r="D9" s="38" t="str">
        <f>B26</f>
        <v>B2</v>
      </c>
      <c r="E9" s="100"/>
      <c r="F9" s="101"/>
      <c r="G9" s="41" t="str">
        <f>$B$30</f>
        <v>HB2</v>
      </c>
      <c r="H9" s="41"/>
      <c r="I9" s="41"/>
      <c r="J9" s="41"/>
      <c r="K9" s="41"/>
      <c r="L9" s="2" t="str">
        <f>B28</f>
        <v>B4</v>
      </c>
      <c r="M9" s="2" t="str">
        <f>IF(OR(Games_2[[#This Row],[SCORE 1]]="",Games_2[[#This Row],[SCORE 2]]=""),"",Games_2[[#This Row],[SCORE 1]]-Games_2[[#This Row],[SCORE 2]])</f>
        <v/>
      </c>
      <c r="N9" s="430" t="str">
        <f>IF(OR(Games_2[[#This Row],[SCORE 1]]="",Games_2[[#This Row],[SCORE 2]]=""),"",Games_2[[#This Row],[SCORE 2]]-Games_2[[#This Row],[SCORE 1]])</f>
        <v/>
      </c>
      <c r="O9" s="430" t="str">
        <f>IF(Games_2[[#This Row],[SCORE 1]]="","",Games_2[[#This Row],[SCORE 1]])</f>
        <v/>
      </c>
      <c r="P9" s="430" t="str">
        <f>IF(Games_2[[#This Row],[SCORE 2]]="","",Games_2[[#This Row],[SCORE 2]])</f>
        <v/>
      </c>
      <c r="Q9" s="430" t="str">
        <f>IF(OR(Games_2[[#This Row],[SCORE 1]]="",Games_2[[#This Row],[SCORE 2]]=""),"",IF(Games_2[[#This Row],[SALDO 12]]&gt;0, "WIN","LOSE"))</f>
        <v/>
      </c>
      <c r="R9" s="430" t="str">
        <f>IF(OR(Games_2[[#This Row],[SCORE 2]]="",Games_2[[#This Row],[SCORE 1]]=""),"",IF(Games_2[[#This Row],[SALDO 34]]&gt;0, "WIN","LOSE"))</f>
        <v/>
      </c>
      <c r="T9" s="2" t="str" cm="1">
        <f t="array" ref="T9">_xlfn.TEXTJOIN(", ", TRUE, _xlfn._xlws.FILTER($K$17:$K$24, $J$17:$J$24=U9,""))</f>
        <v/>
      </c>
      <c r="U9" s="2" t="s">
        <v>37</v>
      </c>
    </row>
    <row r="10" spans="1:24">
      <c r="A10" s="550"/>
      <c r="B10" s="430" t="s">
        <v>178</v>
      </c>
      <c r="C10" s="2" t="str">
        <f>$B$21</f>
        <v>HA1</v>
      </c>
      <c r="D10" s="38" t="str">
        <f>B20</f>
        <v>A4</v>
      </c>
      <c r="E10" s="100"/>
      <c r="F10" s="101"/>
      <c r="G10" s="41" t="str">
        <f>$B$22</f>
        <v>HA2</v>
      </c>
      <c r="H10" s="41"/>
      <c r="I10" s="41"/>
      <c r="J10" s="41"/>
      <c r="K10" s="41"/>
      <c r="L10" s="2" t="str">
        <f>B17</f>
        <v>A1</v>
      </c>
      <c r="M10" s="2" t="str">
        <f>IF(OR(Games_2[[#This Row],[SCORE 1]]="",Games_2[[#This Row],[SCORE 2]]=""),"",Games_2[[#This Row],[SCORE 1]]-Games_2[[#This Row],[SCORE 2]])</f>
        <v/>
      </c>
      <c r="N10" s="430" t="str">
        <f>IF(OR(Games_2[[#This Row],[SCORE 1]]="",Games_2[[#This Row],[SCORE 2]]=""),"",Games_2[[#This Row],[SCORE 2]]-Games_2[[#This Row],[SCORE 1]])</f>
        <v/>
      </c>
      <c r="O10" s="430" t="str">
        <f>IF(Games_2[[#This Row],[SCORE 1]]="","",Games_2[[#This Row],[SCORE 1]])</f>
        <v/>
      </c>
      <c r="P10" s="430" t="str">
        <f>IF(Games_2[[#This Row],[SCORE 2]]="","",Games_2[[#This Row],[SCORE 2]])</f>
        <v/>
      </c>
      <c r="Q10" s="430" t="str">
        <f>IF(OR(Games_2[[#This Row],[SCORE 1]]="",Games_2[[#This Row],[SCORE 2]]=""),"",IF(Games_2[[#This Row],[SALDO 12]]&gt;0, "WIN","LOSE"))</f>
        <v/>
      </c>
      <c r="R10" s="430" t="str">
        <f>IF(OR(Games_2[[#This Row],[SCORE 2]]="",Games_2[[#This Row],[SCORE 1]]=""),"",IF(Games_2[[#This Row],[SALDO 34]]&gt;0, "WIN","LOSE"))</f>
        <v/>
      </c>
      <c r="T10" s="2" t="str" cm="1">
        <f t="array" ref="T10">_xlfn.TEXTJOIN(", ", TRUE, _xlfn._xlws.FILTER($K$17:$K$24, $J$17:$J$24=U10,""))</f>
        <v/>
      </c>
      <c r="U10" s="2" t="s">
        <v>41</v>
      </c>
    </row>
    <row r="11" spans="1:24">
      <c r="A11" s="550"/>
      <c r="B11" s="11" t="s">
        <v>180</v>
      </c>
      <c r="C11" s="2" t="str">
        <f>$B$29</f>
        <v>HB1</v>
      </c>
      <c r="D11" s="38" t="str">
        <f>B28</f>
        <v>B4</v>
      </c>
      <c r="E11" s="111"/>
      <c r="F11" s="112"/>
      <c r="G11" s="41" t="str">
        <f>$B$30</f>
        <v>HB2</v>
      </c>
      <c r="H11" s="97"/>
      <c r="I11" s="97"/>
      <c r="J11" s="97"/>
      <c r="K11" s="97"/>
      <c r="L11" s="2" t="str">
        <f>B25</f>
        <v>B1</v>
      </c>
      <c r="M11" s="2" t="str">
        <f>IF(OR(Games_2[[#This Row],[SCORE 1]]="",Games_2[[#This Row],[SCORE 2]]=""),"",Games_2[[#This Row],[SCORE 1]]-Games_2[[#This Row],[SCORE 2]])</f>
        <v/>
      </c>
      <c r="N11" s="11" t="str">
        <f>IF(OR(Games_2[[#This Row],[SCORE 1]]="",Games_2[[#This Row],[SCORE 2]]=""),"",Games_2[[#This Row],[SCORE 2]]-Games_2[[#This Row],[SCORE 1]])</f>
        <v/>
      </c>
      <c r="O11" s="11" t="str">
        <f>IF(Games_2[[#This Row],[SCORE 1]]="","",Games_2[[#This Row],[SCORE 1]])</f>
        <v/>
      </c>
      <c r="P11" s="11" t="str">
        <f>IF(Games_2[[#This Row],[SCORE 2]]="","",Games_2[[#This Row],[SCORE 2]])</f>
        <v/>
      </c>
      <c r="Q11" s="11" t="str">
        <f>IF(OR(Games_2[[#This Row],[SCORE 1]]="",Games_2[[#This Row],[SCORE 2]]=""),"",IF(Games_2[[#This Row],[SALDO 12]]&gt;0, "WIN","LOSE"))</f>
        <v/>
      </c>
      <c r="R11" s="11" t="str">
        <f>IF(OR(Games_2[[#This Row],[SCORE 2]]="",Games_2[[#This Row],[SCORE 1]]=""),"",IF(Games_2[[#This Row],[SALDO 34]]&gt;0, "WIN","LOSE"))</f>
        <v/>
      </c>
    </row>
    <row r="12" spans="1:24">
      <c r="A12" s="550"/>
      <c r="B12" s="11" t="s">
        <v>178</v>
      </c>
      <c r="C12" s="2" t="str">
        <f>$B$21</f>
        <v>HA1</v>
      </c>
      <c r="D12" s="38" t="str">
        <f>B18</f>
        <v>A2</v>
      </c>
      <c r="E12" s="111"/>
      <c r="F12" s="112"/>
      <c r="G12" s="41" t="str">
        <f>$B$22</f>
        <v>HA2</v>
      </c>
      <c r="H12" s="97"/>
      <c r="I12" s="97"/>
      <c r="J12" s="97"/>
      <c r="K12" s="97"/>
      <c r="L12" s="2" t="str">
        <f>B19</f>
        <v>A3</v>
      </c>
      <c r="M12" s="2" t="str">
        <f>IF(OR(Games_2[[#This Row],[SCORE 1]]="",Games_2[[#This Row],[SCORE 2]]=""),"",Games_2[[#This Row],[SCORE 1]]-Games_2[[#This Row],[SCORE 2]])</f>
        <v/>
      </c>
      <c r="N12" s="11" t="str">
        <f>IF(OR(Games_2[[#This Row],[SCORE 1]]="",Games_2[[#This Row],[SCORE 2]]=""),"",Games_2[[#This Row],[SCORE 2]]-Games_2[[#This Row],[SCORE 1]])</f>
        <v/>
      </c>
      <c r="O12" s="11" t="str">
        <f>IF(Games_2[[#This Row],[SCORE 1]]="","",Games_2[[#This Row],[SCORE 1]])</f>
        <v/>
      </c>
      <c r="P12" s="11" t="str">
        <f>IF(Games_2[[#This Row],[SCORE 2]]="","",Games_2[[#This Row],[SCORE 2]])</f>
        <v/>
      </c>
      <c r="Q12" s="11" t="str">
        <f>IF(OR(Games_2[[#This Row],[SCORE 1]]="",Games_2[[#This Row],[SCORE 2]]=""),"",IF(Games_2[[#This Row],[SALDO 12]]&gt;0, "WIN","LOSE"))</f>
        <v/>
      </c>
      <c r="R12" s="11" t="str">
        <f>IF(OR(Games_2[[#This Row],[SCORE 2]]="",Games_2[[#This Row],[SCORE 1]]=""),"",IF(Games_2[[#This Row],[SALDO 34]]&gt;0, "WIN","LOSE"))</f>
        <v/>
      </c>
    </row>
    <row r="13" spans="1:24">
      <c r="A13" s="550"/>
      <c r="B13" s="11" t="s">
        <v>180</v>
      </c>
      <c r="C13" s="2" t="str">
        <f>$B$29</f>
        <v>HB1</v>
      </c>
      <c r="D13" s="38" t="str">
        <f>B26</f>
        <v>B2</v>
      </c>
      <c r="E13" s="111"/>
      <c r="F13" s="112"/>
      <c r="G13" s="41" t="str">
        <f>$B$30</f>
        <v>HB2</v>
      </c>
      <c r="H13" s="97"/>
      <c r="I13" s="97"/>
      <c r="J13" s="97"/>
      <c r="K13" s="97"/>
      <c r="L13" s="2" t="str">
        <f>B27</f>
        <v>B3</v>
      </c>
      <c r="M13" s="2" t="str">
        <f>IF(OR(Games_2[[#This Row],[SCORE 1]]="",Games_2[[#This Row],[SCORE 2]]=""),"",Games_2[[#This Row],[SCORE 1]]-Games_2[[#This Row],[SCORE 2]])</f>
        <v/>
      </c>
      <c r="N13" s="11" t="str">
        <f>IF(OR(Games_2[[#This Row],[SCORE 1]]="",Games_2[[#This Row],[SCORE 2]]=""),"",Games_2[[#This Row],[SCORE 2]]-Games_2[[#This Row],[SCORE 1]])</f>
        <v/>
      </c>
      <c r="O13" s="11" t="str">
        <f>IF(Games_2[[#This Row],[SCORE 1]]="","",Games_2[[#This Row],[SCORE 1]])</f>
        <v/>
      </c>
      <c r="P13" s="11" t="str">
        <f>IF(Games_2[[#This Row],[SCORE 2]]="","",Games_2[[#This Row],[SCORE 2]])</f>
        <v/>
      </c>
      <c r="Q13" s="11" t="str">
        <f>IF(OR(Games_2[[#This Row],[SCORE 1]]="",Games_2[[#This Row],[SCORE 2]]=""),"",IF(Games_2[[#This Row],[SALDO 12]]&gt;0, "WIN","LOSE"))</f>
        <v/>
      </c>
      <c r="R13" s="11" t="str">
        <f>IF(OR(Games_2[[#This Row],[SCORE 2]]="",Games_2[[#This Row],[SCORE 1]]=""),"",IF(Games_2[[#This Row],[SALDO 34]]&gt;0, "WIN","LOSE"))</f>
        <v/>
      </c>
    </row>
    <row r="14" spans="1:24" ht="30" customHeight="1"/>
    <row r="15" spans="1:24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48" t="s">
        <v>199</v>
      </c>
      <c r="N15" s="549"/>
      <c r="O15" s="549"/>
      <c r="P15" s="549"/>
      <c r="Q15" s="549"/>
      <c r="R15" s="549"/>
    </row>
    <row r="16" spans="1:24" ht="15.95">
      <c r="A16" s="6" t="s">
        <v>246</v>
      </c>
      <c r="B16" s="43" t="s">
        <v>185</v>
      </c>
      <c r="C16" s="43" t="s">
        <v>186</v>
      </c>
      <c r="D16" s="43" t="s">
        <v>187</v>
      </c>
      <c r="E16" s="43" t="s">
        <v>188</v>
      </c>
      <c r="F16" s="43" t="s">
        <v>189</v>
      </c>
      <c r="G16" s="43" t="s">
        <v>8</v>
      </c>
      <c r="H16" s="425" t="s">
        <v>204</v>
      </c>
      <c r="I16" s="425" t="s">
        <v>191</v>
      </c>
      <c r="J16" s="425" t="s">
        <v>192</v>
      </c>
      <c r="K16" s="425" t="s">
        <v>1</v>
      </c>
      <c r="L16" s="425" t="s">
        <v>277</v>
      </c>
      <c r="M16" s="424" t="s">
        <v>193</v>
      </c>
      <c r="N16" s="424" t="s">
        <v>194</v>
      </c>
      <c r="O16" s="552" t="s">
        <v>195</v>
      </c>
      <c r="P16" s="553"/>
      <c r="Q16" s="424" t="s">
        <v>196</v>
      </c>
      <c r="R16" s="424" t="s">
        <v>197</v>
      </c>
    </row>
    <row r="17" spans="1:19">
      <c r="A17" s="3" t="s">
        <v>205</v>
      </c>
      <c r="B17" s="102" t="s">
        <v>205</v>
      </c>
      <c r="C17" s="14">
        <f>SUM(COUNTIFS(Games_2[ATHLETE 2],Analysis_3[[#This Row],[Atheletes ]],Games_2[RESULT 12],Analysis_3[[#Headers],[WIN]]),COUNTIFS(Games_2[ATHLETE 4],Analysis_3[[#This Row],[Atheletes ]],Games_2[RESULT 34],Analysis_3[[#Headers],[WIN]]))</f>
        <v>0</v>
      </c>
      <c r="D17" s="14">
        <f>SUM(COUNTIFS(Games_2[ATHLETE 2],Analysis_3[[#This Row],[Atheletes ]],Games_2[RESULT 12],Analysis_3[[#Headers],[LOSE]]),COUNTIFS(Games_2[ATHLETE 4],Analysis_3[[#This Row],[Atheletes ]],Games_2[RESULT 34],Analysis_3[[#Headers],[LOSE]]))</f>
        <v>0</v>
      </c>
      <c r="E17" s="46">
        <f>SUM(SUMIF(Games_2[ATHLETE 2],Analysis_3[[#This Row],[Atheletes ]],Games_2[SALDO 12]),SUMIF(Games_2[ATHLETE 4],Analysis_3[[#This Row],[Atheletes ]],Games_2[SALDO 34]))</f>
        <v>0</v>
      </c>
      <c r="F17" s="46">
        <f>SUM(SUMIF(Games_2[ATHLETE 2],Analysis_3[[#This Row],[Atheletes ]],Games_2[PM 12]),SUMIF(Games_2[ATHLETE 4],Analysis_3[[#This Row],[Atheletes ]],Games_2[PM 34]))</f>
        <v>0</v>
      </c>
      <c r="G17" s="430" t="str">
        <f>IF(COUNTBLANK(Games_2[[SCORE 1]:[SCORE 2]])=0,IF(RANK(H17,$H$17:$H$20)=1,RANK(H17,$H$17:$H$20)&amp;"st",IF(RANK(H17,$H$17:$H$20)=2,RANK(H17,$H$17:$H$20)&amp;"nd",IF(RANK(H17,$H$17:$H$20)=3,RANK(H17,$H$17:$H$20)&amp;"rd",RANK(H17,$H$17:$H$20)&amp;"th"))),"")</f>
        <v/>
      </c>
      <c r="H17" s="51">
        <f>Analysis_3[[#This Row],[WIN]]*1000000+Analysis_3[[#This Row],[Saldo]]*1000+Analysis_3[[#This Row],[PM]]</f>
        <v>0</v>
      </c>
      <c r="I17" s="51">
        <f>H17</f>
        <v>0</v>
      </c>
      <c r="J17" s="2" t="str">
        <f>IF(COUNTBLANK(Games_2[[SCORE 1]:[SCORE 2]])=0,IF(RANK(I17,$I$17:$I$24)=1,RANK(I17,$I$17:$I$24)&amp;"st",IF(RANK(I17,$I$17:$I$24)=2,RANK(I17,$I$17:$I$24)&amp;"nd",IF(RANK(I17,$I$17:$I$24)=3,RANK(I17,$I$17:$I$24)&amp;"rd",RANK(I17,$I$17:$I$24)&amp;"th"))),"")</f>
        <v/>
      </c>
      <c r="K17" s="51" t="str">
        <f>Analysis_3[[#This Row],[Atheletes ]]</f>
        <v>A1</v>
      </c>
      <c r="L17" s="2" t="str">
        <f>J17</f>
        <v/>
      </c>
      <c r="M17" s="432" t="str" cm="1">
        <f t="array" ref="M17">IF(COUNTBLANK(Games_2[[SCORE 1]:[SCORE 2]])=0,_xlfn.TEXTJOIN(", ", TRUE, _xlfn._xlws.FILTER($K$17:$K$24, $J$17:$J$24=U3,"")),"")</f>
        <v/>
      </c>
      <c r="N17" s="432" t="str" cm="1">
        <f t="array" ref="N17">IF(COUNTBLANK(Games_2[[SCORE 1]:[SCORE 2]])=0,_xlfn.TEXTJOIN(", ", TRUE, _xlfn._xlws.FILTER($K$17:$K$24, $J$17:$J$24=U4,"")),"")</f>
        <v/>
      </c>
      <c r="O17" s="99"/>
      <c r="P17" s="98"/>
      <c r="Q17" s="432" t="str" cm="1">
        <f t="array" ref="Q17">IF(COUNTBLANK(Games_2[[SCORE 1]:[SCORE 2]])=0,_xlfn.TEXTJOIN(", ", TRUE, _xlfn._xlws.FILTER($K$17:$K$24, $J$17:$J$24=U5,"")),"")</f>
        <v/>
      </c>
      <c r="R17" s="432" t="str" cm="1">
        <f t="array" ref="R17">IF(COUNTBLANK(Games_2[[SCORE 1]:[SCORE 2]])=0,_xlfn.TEXTJOIN(", ", TRUE, _xlfn._xlws.FILTER($K$17:$K$24, $J$17:$J$24=U6,"")),"")</f>
        <v/>
      </c>
    </row>
    <row r="18" spans="1:19">
      <c r="A18" s="3" t="s">
        <v>206</v>
      </c>
      <c r="B18" s="102" t="s">
        <v>206</v>
      </c>
      <c r="C18" s="14">
        <f>SUM(COUNTIFS(Games_2[ATHLETE 2],Analysis_3[[#This Row],[Atheletes ]],Games_2[RESULT 12],Analysis_3[[#Headers],[WIN]]),COUNTIFS(Games_2[ATHLETE 4],Analysis_3[[#This Row],[Atheletes ]],Games_2[RESULT 34],Analysis_3[[#Headers],[WIN]]))</f>
        <v>0</v>
      </c>
      <c r="D18" s="14">
        <f>SUM(COUNTIFS(Games_2[ATHLETE 2],Analysis_3[[#This Row],[Atheletes ]],Games_2[RESULT 12],Analysis_3[[#Headers],[LOSE]]),COUNTIFS(Games_2[ATHLETE 4],Analysis_3[[#This Row],[Atheletes ]],Games_2[RESULT 34],Analysis_3[[#Headers],[LOSE]]))</f>
        <v>0</v>
      </c>
      <c r="E18" s="46">
        <f>SUM(SUMIF(Games_2[ATHLETE 2],Analysis_3[[#This Row],[Atheletes ]],Games_2[SALDO 12]),SUMIF(Games_2[ATHLETE 4],Analysis_3[[#This Row],[Atheletes ]],Games_2[SALDO 34]))</f>
        <v>0</v>
      </c>
      <c r="F18" s="46">
        <f>SUM(SUMIF(Games_2[ATHLETE 2],Analysis_3[[#This Row],[Atheletes ]],Games_2[PM 12]),SUMIF(Games_2[ATHLETE 4],Analysis_3[[#This Row],[Atheletes ]],Games_2[PM 34]))</f>
        <v>0</v>
      </c>
      <c r="G18" s="430" t="str">
        <f>IF(COUNTBLANK(Games_2[[SCORE 1]:[SCORE 2]])=0,IF(RANK(H18,$H$17:$H$20)=1,RANK(H18,$H$17:$H$20)&amp;"st",IF(RANK(H18,$H$17:$H$20)=2,RANK(H18,$H$17:$H$20)&amp;"nd",IF(RANK(H18,$H$17:$H$20)=3,RANK(H18,$H$17:$H$20)&amp;"rd",RANK(H18,$H$17:$H$20)&amp;"th"))),"")</f>
        <v/>
      </c>
      <c r="H18" s="51">
        <f>Analysis_3[[#This Row],[WIN]]*1000000+Analysis_3[[#This Row],[Saldo]]*1000+Analysis_3[[#This Row],[PM]]</f>
        <v>0</v>
      </c>
      <c r="I18" s="51">
        <f t="shared" ref="I18:I20" si="0">H18</f>
        <v>0</v>
      </c>
      <c r="J18" s="2" t="str">
        <f>IF(COUNTBLANK(Games_2[[SCORE 1]:[SCORE 2]])=0,IF(RANK(I18,$I$17:$I$24)=1,RANK(I18,$I$17:$I$24)&amp;"st",IF(RANK(I18,$I$17:$I$24)=2,RANK(I18,$I$17:$I$24)&amp;"nd",IF(RANK(I18,$I$17:$I$24)=3,RANK(I18,$I$17:$I$24)&amp;"rd",RANK(I18,$I$17:$I$24)&amp;"th"))),"")</f>
        <v/>
      </c>
      <c r="K18" s="51" t="str">
        <f>Analysis_3[[#This Row],[Atheletes ]]</f>
        <v>A2</v>
      </c>
      <c r="L18" s="2" t="str">
        <f t="shared" ref="L18:L20" si="1">J18</f>
        <v/>
      </c>
      <c r="M18" s="50" t="str">
        <f>IF(OR($O$17="",$P$17=""),"",IF($O$18="lose",$U$5,""))</f>
        <v/>
      </c>
      <c r="N18" s="50" t="str">
        <f>IF(OR($O$17="",$P$17=""),"",IF($O$18="lose",$U$6,""))</f>
        <v/>
      </c>
      <c r="O18" s="2" t="str">
        <f>IF(OR(O17="",P17=""),"",IF((O17&gt;P17),"WIN","LOSE"))</f>
        <v/>
      </c>
      <c r="P18" s="2" t="str">
        <f>IF(OR(O17="",P17=""),"",IF((O17&lt;P17),"WIN","LOSE"))</f>
        <v/>
      </c>
      <c r="Q18" s="50" t="str">
        <f>IF(OR($O$17="",$P$17=""),"",IF($P$18="lose",$U$5,""))</f>
        <v/>
      </c>
      <c r="R18" s="50" t="str">
        <f>IF(OR($O$17="",$P$17=""),"",IF($P$18="lose",$U$6,""))</f>
        <v/>
      </c>
      <c r="S18" s="47"/>
    </row>
    <row r="19" spans="1:19" ht="15.95">
      <c r="A19" s="5" t="s">
        <v>207</v>
      </c>
      <c r="B19" s="102" t="s">
        <v>207</v>
      </c>
      <c r="C19" s="14">
        <f>SUM(COUNTIFS(Games_2[ATHLETE 2],Analysis_3[[#This Row],[Atheletes ]],Games_2[RESULT 12],Analysis_3[[#Headers],[WIN]]),COUNTIFS(Games_2[ATHLETE 4],Analysis_3[[#This Row],[Atheletes ]],Games_2[RESULT 34],Analysis_3[[#Headers],[WIN]]))</f>
        <v>0</v>
      </c>
      <c r="D19" s="14">
        <f>SUM(COUNTIFS(Games_2[ATHLETE 2],Analysis_3[[#This Row],[Atheletes ]],Games_2[RESULT 12],Analysis_3[[#Headers],[LOSE]]),COUNTIFS(Games_2[ATHLETE 4],Analysis_3[[#This Row],[Atheletes ]],Games_2[RESULT 34],Analysis_3[[#Headers],[LOSE]]))</f>
        <v>0</v>
      </c>
      <c r="E19" s="46">
        <f>SUM(SUMIF(Games_2[ATHLETE 2],Analysis_3[[#This Row],[Atheletes ]],Games_2[SALDO 12]),SUMIF(Games_2[ATHLETE 4],Analysis_3[[#This Row],[Atheletes ]],Games_2[SALDO 34]))</f>
        <v>0</v>
      </c>
      <c r="F19" s="46">
        <f>SUM(SUMIF(Games_2[ATHLETE 2],Analysis_3[[#This Row],[Atheletes ]],Games_2[PM 12]),SUMIF(Games_2[ATHLETE 4],Analysis_3[[#This Row],[Atheletes ]],Games_2[PM 34]))</f>
        <v>0</v>
      </c>
      <c r="G19" s="430" t="str">
        <f>IF(COUNTBLANK(Games_2[[SCORE 1]:[SCORE 2]])=0,IF(RANK(H19,$H$17:$H$20)=1,RANK(H19,$H$17:$H$20)&amp;"st",IF(RANK(H19,$H$17:$H$20)=2,RANK(H19,$H$17:$H$20)&amp;"nd",IF(RANK(H19,$H$17:$H$20)=3,RANK(H19,$H$17:$H$20)&amp;"rd",RANK(H19,$H$17:$H$20)&amp;"th"))),"")</f>
        <v/>
      </c>
      <c r="H19" s="51">
        <f>Analysis_3[[#This Row],[WIN]]*1000000+Analysis_3[[#This Row],[Saldo]]*1000+Analysis_3[[#This Row],[PM]]</f>
        <v>0</v>
      </c>
      <c r="I19" s="51">
        <f t="shared" si="0"/>
        <v>0</v>
      </c>
      <c r="J19" s="2" t="str">
        <f>IF(COUNTBLANK(Games_2[[SCORE 1]:[SCORE 2]])=0,IF(RANK(I19,$I$17:$I$24)=1,RANK(I19,$I$17:$I$24)&amp;"st",IF(RANK(I19,$I$17:$I$24)=2,RANK(I19,$I$17:$I$24)&amp;"nd",IF(RANK(I19,$I$17:$I$24)=3,RANK(I19,$I$17:$I$24)&amp;"rd",RANK(I19,$I$17:$I$24)&amp;"th"))),"")</f>
        <v/>
      </c>
      <c r="K19" s="51" t="str">
        <f>Analysis_3[[#This Row],[Atheletes ]]</f>
        <v>A3</v>
      </c>
      <c r="L19" s="2" t="str">
        <f t="shared" si="1"/>
        <v/>
      </c>
      <c r="M19" s="173">
        <v>1</v>
      </c>
      <c r="N19" s="173">
        <v>2</v>
      </c>
      <c r="Q19" s="173">
        <v>3</v>
      </c>
      <c r="R19" s="173">
        <v>4</v>
      </c>
    </row>
    <row r="20" spans="1:19">
      <c r="A20" s="3" t="s">
        <v>208</v>
      </c>
      <c r="B20" s="102" t="s">
        <v>208</v>
      </c>
      <c r="C20" s="14">
        <f>SUM(COUNTIFS(Games_2[ATHLETE 2],Analysis_3[[#This Row],[Atheletes ]],Games_2[RESULT 12],Analysis_3[[#Headers],[WIN]]),COUNTIFS(Games_2[ATHLETE 4],Analysis_3[[#This Row],[Atheletes ]],Games_2[RESULT 34],Analysis_3[[#Headers],[WIN]]))</f>
        <v>0</v>
      </c>
      <c r="D20" s="14">
        <f>SUM(COUNTIFS(Games_2[ATHLETE 2],Analysis_3[[#This Row],[Atheletes ]],Games_2[RESULT 12],Analysis_3[[#Headers],[LOSE]]),COUNTIFS(Games_2[ATHLETE 4],Analysis_3[[#This Row],[Atheletes ]],Games_2[RESULT 34],Analysis_3[[#Headers],[LOSE]]))</f>
        <v>0</v>
      </c>
      <c r="E20" s="46">
        <f>SUM(SUMIF(Games_2[ATHLETE 2],Analysis_3[[#This Row],[Atheletes ]],Games_2[SALDO 12]),SUMIF(Games_2[ATHLETE 4],Analysis_3[[#This Row],[Atheletes ]],Games_2[SALDO 34]))</f>
        <v>0</v>
      </c>
      <c r="F20" s="46">
        <f>SUM(SUMIF(Games_2[ATHLETE 2],Analysis_3[[#This Row],[Atheletes ]],Games_2[PM 12]),SUMIF(Games_2[ATHLETE 4],Analysis_3[[#This Row],[Atheletes ]],Games_2[PM 34]))</f>
        <v>0</v>
      </c>
      <c r="G20" s="430" t="str">
        <f>IF(COUNTBLANK(Games_2[[SCORE 1]:[SCORE 2]])=0,IF(RANK(H20,$H$17:$H$20)=1,RANK(H20,$H$17:$H$20)&amp;"st",IF(RANK(H20,$H$17:$H$20)=2,RANK(H20,$H$17:$H$20)&amp;"nd",IF(RANK(H20,$H$17:$H$20)=3,RANK(H20,$H$17:$H$20)&amp;"rd",RANK(H20,$H$17:$H$20)&amp;"th"))),"")</f>
        <v/>
      </c>
      <c r="H20" s="51">
        <f>Analysis_3[[#This Row],[WIN]]*1000000+Analysis_3[[#This Row],[Saldo]]*1000+Analysis_3[[#This Row],[PM]]</f>
        <v>0</v>
      </c>
      <c r="I20" s="51">
        <f t="shared" si="0"/>
        <v>0</v>
      </c>
      <c r="J20" s="2" t="str">
        <f>IF(COUNTBLANK(Games_2[[SCORE 1]:[SCORE 2]])=0,IF(RANK(I20,$I$17:$I$24)=1,RANK(I20,$I$17:$I$24)&amp;"st",IF(RANK(I20,$I$17:$I$24)=2,RANK(I20,$I$17:$I$24)&amp;"nd",IF(RANK(I20,$I$17:$I$24)=3,RANK(I20,$I$17:$I$24)&amp;"rd",RANK(I20,$I$17:$I$24)&amp;"th"))),"")</f>
        <v/>
      </c>
      <c r="K20" s="51" t="str">
        <f>Analysis_3[[#This Row],[Atheletes ]]</f>
        <v>A4</v>
      </c>
      <c r="L20" s="2" t="str">
        <f t="shared" si="1"/>
        <v/>
      </c>
    </row>
    <row r="21" spans="1:19" ht="30" customHeight="1">
      <c r="A21" s="2" t="s">
        <v>278</v>
      </c>
      <c r="B21" s="113" t="s">
        <v>278</v>
      </c>
      <c r="C21" s="11" t="s">
        <v>249</v>
      </c>
      <c r="D21" s="11" t="s">
        <v>249</v>
      </c>
      <c r="E21" s="11" t="s">
        <v>249</v>
      </c>
      <c r="F21" s="11" t="s">
        <v>249</v>
      </c>
      <c r="G21" s="11" t="s">
        <v>249</v>
      </c>
      <c r="H21" s="51" t="s">
        <v>249</v>
      </c>
      <c r="I21" s="51">
        <f>H25</f>
        <v>0</v>
      </c>
      <c r="J21" s="2" t="str">
        <f>IF(COUNTBLANK(Games_2[[SCORE 1]:[SCORE 2]])=0,IF(RANK(I21,$I$17:$I$24)=1,RANK(I21,$I$17:$I$24)&amp;"st",IF(RANK(I21,$I$17:$I$24)=2,RANK(I21,$I$17:$I$24)&amp;"nd",IF(RANK(I21,$I$17:$I$24)=3,RANK(I21,$I$17:$I$24)&amp;"rd",RANK(I21,$I$17:$I$24)&amp;"th"))),"")</f>
        <v/>
      </c>
      <c r="K21" s="51" t="str">
        <f>B25</f>
        <v>B1</v>
      </c>
      <c r="M21" s="548" t="s">
        <v>200</v>
      </c>
      <c r="N21" s="549"/>
      <c r="O21" s="549"/>
      <c r="P21" s="549"/>
      <c r="Q21" s="549"/>
      <c r="R21" s="549"/>
    </row>
    <row r="22" spans="1:19" ht="28.5" customHeight="1">
      <c r="A22" s="2" t="s">
        <v>279</v>
      </c>
      <c r="B22" s="113" t="s">
        <v>279</v>
      </c>
      <c r="C22" s="11" t="s">
        <v>249</v>
      </c>
      <c r="D22" s="11" t="s">
        <v>249</v>
      </c>
      <c r="E22" s="11" t="s">
        <v>249</v>
      </c>
      <c r="F22" s="11" t="s">
        <v>249</v>
      </c>
      <c r="G22" s="11" t="s">
        <v>249</v>
      </c>
      <c r="H22" s="51" t="s">
        <v>249</v>
      </c>
      <c r="I22" s="51">
        <f t="shared" ref="I22:I24" si="2">H26</f>
        <v>0</v>
      </c>
      <c r="J22" s="2" t="str">
        <f>IF(COUNTBLANK(Games_2[[SCORE 1]:[SCORE 2]])=0,IF(RANK(I22,$I$17:$I$24)=1,RANK(I22,$I$17:$I$24)&amp;"st",IF(RANK(I22,$I$17:$I$24)=2,RANK(I22,$I$17:$I$24)&amp;"nd",IF(RANK(I22,$I$17:$I$24)=3,RANK(I22,$I$17:$I$24)&amp;"rd",RANK(I22,$I$17:$I$24)&amp;"th"))),"")</f>
        <v/>
      </c>
      <c r="K22" s="51" t="str">
        <f t="shared" ref="K22:K24" si="3">B26</f>
        <v>B2</v>
      </c>
      <c r="M22" s="424" t="s">
        <v>193</v>
      </c>
      <c r="N22" s="424" t="s">
        <v>194</v>
      </c>
      <c r="O22" s="552" t="s">
        <v>195</v>
      </c>
      <c r="P22" s="553"/>
      <c r="Q22" s="424" t="s">
        <v>196</v>
      </c>
      <c r="R22" s="424" t="s">
        <v>197</v>
      </c>
    </row>
    <row r="23" spans="1:19">
      <c r="I23" s="51">
        <f t="shared" si="2"/>
        <v>0</v>
      </c>
      <c r="J23" s="2" t="str">
        <f>IF(COUNTBLANK(Games_2[[SCORE 1]:[SCORE 2]])=0,IF(RANK(I23,$I$17:$I$24)=1,RANK(I23,$I$17:$I$24)&amp;"st",IF(RANK(I23,$I$17:$I$24)=2,RANK(I23,$I$17:$I$24)&amp;"nd",IF(RANK(I23,$I$17:$I$24)=3,RANK(I23,$I$17:$I$24)&amp;"rd",RANK(I23,$I$17:$I$24)&amp;"th"))),"")</f>
        <v/>
      </c>
      <c r="K23" s="51" t="str">
        <f t="shared" si="3"/>
        <v>B3</v>
      </c>
      <c r="M23" s="432" t="str">
        <f>IF(OR($O$17="",$P$17=""),"",IF($O$18="WIN",$M$17,$Q$17))</f>
        <v/>
      </c>
      <c r="N23" s="115"/>
      <c r="O23" s="99"/>
      <c r="P23" s="98"/>
      <c r="Q23" s="432" t="str">
        <f>IF(OR($O$17="",$P$17=""),"",IF($O$18="WIN",$N$17,$R$17))</f>
        <v/>
      </c>
      <c r="R23" s="115"/>
    </row>
    <row r="24" spans="1:19" ht="15.95">
      <c r="A24" s="110" t="s">
        <v>246</v>
      </c>
      <c r="B24" s="43" t="s">
        <v>185</v>
      </c>
      <c r="C24" s="43" t="s">
        <v>186</v>
      </c>
      <c r="D24" s="43" t="s">
        <v>187</v>
      </c>
      <c r="E24" s="43" t="s">
        <v>188</v>
      </c>
      <c r="F24" s="43" t="s">
        <v>189</v>
      </c>
      <c r="G24" s="419" t="s">
        <v>8</v>
      </c>
      <c r="H24" s="419" t="s">
        <v>204</v>
      </c>
      <c r="I24" s="51">
        <f t="shared" si="2"/>
        <v>0</v>
      </c>
      <c r="J24" s="2" t="str">
        <f>IF(COUNTBLANK(Games_2[[SCORE 1]:[SCORE 2]])=0,IF(RANK(I24,$I$17:$I$24)=1,RANK(I24,$I$17:$I$24)&amp;"st",IF(RANK(I24,$I$17:$I$24)=2,RANK(I24,$I$17:$I$24)&amp;"nd",IF(RANK(I24,$I$17:$I$24)=3,RANK(I24,$I$17:$I$24)&amp;"rd",RANK(I24,$I$17:$I$24)&amp;"th"))),"")</f>
        <v/>
      </c>
      <c r="K24" s="51" t="str">
        <f t="shared" si="3"/>
        <v>B4</v>
      </c>
      <c r="L24" s="425" t="s">
        <v>277</v>
      </c>
      <c r="M24" s="50" t="str">
        <f>IF(OR($O$23="",$P$23=""),"",IF($O$24="win",$U$3,$U$4))</f>
        <v/>
      </c>
      <c r="O24" s="2" t="str">
        <f>IF(OR(O23="",P23=""),"",IF((O23&gt;P23),"WIN","LOSE"))</f>
        <v/>
      </c>
      <c r="P24" s="2" t="str">
        <f>IF(OR(O23="",P23=""),"",IF((O23&lt;P23),"WIN","LOSE"))</f>
        <v/>
      </c>
      <c r="Q24" s="50" t="str">
        <f>IF(OR($O$23="",$P$23=""),"",IF($P$24="win",$U$3,$U$4))</f>
        <v/>
      </c>
    </row>
    <row r="25" spans="1:19">
      <c r="A25" s="96" t="s">
        <v>209</v>
      </c>
      <c r="B25" s="102" t="s">
        <v>209</v>
      </c>
      <c r="C25" s="14">
        <f>SUM(COUNTIFS(Games_2[ATHLETE 2],Analysis_4[[#This Row],[Atheletes ]],Games_2[RESULT 12],Analysis_3[[#Headers],[WIN]]),COUNTIFS(Games_2[ATHLETE 4],Analysis_4[[#This Row],[Atheletes ]],Games_2[RESULT 34],Analysis_3[[#Headers],[WIN]]))</f>
        <v>0</v>
      </c>
      <c r="D25" s="14">
        <f>SUM(COUNTIFS(Games_2[ATHLETE 2],Analysis_4[[#This Row],[Atheletes ]],Games_2[RESULT 12],Analysis_3[[#Headers],[LOSE]]),COUNTIFS(Games_2[ATHLETE 4],Analysis_4[[#This Row],[Atheletes ]],Games_2[RESULT 34],Analysis_3[[#Headers],[LOSE]]))</f>
        <v>0</v>
      </c>
      <c r="E25" s="46">
        <f>SUM(SUMIF(Games_2[ATHLETE 2],Analysis_4[[#This Row],[Atheletes ]],Games_2[SALDO 12]),SUMIF(Games_2[ATHLETE 4],Analysis_4[[#This Row],[Atheletes ]],Games_2[SALDO 34]))</f>
        <v>0</v>
      </c>
      <c r="F25" s="46">
        <f>SUM(SUMIF(Games_2[ATHLETE 2],Analysis_4[[#This Row],[Atheletes ]],Games_2[PM 12]),SUMIF(Games_2[ATHLETE 4],Analysis_4[[#This Row],[Atheletes ]],Games_2[PM 34]))</f>
        <v>0</v>
      </c>
      <c r="G25" s="430" t="str">
        <f>IF(COUNTBLANK(Games_2[[SCORE 1]:[SCORE 2]])=0,IF(RANK(H25,$H$25:$H$28)=1,RANK(H25,$H$25:$H$28)&amp;"st",IF(RANK(H25,$H$25:$H$28)=2,RANK(H25,$H$25:$H$28)&amp;"nd",IF(RANK(H25,$H$25:$H$28)=3,RANK(H25,$H$25:$H$28)&amp;"rd",RANK(H25,$H$25:$H$28)&amp;"th"))),"")</f>
        <v/>
      </c>
      <c r="H25" s="51">
        <f>Analysis_4[[#This Row],[WIN]]*1000000+Analysis_4[[#This Row],[Saldo]]*1000+Analysis_4[[#This Row],[PM]]</f>
        <v>0</v>
      </c>
      <c r="L25" s="2" t="str">
        <f>J21</f>
        <v/>
      </c>
    </row>
    <row r="26" spans="1:19">
      <c r="A26" s="430" t="s">
        <v>210</v>
      </c>
      <c r="B26" s="102" t="s">
        <v>210</v>
      </c>
      <c r="C26" s="14">
        <f>SUM(COUNTIFS(Games_2[ATHLETE 2],Analysis_4[[#This Row],[Atheletes ]],Games_2[RESULT 12],Analysis_3[[#Headers],[WIN]]),COUNTIFS(Games_2[ATHLETE 4],Analysis_4[[#This Row],[Atheletes ]],Games_2[RESULT 34],Analysis_3[[#Headers],[WIN]]))</f>
        <v>0</v>
      </c>
      <c r="D26" s="14">
        <f>SUM(COUNTIFS(Games_2[ATHLETE 2],Analysis_4[[#This Row],[Atheletes ]],Games_2[RESULT 12],Analysis_3[[#Headers],[LOSE]]),COUNTIFS(Games_2[ATHLETE 4],Analysis_4[[#This Row],[Atheletes ]],Games_2[RESULT 34],Analysis_3[[#Headers],[LOSE]]))</f>
        <v>0</v>
      </c>
      <c r="E26" s="46">
        <f>SUM(SUMIF(Games_2[ATHLETE 2],Analysis_4[[#This Row],[Atheletes ]],Games_2[SALDO 12]),SUMIF(Games_2[ATHLETE 4],Analysis_4[[#This Row],[Atheletes ]],Games_2[SALDO 34]))</f>
        <v>0</v>
      </c>
      <c r="F26" s="46">
        <f>SUM(SUMIF(Games_2[ATHLETE 2],Analysis_4[[#This Row],[Atheletes ]],Games_2[PM 12]),SUMIF(Games_2[ATHLETE 4],Analysis_4[[#This Row],[Atheletes ]],Games_2[PM 34]))</f>
        <v>0</v>
      </c>
      <c r="G26" s="430" t="str">
        <f>IF(COUNTBLANK(Games_2[[SCORE 1]:[SCORE 2]])=0,IF(RANK(H26,$H$25:$H$28)=1,RANK(H26,$H$25:$H$28)&amp;"st",IF(RANK(H26,$H$25:$H$28)=2,RANK(H26,$H$25:$H$28)&amp;"nd",IF(RANK(H26,$H$25:$H$28)=3,RANK(H26,$H$25:$H$28)&amp;"rd",RANK(H26,$H$25:$H$28)&amp;"th"))),"")</f>
        <v/>
      </c>
      <c r="H26" s="51">
        <f>Analysis_4[[#This Row],[WIN]]*1000000+Analysis_4[[#This Row],[Saldo]]*1000+Analysis_4[[#This Row],[PM]]</f>
        <v>0</v>
      </c>
      <c r="L26" s="2" t="str">
        <f t="shared" ref="L26:L28" si="4">J22</f>
        <v/>
      </c>
    </row>
    <row r="27" spans="1:19">
      <c r="A27" s="96" t="s">
        <v>211</v>
      </c>
      <c r="B27" s="102" t="s">
        <v>211</v>
      </c>
      <c r="C27" s="14">
        <f>SUM(COUNTIFS(Games_2[ATHLETE 2],Analysis_4[[#This Row],[Atheletes ]],Games_2[RESULT 12],Analysis_3[[#Headers],[WIN]]),COUNTIFS(Games_2[ATHLETE 4],Analysis_4[[#This Row],[Atheletes ]],Games_2[RESULT 34],Analysis_3[[#Headers],[WIN]]))</f>
        <v>0</v>
      </c>
      <c r="D27" s="14">
        <f>SUM(COUNTIFS(Games_2[ATHLETE 2],Analysis_4[[#This Row],[Atheletes ]],Games_2[RESULT 12],Analysis_3[[#Headers],[LOSE]]),COUNTIFS(Games_2[ATHLETE 4],Analysis_4[[#This Row],[Atheletes ]],Games_2[RESULT 34],Analysis_3[[#Headers],[LOSE]]))</f>
        <v>0</v>
      </c>
      <c r="E27" s="46">
        <f>SUM(SUMIF(Games_2[ATHLETE 2],Analysis_4[[#This Row],[Atheletes ]],Games_2[SALDO 12]),SUMIF(Games_2[ATHLETE 4],Analysis_4[[#This Row],[Atheletes ]],Games_2[SALDO 34]))</f>
        <v>0</v>
      </c>
      <c r="F27" s="46">
        <f>SUM(SUMIF(Games_2[ATHLETE 2],Analysis_4[[#This Row],[Atheletes ]],Games_2[PM 12]),SUMIF(Games_2[ATHLETE 4],Analysis_4[[#This Row],[Atheletes ]],Games_2[PM 34]))</f>
        <v>0</v>
      </c>
      <c r="G27" s="430" t="str">
        <f>IF(COUNTBLANK(Games_2[[SCORE 1]:[SCORE 2]])=0,IF(RANK(H27,$H$25:$H$28)=1,RANK(H27,$H$25:$H$28)&amp;"st",IF(RANK(H27,$H$25:$H$28)=2,RANK(H27,$H$25:$H$28)&amp;"nd",IF(RANK(H27,$H$25:$H$28)=3,RANK(H27,$H$25:$H$28)&amp;"rd",RANK(H27,$H$25:$H$28)&amp;"th"))),"")</f>
        <v/>
      </c>
      <c r="H27" s="51">
        <f>Analysis_4[[#This Row],[WIN]]*1000000+Analysis_4[[#This Row],[Saldo]]*1000+Analysis_4[[#This Row],[PM]]</f>
        <v>0</v>
      </c>
      <c r="L27" s="2" t="str">
        <f t="shared" si="4"/>
        <v/>
      </c>
    </row>
    <row r="28" spans="1:19">
      <c r="A28" s="430" t="s">
        <v>212</v>
      </c>
      <c r="B28" s="102" t="s">
        <v>212</v>
      </c>
      <c r="C28" s="14">
        <f>SUM(COUNTIFS(Games_2[ATHLETE 2],Analysis_4[[#This Row],[Atheletes ]],Games_2[RESULT 12],Analysis_3[[#Headers],[WIN]]),COUNTIFS(Games_2[ATHLETE 4],Analysis_4[[#This Row],[Atheletes ]],Games_2[RESULT 34],Analysis_3[[#Headers],[WIN]]))</f>
        <v>0</v>
      </c>
      <c r="D28" s="14">
        <f>SUM(COUNTIFS(Games_2[ATHLETE 2],Analysis_4[[#This Row],[Atheletes ]],Games_2[RESULT 12],Analysis_3[[#Headers],[LOSE]]),COUNTIFS(Games_2[ATHLETE 4],Analysis_4[[#This Row],[Atheletes ]],Games_2[RESULT 34],Analysis_3[[#Headers],[LOSE]]))</f>
        <v>0</v>
      </c>
      <c r="E28" s="46">
        <f>SUM(SUMIF(Games_2[ATHLETE 2],Analysis_4[[#This Row],[Atheletes ]],Games_2[SALDO 12]),SUMIF(Games_2[ATHLETE 4],Analysis_4[[#This Row],[Atheletes ]],Games_2[SALDO 34]))</f>
        <v>0</v>
      </c>
      <c r="F28" s="46">
        <f>SUM(SUMIF(Games_2[ATHLETE 2],Analysis_4[[#This Row],[Atheletes ]],Games_2[PM 12]),SUMIF(Games_2[ATHLETE 4],Analysis_4[[#This Row],[Atheletes ]],Games_2[PM 34]))</f>
        <v>0</v>
      </c>
      <c r="G28" s="430" t="str">
        <f>IF(COUNTBLANK(Games_2[[SCORE 1]:[SCORE 2]])=0,IF(RANK(H28,$H$25:$H$28)=1,RANK(H28,$H$25:$H$28)&amp;"st",IF(RANK(H28,$H$25:$H$28)=2,RANK(H28,$H$25:$H$28)&amp;"nd",IF(RANK(H28,$H$25:$H$28)=3,RANK(H28,$H$25:$H$28)&amp;"rd",RANK(H28,$H$25:$H$28)&amp;"th"))),"")</f>
        <v/>
      </c>
      <c r="H28" s="51">
        <f>Analysis_4[[#This Row],[WIN]]*1000000+Analysis_4[[#This Row],[Saldo]]*1000+Analysis_4[[#This Row],[PM]]</f>
        <v>0</v>
      </c>
      <c r="L28" s="2" t="str">
        <f t="shared" si="4"/>
        <v/>
      </c>
    </row>
    <row r="29" spans="1:19">
      <c r="A29" s="96" t="s">
        <v>280</v>
      </c>
      <c r="B29" s="102" t="s">
        <v>280</v>
      </c>
      <c r="C29" s="109" t="s">
        <v>249</v>
      </c>
      <c r="D29" s="109" t="s">
        <v>249</v>
      </c>
      <c r="E29" s="109" t="s">
        <v>249</v>
      </c>
      <c r="F29" s="109" t="s">
        <v>249</v>
      </c>
      <c r="G29" s="109" t="s">
        <v>249</v>
      </c>
      <c r="H29" s="2" t="s">
        <v>249</v>
      </c>
    </row>
    <row r="30" spans="1:19">
      <c r="A30" s="430" t="s">
        <v>281</v>
      </c>
      <c r="B30" s="114" t="s">
        <v>281</v>
      </c>
      <c r="C30" s="109" t="s">
        <v>249</v>
      </c>
      <c r="D30" s="109" t="s">
        <v>249</v>
      </c>
      <c r="E30" s="109" t="s">
        <v>249</v>
      </c>
      <c r="F30" s="109" t="s">
        <v>249</v>
      </c>
      <c r="G30" s="109" t="s">
        <v>249</v>
      </c>
      <c r="H30" s="2" t="s">
        <v>249</v>
      </c>
    </row>
    <row r="31" spans="1:19" ht="15.95" thickBot="1"/>
    <row r="32" spans="1:19" ht="15.95" thickBot="1">
      <c r="A32" s="123" t="s">
        <v>218</v>
      </c>
      <c r="B32" s="124">
        <v>45814</v>
      </c>
      <c r="C32" s="44" t="s">
        <v>256</v>
      </c>
    </row>
  </sheetData>
  <sheetProtection algorithmName="SHA-512" hashValue="1GSVHJ7UkXpbkzO/2ckM74lKMK4tHNjhy4xnjrlnepEWuzIDwtKhxTVJIvosnO2DFkh2hYXJLCyqSbFziewqBw==" saltValue="WiqnfDUtwDBOKYs5/NIqQg==" spinCount="100000" sheet="1" objects="1" scenarios="1"/>
  <mergeCells count="7">
    <mergeCell ref="M21:R21"/>
    <mergeCell ref="O22:P22"/>
    <mergeCell ref="O16:P16"/>
    <mergeCell ref="T1:U1"/>
    <mergeCell ref="A15:G15"/>
    <mergeCell ref="M15:R15"/>
    <mergeCell ref="A1:A13"/>
  </mergeCells>
  <phoneticPr fontId="1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108C-6848-2642-915E-D02EABF16029}">
  <sheetPr codeName="Sheet25"/>
  <dimension ref="A1:U30"/>
  <sheetViews>
    <sheetView workbookViewId="0">
      <selection activeCell="N28" sqref="N28"/>
    </sheetView>
    <sheetView workbookViewId="1">
      <selection sqref="A1:A11"/>
    </sheetView>
  </sheetViews>
  <sheetFormatPr defaultColWidth="8.85546875" defaultRowHeight="15"/>
  <cols>
    <col min="1" max="1" width="9.7109375" customWidth="1"/>
    <col min="2" max="2" width="13" bestFit="1" customWidth="1"/>
    <col min="3" max="4" width="20" customWidth="1"/>
    <col min="5" max="6" width="9.7109375" customWidth="1"/>
    <col min="7" max="7" width="9.140625" bestFit="1" customWidth="1"/>
    <col min="8" max="8" width="11.42578125" hidden="1" customWidth="1"/>
    <col min="9" max="9" width="12" hidden="1" customWidth="1"/>
    <col min="10" max="10" width="8" hidden="1" customWidth="1"/>
    <col min="11" max="11" width="10.7109375" hidden="1" customWidth="1"/>
    <col min="12" max="12" width="9.140625" bestFit="1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4" bestFit="1" customWidth="1"/>
    <col min="21" max="22" width="9.7109375" bestFit="1" customWidth="1"/>
  </cols>
  <sheetData>
    <row r="1" spans="1:21">
      <c r="A1" s="550" t="s">
        <v>322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178</v>
      </c>
      <c r="L1" s="7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323</v>
      </c>
      <c r="U1" s="545"/>
    </row>
    <row r="2" spans="1:21" ht="15" customHeight="1">
      <c r="A2" s="554"/>
      <c r="B2" s="13" t="s">
        <v>178</v>
      </c>
      <c r="C2" s="433" t="str">
        <f>B15</f>
        <v>A1</v>
      </c>
      <c r="D2" s="25" t="str">
        <f>B18</f>
        <v>A4</v>
      </c>
      <c r="E2" s="26"/>
      <c r="F2" s="27"/>
      <c r="G2" s="15" t="str">
        <f>B16</f>
        <v>A2</v>
      </c>
      <c r="H2" s="15"/>
      <c r="I2" s="15"/>
      <c r="J2" s="15"/>
      <c r="K2" s="15"/>
      <c r="L2" s="16" t="str">
        <f>B17</f>
        <v>A3</v>
      </c>
      <c r="M2" s="13" t="str">
        <f>IF(OR(Game_5[[#This Row],[SCORE 1]]="",Game_5[[#This Row],[SCORE 2]]=""),"",Game_5[[#This Row],[SCORE 1]]-Game_5[[#This Row],[SCORE 2]])</f>
        <v/>
      </c>
      <c r="N2" s="13" t="str">
        <f>IF(OR(Game_5[[#This Row],[SCORE 1]]="",Game_5[[#This Row],[SCORE 2]]=""),"",Game_5[[#This Row],[SCORE 2]]-Game_5[[#This Row],[SCORE 1]])</f>
        <v/>
      </c>
      <c r="O2" s="13" t="str">
        <f>IF(Game_5[[#This Row],[SCORE 1]]="","",Game_5[[#This Row],[SCORE 1]])</f>
        <v/>
      </c>
      <c r="P2" s="13" t="str">
        <f>IF(Game_5[[#This Row],[SCORE 2]]="","",Game_5[[#This Row],[SCORE 2]])</f>
        <v/>
      </c>
      <c r="Q2" s="13" t="str">
        <f>IF(OR(Game_5[[#This Row],[SCORE 1]]="",Game_5[[#This Row],[SCORE 2]]=""),"",IF(Game_5[[#This Row],[SALDO 12]]&gt;0, "WIN","LOSE"))</f>
        <v/>
      </c>
      <c r="R2" s="13" t="str">
        <f>IF(OR(Game_5[[#This Row],[SCORE 1]]="",Game_5[[#This Row],[SCORE 2]]=""),"",IF(Game_5[[#This Row],[SALDO 34]]&gt;0, "WIN","LOSE"))</f>
        <v/>
      </c>
      <c r="T2" s="21" t="s">
        <v>179</v>
      </c>
      <c r="U2" s="21" t="s">
        <v>8</v>
      </c>
    </row>
    <row r="3" spans="1:21">
      <c r="A3" s="554"/>
      <c r="B3" s="13" t="s">
        <v>180</v>
      </c>
      <c r="C3" s="433" t="str">
        <f>B22</f>
        <v>B1</v>
      </c>
      <c r="D3" s="25" t="str">
        <f>B25</f>
        <v>B4</v>
      </c>
      <c r="E3" s="26"/>
      <c r="F3" s="27"/>
      <c r="G3" s="15" t="str">
        <f>B23</f>
        <v>B2</v>
      </c>
      <c r="H3" s="15"/>
      <c r="I3" s="15"/>
      <c r="J3" s="15"/>
      <c r="K3" s="15"/>
      <c r="L3" s="16" t="str">
        <f>B24</f>
        <v>B3</v>
      </c>
      <c r="M3" s="13" t="str">
        <f>IF(OR(Game_5[[#This Row],[SCORE 1]]="",Game_5[[#This Row],[SCORE 2]]=""),"",Game_5[[#This Row],[SCORE 1]]-Game_5[[#This Row],[SCORE 2]])</f>
        <v/>
      </c>
      <c r="N3" s="13" t="str">
        <f>IF(OR(Game_5[[#This Row],[SCORE 1]]="",Game_5[[#This Row],[SCORE 2]]=""),"",Game_5[[#This Row],[SCORE 2]]-Game_5[[#This Row],[SCORE 1]])</f>
        <v/>
      </c>
      <c r="O3" s="13" t="str">
        <f>IF(Game_5[[#This Row],[SCORE 1]]="","",Game_5[[#This Row],[SCORE 1]])</f>
        <v/>
      </c>
      <c r="P3" s="13" t="str">
        <f>IF(Game_5[[#This Row],[SCORE 2]]="","",Game_5[[#This Row],[SCORE 2]])</f>
        <v/>
      </c>
      <c r="Q3" s="13" t="str">
        <f>IF(OR(Game_5[[#This Row],[SCORE 1]]="",Game_5[[#This Row],[SCORE 2]]=""),"",IF(Game_5[[#This Row],[SALDO 12]]&gt;0, "WIN","LOSE"))</f>
        <v/>
      </c>
      <c r="R3" s="13" t="str">
        <f>IF(OR(Game_5[[#This Row],[SCORE 1]]="",Game_5[[#This Row],[SCORE 2]]=""),"",IF(Game_5[[#This Row],[SALDO 34]]&gt;0, "WIN","LOSE"))</f>
        <v/>
      </c>
      <c r="T3" t="str">
        <f>IFERROR(_xlfn.XLOOKUP(Table15722354466784681[[#This Row],[Rank]],$M$23:$R$23,$M$22:$R$22),"")</f>
        <v/>
      </c>
      <c r="U3" s="2" t="s">
        <v>19</v>
      </c>
    </row>
    <row r="4" spans="1:21">
      <c r="A4" s="554"/>
      <c r="B4" s="13" t="s">
        <v>178</v>
      </c>
      <c r="C4" s="433" t="str">
        <f>B15</f>
        <v>A1</v>
      </c>
      <c r="D4" s="25" t="str">
        <f>B17</f>
        <v>A3</v>
      </c>
      <c r="E4" s="26"/>
      <c r="F4" s="27"/>
      <c r="G4" s="15" t="str">
        <f>B16</f>
        <v>A2</v>
      </c>
      <c r="H4" s="15"/>
      <c r="I4" s="15"/>
      <c r="J4" s="15"/>
      <c r="K4" s="15"/>
      <c r="L4" s="16" t="str">
        <f>B19</f>
        <v>A5</v>
      </c>
      <c r="M4" s="13" t="str">
        <f>IF(OR(Game_5[[#This Row],[SCORE 1]]="",Game_5[[#This Row],[SCORE 2]]=""),"",Game_5[[#This Row],[SCORE 1]]-Game_5[[#This Row],[SCORE 2]])</f>
        <v/>
      </c>
      <c r="N4" s="13" t="str">
        <f>IF(OR(Game_5[[#This Row],[SCORE 1]]="",Game_5[[#This Row],[SCORE 2]]=""),"",Game_5[[#This Row],[SCORE 2]]-Game_5[[#This Row],[SCORE 1]])</f>
        <v/>
      </c>
      <c r="O4" s="13" t="str">
        <f>IF(Game_5[[#This Row],[SCORE 1]]="","",Game_5[[#This Row],[SCORE 1]])</f>
        <v/>
      </c>
      <c r="P4" s="13" t="str">
        <f>IF(Game_5[[#This Row],[SCORE 2]]="","",Game_5[[#This Row],[SCORE 2]])</f>
        <v/>
      </c>
      <c r="Q4" s="13" t="str">
        <f>IF(OR(Game_5[[#This Row],[SCORE 1]]="",Game_5[[#This Row],[SCORE 2]]=""),"",IF(Game_5[[#This Row],[SALDO 12]]&gt;0, "WIN","LOSE"))</f>
        <v/>
      </c>
      <c r="R4" s="13" t="str">
        <f>IF(OR(Game_5[[#This Row],[SCORE 1]]="",Game_5[[#This Row],[SCORE 2]]=""),"",IF(Game_5[[#This Row],[SALDO 34]]&gt;0, "WIN","LOSE"))</f>
        <v/>
      </c>
      <c r="T4" t="str">
        <f>IFERROR(_xlfn.XLOOKUP(Table15722354466784681[[#This Row],[Rank]],$M$23:$R$23,$M$22:$R$22),"")</f>
        <v/>
      </c>
      <c r="U4" s="2" t="s">
        <v>22</v>
      </c>
    </row>
    <row r="5" spans="1:21">
      <c r="A5" s="554"/>
      <c r="B5" s="13" t="s">
        <v>180</v>
      </c>
      <c r="C5" s="433" t="str">
        <f>B22</f>
        <v>B1</v>
      </c>
      <c r="D5" s="25" t="str">
        <f>B24</f>
        <v>B3</v>
      </c>
      <c r="E5" s="26"/>
      <c r="F5" s="27"/>
      <c r="G5" s="15" t="str">
        <f>B23</f>
        <v>B2</v>
      </c>
      <c r="H5" s="15"/>
      <c r="I5" s="15"/>
      <c r="J5" s="15"/>
      <c r="K5" s="15"/>
      <c r="L5" s="16" t="str">
        <f>B26</f>
        <v>B5</v>
      </c>
      <c r="M5" s="13" t="str">
        <f>IF(OR(Game_5[[#This Row],[SCORE 1]]="",Game_5[[#This Row],[SCORE 2]]=""),"",Game_5[[#This Row],[SCORE 1]]-Game_5[[#This Row],[SCORE 2]])</f>
        <v/>
      </c>
      <c r="N5" s="13" t="str">
        <f>IF(OR(Game_5[[#This Row],[SCORE 1]]="",Game_5[[#This Row],[SCORE 2]]=""),"",Game_5[[#This Row],[SCORE 2]]-Game_5[[#This Row],[SCORE 1]])</f>
        <v/>
      </c>
      <c r="O5" s="13" t="str">
        <f>IF(Game_5[[#This Row],[SCORE 1]]="","",Game_5[[#This Row],[SCORE 1]])</f>
        <v/>
      </c>
      <c r="P5" s="13" t="str">
        <f>IF(Game_5[[#This Row],[SCORE 2]]="","",Game_5[[#This Row],[SCORE 2]])</f>
        <v/>
      </c>
      <c r="Q5" s="13" t="str">
        <f>IF(OR(Game_5[[#This Row],[SCORE 1]]="",Game_5[[#This Row],[SCORE 2]]=""),"",IF(Game_5[[#This Row],[SALDO 12]]&gt;0, "WIN","LOSE"))</f>
        <v/>
      </c>
      <c r="R5" s="13" t="str">
        <f>IF(OR(Game_5[[#This Row],[SCORE 1]]="",Game_5[[#This Row],[SCORE 2]]=""),"",IF(Game_5[[#This Row],[SALDO 34]]&gt;0, "WIN","LOSE"))</f>
        <v/>
      </c>
      <c r="T5" t="str">
        <f>IFERROR(_xlfn.XLOOKUP(Table15722354466784681[[#This Row],[Rank]],$M$16:$R$16,$M$15:$R$15),"")</f>
        <v/>
      </c>
      <c r="U5" s="2" t="s">
        <v>25</v>
      </c>
    </row>
    <row r="6" spans="1:21">
      <c r="A6" s="554"/>
      <c r="B6" s="13" t="s">
        <v>178</v>
      </c>
      <c r="C6" s="433" t="str">
        <f>B15</f>
        <v>A1</v>
      </c>
      <c r="D6" s="25" t="str">
        <f>B16</f>
        <v>A2</v>
      </c>
      <c r="E6" s="26"/>
      <c r="F6" s="27"/>
      <c r="G6" s="15" t="str">
        <f>B18</f>
        <v>A4</v>
      </c>
      <c r="H6" s="15"/>
      <c r="I6" s="15"/>
      <c r="J6" s="15"/>
      <c r="K6" s="15"/>
      <c r="L6" s="16" t="str">
        <f>B19</f>
        <v>A5</v>
      </c>
      <c r="M6" s="13" t="str">
        <f>IF(OR(Game_5[[#This Row],[SCORE 1]]="",Game_5[[#This Row],[SCORE 2]]=""),"",Game_5[[#This Row],[SCORE 1]]-Game_5[[#This Row],[SCORE 2]])</f>
        <v/>
      </c>
      <c r="N6" s="13" t="str">
        <f>IF(OR(Game_5[[#This Row],[SCORE 1]]="",Game_5[[#This Row],[SCORE 2]]=""),"",Game_5[[#This Row],[SCORE 2]]-Game_5[[#This Row],[SCORE 1]])</f>
        <v/>
      </c>
      <c r="O6" s="13" t="str">
        <f>IF(Game_5[[#This Row],[SCORE 1]]="","",Game_5[[#This Row],[SCORE 1]])</f>
        <v/>
      </c>
      <c r="P6" s="13" t="str">
        <f>IF(Game_5[[#This Row],[SCORE 2]]="","",Game_5[[#This Row],[SCORE 2]])</f>
        <v/>
      </c>
      <c r="Q6" s="13" t="str">
        <f>IF(OR(Game_5[[#This Row],[SCORE 1]]="",Game_5[[#This Row],[SCORE 2]]=""),"",IF(Game_5[[#This Row],[SALDO 12]]&gt;0, "WIN","LOSE"))</f>
        <v/>
      </c>
      <c r="R6" s="13" t="str">
        <f>IF(OR(Game_5[[#This Row],[SCORE 1]]="",Game_5[[#This Row],[SCORE 2]]=""),"",IF(Game_5[[#This Row],[SALDO 34]]&gt;0, "WIN","LOSE"))</f>
        <v/>
      </c>
      <c r="T6" t="str">
        <f>IFERROR(_xlfn.XLOOKUP(Table15722354466784681[[#This Row],[Rank]],$M$16:$R$16,$M$15:$R$15),"")</f>
        <v/>
      </c>
      <c r="U6" s="2" t="s">
        <v>28</v>
      </c>
    </row>
    <row r="7" spans="1:21">
      <c r="A7" s="554"/>
      <c r="B7" s="13" t="s">
        <v>180</v>
      </c>
      <c r="C7" s="433" t="str">
        <f>B22</f>
        <v>B1</v>
      </c>
      <c r="D7" s="25" t="str">
        <f>B23</f>
        <v>B2</v>
      </c>
      <c r="E7" s="26"/>
      <c r="F7" s="27"/>
      <c r="G7" s="15" t="str">
        <f>B25</f>
        <v>B4</v>
      </c>
      <c r="H7" s="15"/>
      <c r="I7" s="15"/>
      <c r="J7" s="15"/>
      <c r="K7" s="15"/>
      <c r="L7" s="16" t="str">
        <f>B26</f>
        <v>B5</v>
      </c>
      <c r="M7" s="13" t="str">
        <f>IF(OR(Game_5[[#This Row],[SCORE 1]]="",Game_5[[#This Row],[SCORE 2]]=""),"",Game_5[[#This Row],[SCORE 1]]-Game_5[[#This Row],[SCORE 2]])</f>
        <v/>
      </c>
      <c r="N7" s="13" t="str">
        <f>IF(OR(Game_5[[#This Row],[SCORE 1]]="",Game_5[[#This Row],[SCORE 2]]=""),"",Game_5[[#This Row],[SCORE 2]]-Game_5[[#This Row],[SCORE 1]])</f>
        <v/>
      </c>
      <c r="O7" s="13" t="str">
        <f>IF(Game_5[[#This Row],[SCORE 1]]="","",Game_5[[#This Row],[SCORE 1]])</f>
        <v/>
      </c>
      <c r="P7" s="13" t="str">
        <f>IF(Game_5[[#This Row],[SCORE 2]]="","",Game_5[[#This Row],[SCORE 2]])</f>
        <v/>
      </c>
      <c r="Q7" s="13" t="str">
        <f>IF(OR(Game_5[[#This Row],[SCORE 1]]="",Game_5[[#This Row],[SCORE 2]]=""),"",IF(Game_5[[#This Row],[SALDO 12]]&gt;0, "WIN","LOSE"))</f>
        <v/>
      </c>
      <c r="R7" s="13" t="str">
        <f>IF(OR(Game_5[[#This Row],[SCORE 1]]="",Game_5[[#This Row],[SCORE 2]]=""),"",IF(Game_5[[#This Row],[SALDO 34]]&gt;0, "WIN","LOSE"))</f>
        <v/>
      </c>
      <c r="T7" s="44" t="str" cm="1">
        <f t="array" ref="T7">_xlfn.TEXTJOIN(", ", TRUE, _xlfn._xlws.FILTER($J$15:$J$24, $K$15:$K$24=U7,""))</f>
        <v/>
      </c>
      <c r="U7" s="2" t="s">
        <v>31</v>
      </c>
    </row>
    <row r="8" spans="1:21">
      <c r="A8" s="554"/>
      <c r="B8" s="13" t="s">
        <v>178</v>
      </c>
      <c r="C8" s="433" t="str">
        <f>B15</f>
        <v>A1</v>
      </c>
      <c r="D8" s="25" t="str">
        <f>B19</f>
        <v>A5</v>
      </c>
      <c r="E8" s="26"/>
      <c r="F8" s="27"/>
      <c r="G8" s="15" t="str">
        <f>B17</f>
        <v>A3</v>
      </c>
      <c r="H8" s="15"/>
      <c r="I8" s="15"/>
      <c r="J8" s="15"/>
      <c r="K8" s="15"/>
      <c r="L8" s="16" t="str">
        <f>B18</f>
        <v>A4</v>
      </c>
      <c r="M8" s="13" t="str">
        <f>IF(OR(Game_5[[#This Row],[SCORE 1]]="",Game_5[[#This Row],[SCORE 2]]=""),"",Game_5[[#This Row],[SCORE 1]]-Game_5[[#This Row],[SCORE 2]])</f>
        <v/>
      </c>
      <c r="N8" s="13" t="str">
        <f>IF(OR(Game_5[[#This Row],[SCORE 1]]="",Game_5[[#This Row],[SCORE 2]]=""),"",Game_5[[#This Row],[SCORE 2]]-Game_5[[#This Row],[SCORE 1]])</f>
        <v/>
      </c>
      <c r="O8" s="13" t="str">
        <f>IF(Game_5[[#This Row],[SCORE 1]]="","",Game_5[[#This Row],[SCORE 1]])</f>
        <v/>
      </c>
      <c r="P8" s="13" t="str">
        <f>IF(Game_5[[#This Row],[SCORE 2]]="","",Game_5[[#This Row],[SCORE 2]])</f>
        <v/>
      </c>
      <c r="Q8" s="13" t="str">
        <f>IF(OR(Game_5[[#This Row],[SCORE 1]]="",Game_5[[#This Row],[SCORE 2]]=""),"",IF(Game_5[[#This Row],[SALDO 12]]&gt;0, "WIN","LOSE"))</f>
        <v/>
      </c>
      <c r="R8" s="13" t="str">
        <f>IF(OR(Game_5[[#This Row],[SCORE 1]]="",Game_5[[#This Row],[SCORE 2]]=""),"",IF(Game_5[[#This Row],[SALDO 34]]&gt;0, "WIN","LOSE"))</f>
        <v/>
      </c>
      <c r="T8" s="44" t="str" cm="1">
        <f t="array" ref="T8">_xlfn.TEXTJOIN(", ", TRUE, _xlfn._xlws.FILTER($J$15:$J$24, $K$15:$K$24=U8,""))</f>
        <v/>
      </c>
      <c r="U8" s="2" t="s">
        <v>34</v>
      </c>
    </row>
    <row r="9" spans="1:21">
      <c r="A9" s="554"/>
      <c r="B9" s="13" t="s">
        <v>180</v>
      </c>
      <c r="C9" s="433" t="str">
        <f>B22</f>
        <v>B1</v>
      </c>
      <c r="D9" s="25" t="str">
        <f>B26</f>
        <v>B5</v>
      </c>
      <c r="E9" s="26"/>
      <c r="F9" s="27"/>
      <c r="G9" s="15" t="str">
        <f>B24</f>
        <v>B3</v>
      </c>
      <c r="H9" s="15"/>
      <c r="I9" s="15"/>
      <c r="J9" s="15"/>
      <c r="K9" s="15"/>
      <c r="L9" s="16" t="str">
        <f>B25</f>
        <v>B4</v>
      </c>
      <c r="M9" s="13" t="str">
        <f>IF(OR(Game_5[[#This Row],[SCORE 1]]="",Game_5[[#This Row],[SCORE 2]]=""),"",Game_5[[#This Row],[SCORE 1]]-Game_5[[#This Row],[SCORE 2]])</f>
        <v/>
      </c>
      <c r="N9" s="13" t="str">
        <f>IF(OR(Game_5[[#This Row],[SCORE 1]]="",Game_5[[#This Row],[SCORE 2]]=""),"",Game_5[[#This Row],[SCORE 2]]-Game_5[[#This Row],[SCORE 1]])</f>
        <v/>
      </c>
      <c r="O9" s="13" t="str">
        <f>IF(Game_5[[#This Row],[SCORE 1]]="","",Game_5[[#This Row],[SCORE 1]])</f>
        <v/>
      </c>
      <c r="P9" s="13" t="str">
        <f>IF(Game_5[[#This Row],[SCORE 2]]="","",Game_5[[#This Row],[SCORE 2]])</f>
        <v/>
      </c>
      <c r="Q9" s="13" t="str">
        <f>IF(OR(Game_5[[#This Row],[SCORE 1]]="",Game_5[[#This Row],[SCORE 2]]=""),"",IF(Game_5[[#This Row],[SALDO 12]]&gt;0, "WIN","LOSE"))</f>
        <v/>
      </c>
      <c r="R9" s="13" t="str">
        <f>IF(OR(Game_5[[#This Row],[SCORE 1]]="",Game_5[[#This Row],[SCORE 2]]=""),"",IF(Game_5[[#This Row],[SALDO 34]]&gt;0, "WIN","LOSE"))</f>
        <v/>
      </c>
      <c r="T9" s="44" t="str" cm="1">
        <f t="array" ref="T9">_xlfn.TEXTJOIN(", ", TRUE, _xlfn._xlws.FILTER($J$15:$J$24, $K$15:$K$24=U9,""))</f>
        <v/>
      </c>
      <c r="U9" s="2" t="s">
        <v>37</v>
      </c>
    </row>
    <row r="10" spans="1:21">
      <c r="A10" s="554"/>
      <c r="B10" s="13" t="s">
        <v>178</v>
      </c>
      <c r="C10" s="433" t="str">
        <f>B17</f>
        <v>A3</v>
      </c>
      <c r="D10" s="25" t="str">
        <f>B19</f>
        <v>A5</v>
      </c>
      <c r="E10" s="26"/>
      <c r="F10" s="27"/>
      <c r="G10" s="15" t="str">
        <f>B16</f>
        <v>A2</v>
      </c>
      <c r="H10" s="15"/>
      <c r="I10" s="15"/>
      <c r="J10" s="15"/>
      <c r="K10" s="15"/>
      <c r="L10" s="16" t="str">
        <f>B18</f>
        <v>A4</v>
      </c>
      <c r="M10" s="13" t="str">
        <f>IF(OR(Game_5[[#This Row],[SCORE 1]]="",Game_5[[#This Row],[SCORE 2]]=""),"",Game_5[[#This Row],[SCORE 1]]-Game_5[[#This Row],[SCORE 2]])</f>
        <v/>
      </c>
      <c r="N10" s="13" t="str">
        <f>IF(OR(Game_5[[#This Row],[SCORE 1]]="",Game_5[[#This Row],[SCORE 2]]=""),"",Game_5[[#This Row],[SCORE 2]]-Game_5[[#This Row],[SCORE 1]])</f>
        <v/>
      </c>
      <c r="O10" s="13" t="str">
        <f>IF(Game_5[[#This Row],[SCORE 1]]="","",Game_5[[#This Row],[SCORE 1]])</f>
        <v/>
      </c>
      <c r="P10" s="13" t="str">
        <f>IF(Game_5[[#This Row],[SCORE 2]]="","",Game_5[[#This Row],[SCORE 2]])</f>
        <v/>
      </c>
      <c r="Q10" s="13" t="str">
        <f>IF(OR(Game_5[[#This Row],[SCORE 1]]="",Game_5[[#This Row],[SCORE 2]]=""),"",IF(Game_5[[#This Row],[SALDO 12]]&gt;0, "WIN","LOSE"))</f>
        <v/>
      </c>
      <c r="R10" s="13" t="str">
        <f>IF(OR(Game_5[[#This Row],[SCORE 1]]="",Game_5[[#This Row],[SCORE 2]]=""),"",IF(Game_5[[#This Row],[SALDO 34]]&gt;0, "WIN","LOSE"))</f>
        <v/>
      </c>
      <c r="T10" s="44" t="str" cm="1">
        <f t="array" ref="T10">_xlfn.TEXTJOIN(", ", TRUE, _xlfn._xlws.FILTER($J$15:$J$24, $K$15:$K$24=U10,""))</f>
        <v/>
      </c>
      <c r="U10" s="2" t="s">
        <v>41</v>
      </c>
    </row>
    <row r="11" spans="1:21">
      <c r="A11" s="554"/>
      <c r="B11" s="13" t="s">
        <v>180</v>
      </c>
      <c r="C11" s="433" t="str">
        <f>B24</f>
        <v>B3</v>
      </c>
      <c r="D11" s="25" t="str">
        <f>B26</f>
        <v>B5</v>
      </c>
      <c r="E11" s="26"/>
      <c r="F11" s="27"/>
      <c r="G11" s="15" t="str">
        <f>B23</f>
        <v>B2</v>
      </c>
      <c r="H11" s="15"/>
      <c r="I11" s="15"/>
      <c r="J11" s="15"/>
      <c r="K11" s="15"/>
      <c r="L11" s="16" t="str">
        <f>B25</f>
        <v>B4</v>
      </c>
      <c r="M11" s="13" t="str">
        <f>IF(OR(Game_5[[#This Row],[SCORE 1]]="",Game_5[[#This Row],[SCORE 2]]=""),"",Game_5[[#This Row],[SCORE 1]]-Game_5[[#This Row],[SCORE 2]])</f>
        <v/>
      </c>
      <c r="N11" s="13" t="str">
        <f>IF(OR(Game_5[[#This Row],[SCORE 1]]="",Game_5[[#This Row],[SCORE 2]]=""),"",Game_5[[#This Row],[SCORE 2]]-Game_5[[#This Row],[SCORE 1]])</f>
        <v/>
      </c>
      <c r="O11" s="13" t="str">
        <f>IF(Game_5[[#This Row],[SCORE 1]]="","",Game_5[[#This Row],[SCORE 1]])</f>
        <v/>
      </c>
      <c r="P11" s="13" t="str">
        <f>IF(Game_5[[#This Row],[SCORE 2]]="","",Game_5[[#This Row],[SCORE 2]])</f>
        <v/>
      </c>
      <c r="Q11" s="13" t="str">
        <f>IF(OR(Game_5[[#This Row],[SCORE 1]]="",Game_5[[#This Row],[SCORE 2]]=""),"",IF(Game_5[[#This Row],[SALDO 12]]&gt;0, "WIN","LOSE"))</f>
        <v/>
      </c>
      <c r="R11" s="13" t="str">
        <f>IF(OR(Game_5[[#This Row],[SCORE 1]]="",Game_5[[#This Row],[SCORE 2]]=""),"",IF(Game_5[[#This Row],[SALDO 34]]&gt;0, "WIN","LOSE"))</f>
        <v/>
      </c>
      <c r="T11" s="44" t="str" cm="1">
        <f t="array" ref="T11">_xlfn.TEXTJOIN(", ", TRUE, _xlfn._xlws.FILTER($J$15:$J$24, $K$15:$K$24=U11,""))</f>
        <v/>
      </c>
      <c r="U11" s="2" t="s">
        <v>44</v>
      </c>
    </row>
    <row r="12" spans="1:21" ht="30" customHeight="1">
      <c r="T12" s="44" t="str" cm="1">
        <f t="array" ref="T12">_xlfn.TEXTJOIN(", ", TRUE, _xlfn._xlws.FILTER($J$15:$J$24, $K$15:$K$24=U12,""))</f>
        <v/>
      </c>
      <c r="U12" s="2" t="s">
        <v>39</v>
      </c>
    </row>
    <row r="13" spans="1:21" ht="30" customHeight="1">
      <c r="A13" s="546" t="s">
        <v>182</v>
      </c>
      <c r="B13" s="547"/>
      <c r="C13" s="547"/>
      <c r="D13" s="547"/>
      <c r="E13" s="547"/>
      <c r="F13" s="547"/>
      <c r="G13" s="547"/>
      <c r="H13" s="420"/>
      <c r="I13" s="420"/>
      <c r="J13" s="420"/>
      <c r="K13" s="420"/>
      <c r="M13" s="548" t="s">
        <v>199</v>
      </c>
      <c r="N13" s="549"/>
      <c r="O13" s="549"/>
      <c r="P13" s="549"/>
      <c r="Q13" s="549"/>
      <c r="R13" s="549"/>
    </row>
    <row r="14" spans="1:21" ht="15.95">
      <c r="A14" s="6" t="s">
        <v>246</v>
      </c>
      <c r="B14" s="7" t="s">
        <v>185</v>
      </c>
      <c r="C14" s="7" t="s">
        <v>186</v>
      </c>
      <c r="D14" s="7" t="s">
        <v>187</v>
      </c>
      <c r="E14" s="7" t="s">
        <v>188</v>
      </c>
      <c r="F14" s="7" t="s">
        <v>189</v>
      </c>
      <c r="G14" s="7" t="s">
        <v>8</v>
      </c>
      <c r="H14" s="20" t="s">
        <v>190</v>
      </c>
      <c r="I14" s="20" t="s">
        <v>191</v>
      </c>
      <c r="J14" s="20" t="s">
        <v>1</v>
      </c>
      <c r="K14" s="20" t="s">
        <v>192</v>
      </c>
      <c r="M14" s="418" t="s">
        <v>193</v>
      </c>
      <c r="N14" s="418" t="s">
        <v>194</v>
      </c>
      <c r="O14" s="542" t="s">
        <v>195</v>
      </c>
      <c r="P14" s="543"/>
      <c r="Q14" s="418" t="s">
        <v>196</v>
      </c>
      <c r="R14" s="418" t="s">
        <v>197</v>
      </c>
    </row>
    <row r="15" spans="1:21">
      <c r="A15" s="4" t="s">
        <v>205</v>
      </c>
      <c r="B15" s="29" t="s">
        <v>205</v>
      </c>
      <c r="C15" s="14">
        <f>SUM(COUNTIFS(Game_5[ATHLETE 1],Analysis_15[[#This Row],[Atheletes ]],Game_5[RESULT 12],"win"),COUNTIFS(Game_5[ATHLETE 2],Analysis_15[[#This Row],[Atheletes ]],Game_5[RESULT 12],"win"),COUNTIFS(Game_5[ATHLETE 3],Analysis_15[[#This Row],[Atheletes ]],Game_5[RESULT 34],"win"),COUNTIFS(Game_5[ATHLETE 4],Analysis_15[[#This Row],[Atheletes ]],Game_5[RESULT 34],"win"))</f>
        <v>0</v>
      </c>
      <c r="D15" s="14">
        <f>SUM(COUNTIFS(Game_5[ATHLETE 1],Analysis_15[[#This Row],[Atheletes ]],Game_5[RESULT 12],"lose"),COUNTIFS(Game_5[ATHLETE 2],Analysis_15[[#This Row],[Atheletes ]],Game_5[RESULT 12],"lose"),COUNTIFS(Game_5[ATHLETE 3],Analysis_15[[#This Row],[Atheletes ]],Game_5[RESULT 34],"lose"),COUNTIFS(Game_5[ATHLETE 4],Analysis_15[[#This Row],[Atheletes ]],Game_5[RESULT 34],"lose"))</f>
        <v>0</v>
      </c>
      <c r="E15" s="19">
        <f>SUM(SUMIF(Game_5[ATHLETE 1],Analysis_15[[#This Row],[Atheletes ]],Game_5[SALDO 12]),SUMIF(Game_5[ATHLETE 2],Analysis_15[[#This Row],[Atheletes ]],Game_5[SALDO 12]),SUMIF(Game_5[ATHLETE 3],Analysis_15[[#This Row],[Atheletes ]],Game_5[SALDO 34]),SUMIF(Game_5[ATHLETE 4],Analysis_15[[#This Row],[Atheletes ]],Game_5[SALDO 34]))</f>
        <v>0</v>
      </c>
      <c r="F15" s="19">
        <f>SUM(SUMIF(Game_5[ATHLETE 1],Analysis_15[[#This Row],[Atheletes ]],Game_5[PM 12]),SUMIF(Game_5[ATHLETE 2],Analysis_15[[#This Row],[Atheletes ]],Game_5[PM 12]),SUMIF(Game_5[ATHLETE 3],Analysis_15[[#This Row],[Atheletes ]],Game_5[PM 34]),SUMIF(Game_5[ATHLETE 4],Analysis_15[[#This Row],[Atheletes ]],Game_5[PM 34]))</f>
        <v>0</v>
      </c>
      <c r="G15" s="14" t="str">
        <f>IF(COUNTBLANK(Game_5[[SCORE 1]:[SCORE 2]])=0,IF(RANK(H15,$H$15:$H$19)=1,RANK(H15,$H$15:$H$19)&amp;"st",IF(RANK(H15,$H$15:$H$19)=2,RANK(H15,$H$15:$H$19)&amp;"nd",IF(RANK(H15,$H$15:$H$19)=3,RANK(H15,$H$15:$H$19)&amp;"rd",RANK(H15,$H$15:$H$19)&amp;"th"))),"")</f>
        <v/>
      </c>
      <c r="H15" s="56">
        <f>Analysis_15[[#This Row],[WIN]]*1000000+Analysis_15[[#This Row],[Saldo]]*1000+Analysis_15[[#This Row],[PM]]</f>
        <v>0</v>
      </c>
      <c r="I15" s="56">
        <f>H15</f>
        <v>0</v>
      </c>
      <c r="J15" s="58" t="str">
        <f>Analysis_15[[#This Row],[Atheletes ]]</f>
        <v>A1</v>
      </c>
      <c r="K15" s="56" t="str">
        <f>IF(RANK(I15,$I$15:$I$24)=1,RANK(I15,$I$15:$I$24)&amp;"st",IF(RANK(I15,$I$15:$I$24)=2,RANK(I15,$I$15:$I$24)&amp;"nd",IF(RANK(I15,$I$15:$I$24)=3,RANK(I15,$I$15:$I$24)&amp;"rd",RANK(I15,$I$15:$I$24)&amp;"th")))</f>
        <v>1st</v>
      </c>
      <c r="M15" s="8" t="str">
        <f>IFERROR(_xlfn.XLOOKUP("1st",Analysis_15[Rank],Analysis_15[[Atheletes ]]),"")</f>
        <v/>
      </c>
      <c r="N15" s="8" t="str">
        <f>IFERROR(_xlfn.XLOOKUP("1st",Analysis_16[Rank],Analysis_16[[Atheletes ]]),"")</f>
        <v/>
      </c>
      <c r="O15" s="55"/>
      <c r="P15" s="87"/>
      <c r="Q15" s="8" t="str">
        <f>IFERROR(_xlfn.XLOOKUP("2nd",Analysis_15[Rank],Analysis_15[[Atheletes ]]),"")</f>
        <v/>
      </c>
      <c r="R15" s="8" t="str">
        <f>IFERROR(_xlfn.XLOOKUP("2nd",Analysis_16[Rank],Analysis_16[[Atheletes ]]),"")</f>
        <v/>
      </c>
    </row>
    <row r="16" spans="1:21">
      <c r="A16" s="3" t="s">
        <v>206</v>
      </c>
      <c r="B16" s="29" t="s">
        <v>206</v>
      </c>
      <c r="C16" s="14">
        <f>SUM(COUNTIFS(Game_5[ATHLETE 1],Analysis_15[[#This Row],[Atheletes ]],Game_5[RESULT 12],"win"),COUNTIFS(Game_5[ATHLETE 2],Analysis_15[[#This Row],[Atheletes ]],Game_5[RESULT 12],"win"),COUNTIFS(Game_5[ATHLETE 3],Analysis_15[[#This Row],[Atheletes ]],Game_5[RESULT 34],"win"),COUNTIFS(Game_5[ATHLETE 4],Analysis_15[[#This Row],[Atheletes ]],Game_5[RESULT 34],"win"))</f>
        <v>0</v>
      </c>
      <c r="D16" s="14">
        <f>SUM(COUNTIFS(Game_5[ATHLETE 1],Analysis_15[[#This Row],[Atheletes ]],Game_5[RESULT 12],"lose"),COUNTIFS(Game_5[ATHLETE 2],Analysis_15[[#This Row],[Atheletes ]],Game_5[RESULT 12],"lose"),COUNTIFS(Game_5[ATHLETE 3],Analysis_15[[#This Row],[Atheletes ]],Game_5[RESULT 34],"lose"),COUNTIFS(Game_5[ATHLETE 4],Analysis_15[[#This Row],[Atheletes ]],Game_5[RESULT 34],"lose"))</f>
        <v>0</v>
      </c>
      <c r="E16" s="19">
        <f>SUM(SUMIF(Game_5[ATHLETE 1],Analysis_15[[#This Row],[Atheletes ]],Game_5[SALDO 12]),SUMIF(Game_5[ATHLETE 2],Analysis_15[[#This Row],[Atheletes ]],Game_5[SALDO 12]),SUMIF(Game_5[ATHLETE 3],Analysis_15[[#This Row],[Atheletes ]],Game_5[SALDO 34]),SUMIF(Game_5[ATHLETE 4],Analysis_15[[#This Row],[Atheletes ]],Game_5[SALDO 34]))</f>
        <v>0</v>
      </c>
      <c r="F16" s="19">
        <f>SUM(SUMIF(Game_5[ATHLETE 1],Analysis_15[[#This Row],[Atheletes ]],Game_5[PM 12]),SUMIF(Game_5[ATHLETE 2],Analysis_15[[#This Row],[Atheletes ]],Game_5[PM 12]),SUMIF(Game_5[ATHLETE 3],Analysis_15[[#This Row],[Atheletes ]],Game_5[PM 34]),SUMIF(Game_5[ATHLETE 4],Analysis_15[[#This Row],[Atheletes ]],Game_5[PM 34]))</f>
        <v>0</v>
      </c>
      <c r="G16" s="14" t="str">
        <f>IF(COUNTBLANK(Game_5[[SCORE 1]:[SCORE 2]])=0,IF(RANK(H16,$H$15:$H$19)=1,RANK(H16,$H$15:$H$19)&amp;"st",IF(RANK(H16,$H$15:$H$19)=2,RANK(H16,$H$15:$H$19)&amp;"nd",IF(RANK(H16,$H$15:$H$19)=3,RANK(H16,$H$15:$H$19)&amp;"rd",RANK(H16,$H$15:$H$19)&amp;"th"))),"")</f>
        <v/>
      </c>
      <c r="H16" s="56">
        <f>Analysis_15[[#This Row],[WIN]]*1000000+Analysis_15[[#This Row],[Saldo]]*1000+Analysis_15[[#This Row],[PM]]</f>
        <v>0</v>
      </c>
      <c r="I16" s="56">
        <f t="shared" ref="I16:I19" si="0">H16</f>
        <v>0</v>
      </c>
      <c r="J16" s="58" t="str">
        <f>Analysis_15[[#This Row],[Atheletes ]]</f>
        <v>A2</v>
      </c>
      <c r="K16" s="56" t="str">
        <f t="shared" ref="K16:K24" si="1">IF(RANK(I16,$I$15:$I$24)=1,RANK(I16,$I$15:$I$24)&amp;"st",IF(RANK(I16,$I$15:$I$24)=2,RANK(I16,$I$15:$I$24)&amp;"nd",IF(RANK(I16,$I$15:$I$24)=3,RANK(I16,$I$15:$I$24)&amp;"rd",RANK(I16,$I$15:$I$24)&amp;"th")))</f>
        <v>1st</v>
      </c>
      <c r="M16" s="62" t="str">
        <f>IF(OR($O$16="WIN",$O$15="",$P$15=""),"",IF(M17&gt;N17,$U$5,$U$6))</f>
        <v/>
      </c>
      <c r="N16" s="62" t="str">
        <f>IF(OR($O$15="",$P$15="",$O$16="WIN"),"",IF(M17&lt;N17,$U$5,$U$6))</f>
        <v/>
      </c>
      <c r="O16" s="433" t="str">
        <f>IF(OR($O$15="",$P$15=""),"",IF(($O$15&gt;$P$15),"WIN","LOSE"))</f>
        <v/>
      </c>
      <c r="P16" s="433" t="str">
        <f>IF(OR($O$15="",$P$15=""),"",IF(($O$15&lt;$P$15),"WIN","LOSE"))</f>
        <v/>
      </c>
      <c r="Q16" s="62" t="str">
        <f>IF(OR($P$16="WIN",$O$15="",$P$15=""),"",IF(Q17&gt;R17,$U$5,$U$6))</f>
        <v/>
      </c>
      <c r="R16" s="62" t="str">
        <f>IF(OR($O$15="",$P$15="",$P$16="WIN"),"",IF(Q17&lt;R17,$U$5,$U$6))</f>
        <v/>
      </c>
      <c r="S16" s="17"/>
    </row>
    <row r="17" spans="1:18">
      <c r="A17" s="3" t="s">
        <v>207</v>
      </c>
      <c r="B17" s="29" t="s">
        <v>207</v>
      </c>
      <c r="C17" s="14">
        <f>SUM(COUNTIFS(Game_5[ATHLETE 1],Analysis_15[[#This Row],[Atheletes ]],Game_5[RESULT 12],"win"),COUNTIFS(Game_5[ATHLETE 2],Analysis_15[[#This Row],[Atheletes ]],Game_5[RESULT 12],"win"),COUNTIFS(Game_5[ATHLETE 3],Analysis_15[[#This Row],[Atheletes ]],Game_5[RESULT 34],"win"),COUNTIFS(Game_5[ATHLETE 4],Analysis_15[[#This Row],[Atheletes ]],Game_5[RESULT 34],"win"))</f>
        <v>0</v>
      </c>
      <c r="D17" s="14">
        <f>SUM(COUNTIFS(Game_5[ATHLETE 1],Analysis_15[[#This Row],[Atheletes ]],Game_5[RESULT 12],"lose"),COUNTIFS(Game_5[ATHLETE 2],Analysis_15[[#This Row],[Atheletes ]],Game_5[RESULT 12],"lose"),COUNTIFS(Game_5[ATHLETE 3],Analysis_15[[#This Row],[Atheletes ]],Game_5[RESULT 34],"lose"),COUNTIFS(Game_5[ATHLETE 4],Analysis_15[[#This Row],[Atheletes ]],Game_5[RESULT 34],"lose"))</f>
        <v>0</v>
      </c>
      <c r="E17" s="19">
        <f>SUM(SUMIF(Game_5[ATHLETE 1],Analysis_15[[#This Row],[Atheletes ]],Game_5[SALDO 12]),SUMIF(Game_5[ATHLETE 2],Analysis_15[[#This Row],[Atheletes ]],Game_5[SALDO 12]),SUMIF(Game_5[ATHLETE 3],Analysis_15[[#This Row],[Atheletes ]],Game_5[SALDO 34]),SUMIF(Game_5[ATHLETE 4],Analysis_15[[#This Row],[Atheletes ]],Game_5[SALDO 34]))</f>
        <v>0</v>
      </c>
      <c r="F17" s="19">
        <f>SUM(SUMIF(Game_5[ATHLETE 1],Analysis_15[[#This Row],[Atheletes ]],Game_5[PM 12]),SUMIF(Game_5[ATHLETE 2],Analysis_15[[#This Row],[Atheletes ]],Game_5[PM 12]),SUMIF(Game_5[ATHLETE 3],Analysis_15[[#This Row],[Atheletes ]],Game_5[PM 34]),SUMIF(Game_5[ATHLETE 4],Analysis_15[[#This Row],[Atheletes ]],Game_5[PM 34]))</f>
        <v>0</v>
      </c>
      <c r="G17" s="14" t="str">
        <f>IF(COUNTBLANK(Game_5[[SCORE 1]:[SCORE 2]])=0,IF(RANK(H17,$H$15:$H$19)=1,RANK(H17,$H$15:$H$19)&amp;"st",IF(RANK(H17,$H$15:$H$19)=2,RANK(H17,$H$15:$H$19)&amp;"nd",IF(RANK(H17,$H$15:$H$19)=3,RANK(H17,$H$15:$H$19)&amp;"rd",RANK(H17,$H$15:$H$19)&amp;"th"))),"")</f>
        <v/>
      </c>
      <c r="H17" s="56">
        <f>Analysis_15[[#This Row],[WIN]]*1000000+Analysis_15[[#This Row],[Saldo]]*1000+Analysis_15[[#This Row],[PM]]</f>
        <v>0</v>
      </c>
      <c r="I17" s="56">
        <f t="shared" si="0"/>
        <v>0</v>
      </c>
      <c r="J17" s="58" t="str">
        <f>Analysis_15[[#This Row],[Atheletes ]]</f>
        <v>A3</v>
      </c>
      <c r="K17" s="56" t="str">
        <f t="shared" si="1"/>
        <v>1st</v>
      </c>
      <c r="M17" s="61" t="e">
        <f>_xlfn.XLOOKUP(M15,$J$15:$J$24,$I$15:$I$24)</f>
        <v>#N/A</v>
      </c>
      <c r="N17" s="61" t="e">
        <f>_xlfn.XLOOKUP(N15,$J$15:$J$24,$I$15:$I$24)</f>
        <v>#N/A</v>
      </c>
      <c r="O17" s="61"/>
      <c r="P17" s="61"/>
      <c r="Q17" s="61" t="e">
        <f>_xlfn.XLOOKUP(Q15,$J$15:$J$24,$I$15:$I$24)</f>
        <v>#N/A</v>
      </c>
      <c r="R17" s="61" t="e">
        <f>_xlfn.XLOOKUP(R15,$J$15:$J$24,$I$15:$I$24)</f>
        <v>#N/A</v>
      </c>
    </row>
    <row r="18" spans="1:18" ht="15.95">
      <c r="A18" s="5" t="s">
        <v>208</v>
      </c>
      <c r="B18" s="29" t="s">
        <v>208</v>
      </c>
      <c r="C18" s="14">
        <f>SUM(COUNTIFS(Game_5[ATHLETE 1],Analysis_15[[#This Row],[Atheletes ]],Game_5[RESULT 12],"win"),COUNTIFS(Game_5[ATHLETE 2],Analysis_15[[#This Row],[Atheletes ]],Game_5[RESULT 12],"win"),COUNTIFS(Game_5[ATHLETE 3],Analysis_15[[#This Row],[Atheletes ]],Game_5[RESULT 34],"win"),COUNTIFS(Game_5[ATHLETE 4],Analysis_15[[#This Row],[Atheletes ]],Game_5[RESULT 34],"win"))</f>
        <v>0</v>
      </c>
      <c r="D18" s="14">
        <f>SUM(COUNTIFS(Game_5[ATHLETE 1],Analysis_15[[#This Row],[Atheletes ]],Game_5[RESULT 12],"lose"),COUNTIFS(Game_5[ATHLETE 2],Analysis_15[[#This Row],[Atheletes ]],Game_5[RESULT 12],"lose"),COUNTIFS(Game_5[ATHLETE 3],Analysis_15[[#This Row],[Atheletes ]],Game_5[RESULT 34],"lose"),COUNTIFS(Game_5[ATHLETE 4],Analysis_15[[#This Row],[Atheletes ]],Game_5[RESULT 34],"lose"))</f>
        <v>0</v>
      </c>
      <c r="E18" s="19">
        <f>SUM(SUMIF(Game_5[ATHLETE 1],Analysis_15[[#This Row],[Atheletes ]],Game_5[SALDO 12]),SUMIF(Game_5[ATHLETE 2],Analysis_15[[#This Row],[Atheletes ]],Game_5[SALDO 12]),SUMIF(Game_5[ATHLETE 3],Analysis_15[[#This Row],[Atheletes ]],Game_5[SALDO 34]),SUMIF(Game_5[ATHLETE 4],Analysis_15[[#This Row],[Atheletes ]],Game_5[SALDO 34]))</f>
        <v>0</v>
      </c>
      <c r="F18" s="19">
        <f>SUM(SUMIF(Game_5[ATHLETE 1],Analysis_15[[#This Row],[Atheletes ]],Game_5[PM 12]),SUMIF(Game_5[ATHLETE 2],Analysis_15[[#This Row],[Atheletes ]],Game_5[PM 12]),SUMIF(Game_5[ATHLETE 3],Analysis_15[[#This Row],[Atheletes ]],Game_5[PM 34]),SUMIF(Game_5[ATHLETE 4],Analysis_15[[#This Row],[Atheletes ]],Game_5[PM 34]))</f>
        <v>0</v>
      </c>
      <c r="G18" s="14" t="str">
        <f>IF(COUNTBLANK(Game_5[[SCORE 1]:[SCORE 2]])=0,IF(RANK(H18,$H$15:$H$19)=1,RANK(H18,$H$15:$H$19)&amp;"st",IF(RANK(H18,$H$15:$H$19)=2,RANK(H18,$H$15:$H$19)&amp;"nd",IF(RANK(H18,$H$15:$H$19)=3,RANK(H18,$H$15:$H$19)&amp;"rd",RANK(H18,$H$15:$H$19)&amp;"th"))),"")</f>
        <v/>
      </c>
      <c r="H18" s="56">
        <f>Analysis_15[[#This Row],[WIN]]*1000000+Analysis_15[[#This Row],[Saldo]]*1000+Analysis_15[[#This Row],[PM]]</f>
        <v>0</v>
      </c>
      <c r="I18" s="56">
        <f t="shared" si="0"/>
        <v>0</v>
      </c>
      <c r="J18" s="58" t="str">
        <f>Analysis_15[[#This Row],[Atheletes ]]</f>
        <v>A4</v>
      </c>
      <c r="K18" s="56" t="str">
        <f t="shared" si="1"/>
        <v>1st</v>
      </c>
    </row>
    <row r="19" spans="1:18">
      <c r="A19" s="3" t="s">
        <v>230</v>
      </c>
      <c r="B19" s="29" t="s">
        <v>230</v>
      </c>
      <c r="C19" s="14">
        <f>SUM(COUNTIFS(Game_5[ATHLETE 1],Analysis_15[[#This Row],[Atheletes ]],Game_5[RESULT 12],"win"),COUNTIFS(Game_5[ATHLETE 2],Analysis_15[[#This Row],[Atheletes ]],Game_5[RESULT 12],"win"),COUNTIFS(Game_5[ATHLETE 3],Analysis_15[[#This Row],[Atheletes ]],Game_5[RESULT 34],"win"),COUNTIFS(Game_5[ATHLETE 4],Analysis_15[[#This Row],[Atheletes ]],Game_5[RESULT 34],"win"))</f>
        <v>0</v>
      </c>
      <c r="D19" s="14">
        <f>SUM(COUNTIFS(Game_5[ATHLETE 1],Analysis_15[[#This Row],[Atheletes ]],Game_5[RESULT 12],"lose"),COUNTIFS(Game_5[ATHLETE 2],Analysis_15[[#This Row],[Atheletes ]],Game_5[RESULT 12],"lose"),COUNTIFS(Game_5[ATHLETE 3],Analysis_15[[#This Row],[Atheletes ]],Game_5[RESULT 34],"lose"),COUNTIFS(Game_5[ATHLETE 4],Analysis_15[[#This Row],[Atheletes ]],Game_5[RESULT 34],"lose"))</f>
        <v>0</v>
      </c>
      <c r="E19" s="19">
        <f>SUM(SUMIF(Game_5[ATHLETE 1],Analysis_15[[#This Row],[Atheletes ]],Game_5[SALDO 12]),SUMIF(Game_5[ATHLETE 2],Analysis_15[[#This Row],[Atheletes ]],Game_5[SALDO 12]),SUMIF(Game_5[ATHLETE 3],Analysis_15[[#This Row],[Atheletes ]],Game_5[SALDO 34]),SUMIF(Game_5[ATHLETE 4],Analysis_15[[#This Row],[Atheletes ]],Game_5[SALDO 34]))</f>
        <v>0</v>
      </c>
      <c r="F19" s="19">
        <f>SUM(SUMIF(Game_5[ATHLETE 1],Analysis_15[[#This Row],[Atheletes ]],Game_5[PM 12]),SUMIF(Game_5[ATHLETE 2],Analysis_15[[#This Row],[Atheletes ]],Game_5[PM 12]),SUMIF(Game_5[ATHLETE 3],Analysis_15[[#This Row],[Atheletes ]],Game_5[PM 34]),SUMIF(Game_5[ATHLETE 4],Analysis_15[[#This Row],[Atheletes ]],Game_5[PM 34]))</f>
        <v>0</v>
      </c>
      <c r="G19" s="14" t="str">
        <f>IF(COUNTBLANK(Game_5[[SCORE 1]:[SCORE 2]])=0,IF(RANK(H19,$H$15:$H$19)=1,RANK(H19,$H$15:$H$19)&amp;"st",IF(RANK(H19,$H$15:$H$19)=2,RANK(H19,$H$15:$H$19)&amp;"nd",IF(RANK(H19,$H$15:$H$19)=3,RANK(H19,$H$15:$H$19)&amp;"rd",RANK(H19,$H$15:$H$19)&amp;"th"))),"")</f>
        <v/>
      </c>
      <c r="H19" s="56">
        <f>Analysis_15[[#This Row],[WIN]]*1000000+Analysis_15[[#This Row],[Saldo]]*1000+Analysis_15[[#This Row],[PM]]</f>
        <v>0</v>
      </c>
      <c r="I19" s="56">
        <f t="shared" si="0"/>
        <v>0</v>
      </c>
      <c r="J19" s="58" t="str">
        <f>Analysis_15[[#This Row],[Atheletes ]]</f>
        <v>A5</v>
      </c>
      <c r="K19" s="56" t="str">
        <f t="shared" si="1"/>
        <v>1st</v>
      </c>
    </row>
    <row r="20" spans="1:18" ht="28.5" customHeight="1">
      <c r="I20" s="59">
        <f>H22</f>
        <v>0</v>
      </c>
      <c r="J20" s="60" t="str">
        <f>B22</f>
        <v>B1</v>
      </c>
      <c r="K20" s="56" t="str">
        <f t="shared" si="1"/>
        <v>1st</v>
      </c>
      <c r="M20" s="548" t="s">
        <v>200</v>
      </c>
      <c r="N20" s="549"/>
      <c r="O20" s="549"/>
      <c r="P20" s="549"/>
      <c r="Q20" s="549"/>
      <c r="R20" s="549"/>
    </row>
    <row r="21" spans="1:18" ht="15.95">
      <c r="A21" s="6" t="s">
        <v>246</v>
      </c>
      <c r="B21" s="10" t="s">
        <v>185</v>
      </c>
      <c r="C21" s="10" t="s">
        <v>186</v>
      </c>
      <c r="D21" s="10" t="s">
        <v>187</v>
      </c>
      <c r="E21" s="10" t="s">
        <v>188</v>
      </c>
      <c r="F21" s="10" t="s">
        <v>189</v>
      </c>
      <c r="G21" s="7" t="s">
        <v>8</v>
      </c>
      <c r="H21" s="20" t="s">
        <v>190</v>
      </c>
      <c r="I21" s="59">
        <f t="shared" ref="I21:I24" si="2">H23</f>
        <v>0</v>
      </c>
      <c r="J21" s="60" t="str">
        <f t="shared" ref="J21:J24" si="3">B23</f>
        <v>B2</v>
      </c>
      <c r="K21" s="56" t="str">
        <f t="shared" si="1"/>
        <v>1st</v>
      </c>
      <c r="M21" s="418" t="s">
        <v>193</v>
      </c>
      <c r="N21" s="418" t="s">
        <v>194</v>
      </c>
      <c r="O21" s="542" t="s">
        <v>195</v>
      </c>
      <c r="P21" s="543"/>
      <c r="Q21" s="418" t="s">
        <v>196</v>
      </c>
      <c r="R21" s="418" t="s">
        <v>197</v>
      </c>
    </row>
    <row r="22" spans="1:18">
      <c r="A22" s="430" t="s">
        <v>209</v>
      </c>
      <c r="B22" s="29" t="s">
        <v>209</v>
      </c>
      <c r="C22" s="14">
        <f>SUM(COUNTIFS(Game_5[ATHLETE 1],Analysis_16[[#This Row],[Atheletes ]],Game_5[RESULT 12],"win"),COUNTIFS(Game_5[ATHLETE 2],Analysis_16[[#This Row],[Atheletes ]],Game_5[RESULT 12],"win"),COUNTIFS(Game_5[ATHLETE 3],Analysis_16[[#This Row],[Atheletes ]],Game_5[RESULT 34],"win"),COUNTIFS(Game_5[ATHLETE 4],Analysis_16[[#This Row],[Atheletes ]],Game_5[RESULT 34],"win"))</f>
        <v>0</v>
      </c>
      <c r="D22" s="14">
        <f>SUM(COUNTIFS(Game_5[ATHLETE 1],Analysis_16[[#This Row],[Atheletes ]],Game_5[RESULT 12],"lose"),COUNTIFS(Game_5[ATHLETE 2],Analysis_16[[#This Row],[Atheletes ]],Game_5[RESULT 12],"lose"),COUNTIFS(Game_5[ATHLETE 3],Analysis_16[[#This Row],[Atheletes ]],Game_5[RESULT 34],"lose"),COUNTIFS(Game_5[ATHLETE 4],Analysis_16[[#This Row],[Atheletes ]],Game_5[RESULT 34],"lose"))</f>
        <v>0</v>
      </c>
      <c r="E22" s="19">
        <f>SUM(SUMIF(Game_5[ATHLETE 1],Analysis_16[[#This Row],[Atheletes ]],Game_5[SALDO 12]),SUMIF(Game_5[ATHLETE 2],Analysis_16[[#This Row],[Atheletes ]],Game_5[SALDO 12]),SUMIF(Game_5[ATHLETE 3],Analysis_16[[#This Row],[Atheletes ]],Game_5[SALDO 34]),SUMIF(Game_5[ATHLETE 4],Analysis_16[[#This Row],[Atheletes ]],Game_5[SALDO 34]))</f>
        <v>0</v>
      </c>
      <c r="F22" s="19">
        <f>SUM(SUMIF(Game_5[ATHLETE 1],Analysis_16[[#This Row],[Atheletes ]],Game_5[PM 12]),SUMIF(Game_5[ATHLETE 2],Analysis_16[[#This Row],[Atheletes ]],Game_5[PM 12]),SUMIF(Game_5[ATHLETE 3],Analysis_16[[#This Row],[Atheletes ]],Game_5[PM 34]),SUMIF(Game_5[ATHLETE 4],Analysis_16[[#This Row],[Atheletes ]],Game_5[PM 34]))</f>
        <v>0</v>
      </c>
      <c r="G22" s="14" t="str">
        <f>IF(COUNTBLANK(Game_5[[SCORE 1]:[SCORE 2]])=0,IF(RANK(H22,$H$22:$H$26)=1,RANK(H22,$H$22:$H$26)&amp;"st",IF(RANK(H22,$H$22:$H$26)=2,RANK(H22,$H$22:$H$26)&amp;"nd",IF(RANK(H22,$H$22:$H$26)=3,RANK(H22,$H$22:$H$26)&amp;"rd",RANK(H22,$H$22:$H$26)&amp;"th"))),"")</f>
        <v/>
      </c>
      <c r="H22" s="56">
        <f>Analysis_16[[#This Row],[WIN]]*1000000+Analysis_16[[#This Row],[Saldo]]*1000+Analysis_16[[#This Row],[PM]]</f>
        <v>0</v>
      </c>
      <c r="I22" s="59">
        <f t="shared" si="2"/>
        <v>0</v>
      </c>
      <c r="J22" s="60" t="str">
        <f t="shared" si="3"/>
        <v>B3</v>
      </c>
      <c r="K22" s="56" t="str">
        <f t="shared" si="1"/>
        <v>1st</v>
      </c>
      <c r="M22" s="432" t="str">
        <f>IF(OR($O$15="",$P$15=""),"",IF($O$16="WIN",$M$15,$Q$15))</f>
        <v/>
      </c>
      <c r="N22" s="30"/>
      <c r="O22" s="55"/>
      <c r="P22" s="86"/>
      <c r="Q22" s="432" t="str">
        <f>IF(OR($O$15="",$P$15=""),"",IF($O$16="WIN",$N$15,$R$15))</f>
        <v/>
      </c>
      <c r="R22" s="30"/>
    </row>
    <row r="23" spans="1:18">
      <c r="A23" s="430" t="s">
        <v>210</v>
      </c>
      <c r="B23" s="29" t="s">
        <v>210</v>
      </c>
      <c r="C23" s="14">
        <f>SUM(COUNTIFS(Game_5[ATHLETE 1],Analysis_16[[#This Row],[Atheletes ]],Game_5[RESULT 12],"win"),COUNTIFS(Game_5[ATHLETE 2],Analysis_16[[#This Row],[Atheletes ]],Game_5[RESULT 12],"win"),COUNTIFS(Game_5[ATHLETE 3],Analysis_16[[#This Row],[Atheletes ]],Game_5[RESULT 34],"win"),COUNTIFS(Game_5[ATHLETE 4],Analysis_16[[#This Row],[Atheletes ]],Game_5[RESULT 34],"win"))</f>
        <v>0</v>
      </c>
      <c r="D23" s="14">
        <f>SUM(COUNTIFS(Game_5[ATHLETE 1],Analysis_16[[#This Row],[Atheletes ]],Game_5[RESULT 12],"lose"),COUNTIFS(Game_5[ATHLETE 2],Analysis_16[[#This Row],[Atheletes ]],Game_5[RESULT 12],"lose"),COUNTIFS(Game_5[ATHLETE 3],Analysis_16[[#This Row],[Atheletes ]],Game_5[RESULT 34],"lose"),COUNTIFS(Game_5[ATHLETE 4],Analysis_16[[#This Row],[Atheletes ]],Game_5[RESULT 34],"lose"))</f>
        <v>0</v>
      </c>
      <c r="E23" s="19">
        <f>SUM(SUMIF(Game_5[ATHLETE 1],Analysis_16[[#This Row],[Atheletes ]],Game_5[SALDO 12]),SUMIF(Game_5[ATHLETE 2],Analysis_16[[#This Row],[Atheletes ]],Game_5[SALDO 12]),SUMIF(Game_5[ATHLETE 3],Analysis_16[[#This Row],[Atheletes ]],Game_5[SALDO 34]),SUMIF(Game_5[ATHLETE 4],Analysis_16[[#This Row],[Atheletes ]],Game_5[SALDO 34]))</f>
        <v>0</v>
      </c>
      <c r="F23" s="19">
        <f>SUM(SUMIF(Game_5[ATHLETE 1],Analysis_16[[#This Row],[Atheletes ]],Game_5[PM 12]),SUMIF(Game_5[ATHLETE 2],Analysis_16[[#This Row],[Atheletes ]],Game_5[PM 12]),SUMIF(Game_5[ATHLETE 3],Analysis_16[[#This Row],[Atheletes ]],Game_5[PM 34]),SUMIF(Game_5[ATHLETE 4],Analysis_16[[#This Row],[Atheletes ]],Game_5[PM 34]))</f>
        <v>0</v>
      </c>
      <c r="G23" s="14" t="str">
        <f>IF(COUNTBLANK(Game_5[[SCORE 1]:[SCORE 2]])=0,IF(RANK(H23,$H$22:$H$26)=1,RANK(H23,$H$22:$H$26)&amp;"st",IF(RANK(H23,$H$22:$H$26)=2,RANK(H23,$H$22:$H$26)&amp;"nd",IF(RANK(H23,$H$22:$H$26)=3,RANK(H23,$H$22:$H$26)&amp;"rd",RANK(H23,$H$22:$H$26)&amp;"th"))),"")</f>
        <v/>
      </c>
      <c r="H23" s="56">
        <f>Analysis_16[[#This Row],[WIN]]*1000000+Analysis_16[[#This Row],[Saldo]]*1000+Analysis_16[[#This Row],[PM]]</f>
        <v>0</v>
      </c>
      <c r="I23" s="59">
        <f t="shared" si="2"/>
        <v>0</v>
      </c>
      <c r="J23" s="60" t="str">
        <f t="shared" si="3"/>
        <v>B4</v>
      </c>
      <c r="K23" s="56" t="str">
        <f t="shared" si="1"/>
        <v>1st</v>
      </c>
      <c r="M23" s="18" t="str">
        <f>IF(OR($O$22="",P22=""),"",IF($O$23="win","1st","2nd"))</f>
        <v/>
      </c>
      <c r="O23" s="433" t="str">
        <f>IF(OR($O$22="",$P$22=""),"",IF(($O$22&gt;$P$22),"WIN","LOSE"))</f>
        <v/>
      </c>
      <c r="P23" s="433" t="str">
        <f>IF(OR($O$22="",$P$22=""),"",IF(($O$22&lt;$P$22),"WIN","LOSE"))</f>
        <v/>
      </c>
      <c r="Q23" s="18" t="str">
        <f>IF(OR(O22="",P22=""),"",IF($P$23="win","1st","2nd"))</f>
        <v/>
      </c>
    </row>
    <row r="24" spans="1:18">
      <c r="A24" s="430" t="s">
        <v>211</v>
      </c>
      <c r="B24" s="29" t="s">
        <v>211</v>
      </c>
      <c r="C24" s="14">
        <f>SUM(COUNTIFS(Game_5[ATHLETE 1],Analysis_16[[#This Row],[Atheletes ]],Game_5[RESULT 12],"win"),COUNTIFS(Game_5[ATHLETE 2],Analysis_16[[#This Row],[Atheletes ]],Game_5[RESULT 12],"win"),COUNTIFS(Game_5[ATHLETE 3],Analysis_16[[#This Row],[Atheletes ]],Game_5[RESULT 34],"win"),COUNTIFS(Game_5[ATHLETE 4],Analysis_16[[#This Row],[Atheletes ]],Game_5[RESULT 34],"win"))</f>
        <v>0</v>
      </c>
      <c r="D24" s="14">
        <f>SUM(COUNTIFS(Game_5[ATHLETE 1],Analysis_16[[#This Row],[Atheletes ]],Game_5[RESULT 12],"lose"),COUNTIFS(Game_5[ATHLETE 2],Analysis_16[[#This Row],[Atheletes ]],Game_5[RESULT 12],"lose"),COUNTIFS(Game_5[ATHLETE 3],Analysis_16[[#This Row],[Atheletes ]],Game_5[RESULT 34],"lose"),COUNTIFS(Game_5[ATHLETE 4],Analysis_16[[#This Row],[Atheletes ]],Game_5[RESULT 34],"lose"))</f>
        <v>0</v>
      </c>
      <c r="E24" s="19">
        <f>SUM(SUMIF(Game_5[ATHLETE 1],Analysis_16[[#This Row],[Atheletes ]],Game_5[SALDO 12]),SUMIF(Game_5[ATHLETE 2],Analysis_16[[#This Row],[Atheletes ]],Game_5[SALDO 12]),SUMIF(Game_5[ATHLETE 3],Analysis_16[[#This Row],[Atheletes ]],Game_5[SALDO 34]),SUMIF(Game_5[ATHLETE 4],Analysis_16[[#This Row],[Atheletes ]],Game_5[SALDO 34]))</f>
        <v>0</v>
      </c>
      <c r="F24" s="19">
        <f>SUM(SUMIF(Game_5[ATHLETE 1],Analysis_16[[#This Row],[Atheletes ]],Game_5[PM 12]),SUMIF(Game_5[ATHLETE 2],Analysis_16[[#This Row],[Atheletes ]],Game_5[PM 12]),SUMIF(Game_5[ATHLETE 3],Analysis_16[[#This Row],[Atheletes ]],Game_5[PM 34]),SUMIF(Game_5[ATHLETE 4],Analysis_16[[#This Row],[Atheletes ]],Game_5[PM 34]))</f>
        <v>0</v>
      </c>
      <c r="G24" s="14" t="str">
        <f>IF(COUNTBLANK(Game_5[[SCORE 1]:[SCORE 2]])=0,IF(RANK(H24,$H$22:$H$26)=1,RANK(H24,$H$22:$H$26)&amp;"st",IF(RANK(H24,$H$22:$H$26)=2,RANK(H24,$H$22:$H$26)&amp;"nd",IF(RANK(H24,$H$22:$H$26)=3,RANK(H24,$H$22:$H$26)&amp;"rd",RANK(H24,$H$22:$H$26)&amp;"th"))),"")</f>
        <v/>
      </c>
      <c r="H24" s="56">
        <f>Analysis_16[[#This Row],[WIN]]*1000000+Analysis_16[[#This Row],[Saldo]]*1000+Analysis_16[[#This Row],[PM]]</f>
        <v>0</v>
      </c>
      <c r="I24" s="59">
        <f t="shared" si="2"/>
        <v>0</v>
      </c>
      <c r="J24" s="60" t="str">
        <f t="shared" si="3"/>
        <v>B5</v>
      </c>
      <c r="K24" s="56" t="str">
        <f t="shared" si="1"/>
        <v>1st</v>
      </c>
    </row>
    <row r="25" spans="1:18">
      <c r="A25" s="430" t="s">
        <v>212</v>
      </c>
      <c r="B25" s="29" t="s">
        <v>212</v>
      </c>
      <c r="C25" s="14">
        <f>SUM(COUNTIFS(Game_5[ATHLETE 1],Analysis_16[[#This Row],[Atheletes ]],Game_5[RESULT 12],"win"),COUNTIFS(Game_5[ATHLETE 2],Analysis_16[[#This Row],[Atheletes ]],Game_5[RESULT 12],"win"),COUNTIFS(Game_5[ATHLETE 3],Analysis_16[[#This Row],[Atheletes ]],Game_5[RESULT 34],"win"),COUNTIFS(Game_5[ATHLETE 4],Analysis_16[[#This Row],[Atheletes ]],Game_5[RESULT 34],"win"))</f>
        <v>0</v>
      </c>
      <c r="D25" s="14">
        <f>SUM(COUNTIFS(Game_5[ATHLETE 1],Analysis_16[[#This Row],[Atheletes ]],Game_5[RESULT 12],"lose"),COUNTIFS(Game_5[ATHLETE 2],Analysis_16[[#This Row],[Atheletes ]],Game_5[RESULT 12],"lose"),COUNTIFS(Game_5[ATHLETE 3],Analysis_16[[#This Row],[Atheletes ]],Game_5[RESULT 34],"lose"),COUNTIFS(Game_5[ATHLETE 4],Analysis_16[[#This Row],[Atheletes ]],Game_5[RESULT 34],"lose"))</f>
        <v>0</v>
      </c>
      <c r="E25" s="19">
        <f>SUM(SUMIF(Game_5[ATHLETE 1],Analysis_16[[#This Row],[Atheletes ]],Game_5[SALDO 12]),SUMIF(Game_5[ATHLETE 2],Analysis_16[[#This Row],[Atheletes ]],Game_5[SALDO 12]),SUMIF(Game_5[ATHLETE 3],Analysis_16[[#This Row],[Atheletes ]],Game_5[SALDO 34]),SUMIF(Game_5[ATHLETE 4],Analysis_16[[#This Row],[Atheletes ]],Game_5[SALDO 34]))</f>
        <v>0</v>
      </c>
      <c r="F25" s="19">
        <f>SUM(SUMIF(Game_5[ATHLETE 1],Analysis_16[[#This Row],[Atheletes ]],Game_5[PM 12]),SUMIF(Game_5[ATHLETE 2],Analysis_16[[#This Row],[Atheletes ]],Game_5[PM 12]),SUMIF(Game_5[ATHLETE 3],Analysis_16[[#This Row],[Atheletes ]],Game_5[PM 34]),SUMIF(Game_5[ATHLETE 4],Analysis_16[[#This Row],[Atheletes ]],Game_5[PM 34]))</f>
        <v>0</v>
      </c>
      <c r="G25" s="14" t="str">
        <f>IF(COUNTBLANK(Game_5[[SCORE 1]:[SCORE 2]])=0,IF(RANK(H25,$H$22:$H$26)=1,RANK(H25,$H$22:$H$26)&amp;"st",IF(RANK(H25,$H$22:$H$26)=2,RANK(H25,$H$22:$H$26)&amp;"nd",IF(RANK(H25,$H$22:$H$26)=3,RANK(H25,$H$22:$H$26)&amp;"rd",RANK(H25,$H$22:$H$26)&amp;"th"))),"")</f>
        <v/>
      </c>
      <c r="H25" s="56">
        <f>Analysis_16[[#This Row],[WIN]]*1000000+Analysis_16[[#This Row],[Saldo]]*1000+Analysis_16[[#This Row],[PM]]</f>
        <v>0</v>
      </c>
      <c r="I25" s="57"/>
      <c r="J25" s="57"/>
      <c r="K25" s="57"/>
    </row>
    <row r="26" spans="1:18">
      <c r="A26" s="11" t="s">
        <v>231</v>
      </c>
      <c r="B26" s="29" t="s">
        <v>231</v>
      </c>
      <c r="C26" s="14">
        <f>SUM(COUNTIFS(Game_5[ATHLETE 1],Analysis_16[[#This Row],[Atheletes ]],Game_5[RESULT 12],"win"),COUNTIFS(Game_5[ATHLETE 2],Analysis_16[[#This Row],[Atheletes ]],Game_5[RESULT 12],"win"),COUNTIFS(Game_5[ATHLETE 3],Analysis_16[[#This Row],[Atheletes ]],Game_5[RESULT 34],"win"),COUNTIFS(Game_5[ATHLETE 4],Analysis_16[[#This Row],[Atheletes ]],Game_5[RESULT 34],"win"))</f>
        <v>0</v>
      </c>
      <c r="D26" s="14">
        <f>SUM(COUNTIFS(Game_5[ATHLETE 1],Analysis_16[[#This Row],[Atheletes ]],Game_5[RESULT 12],"lose"),COUNTIFS(Game_5[ATHLETE 2],Analysis_16[[#This Row],[Atheletes ]],Game_5[RESULT 12],"lose"),COUNTIFS(Game_5[ATHLETE 3],Analysis_16[[#This Row],[Atheletes ]],Game_5[RESULT 34],"lose"),COUNTIFS(Game_5[ATHLETE 4],Analysis_16[[#This Row],[Atheletes ]],Game_5[RESULT 34],"lose"))</f>
        <v>0</v>
      </c>
      <c r="E26" s="19">
        <f>SUM(SUMIF(Game_5[ATHLETE 1],Analysis_16[[#This Row],[Atheletes ]],Game_5[SALDO 12]),SUMIF(Game_5[ATHLETE 2],Analysis_16[[#This Row],[Atheletes ]],Game_5[SALDO 12]),SUMIF(Game_5[ATHLETE 3],Analysis_16[[#This Row],[Atheletes ]],Game_5[SALDO 34]),SUMIF(Game_5[ATHLETE 4],Analysis_16[[#This Row],[Atheletes ]],Game_5[SALDO 34]))</f>
        <v>0</v>
      </c>
      <c r="F26" s="19">
        <f>SUM(SUMIF(Game_5[ATHLETE 1],Analysis_16[[#This Row],[Atheletes ]],Game_5[PM 12]),SUMIF(Game_5[ATHLETE 2],Analysis_16[[#This Row],[Atheletes ]],Game_5[PM 12]),SUMIF(Game_5[ATHLETE 3],Analysis_16[[#This Row],[Atheletes ]],Game_5[PM 34]),SUMIF(Game_5[ATHLETE 4],Analysis_16[[#This Row],[Atheletes ]],Game_5[PM 34]))</f>
        <v>0</v>
      </c>
      <c r="G26" s="14" t="str">
        <f>IF(COUNTBLANK(Game_5[[SCORE 1]:[SCORE 2]])=0,IF(RANK(H26,$H$22:$H$26)=1,RANK(H26,$H$22:$H$26)&amp;"st",IF(RANK(H26,$H$22:$H$26)=2,RANK(H26,$H$22:$H$26)&amp;"nd",IF(RANK(H26,$H$22:$H$26)=3,RANK(H26,$H$22:$H$26)&amp;"rd",RANK(H26,$H$22:$H$26)&amp;"th"))),"")</f>
        <v/>
      </c>
      <c r="H26" s="56">
        <f>Analysis_16[[#This Row],[WIN]]*1000000+Analysis_16[[#This Row],[Saldo]]*1000+Analysis_16[[#This Row],[PM]]</f>
        <v>0</v>
      </c>
      <c r="I26" s="57"/>
      <c r="J26" s="57"/>
      <c r="K26" s="57"/>
    </row>
    <row r="27" spans="1:18" ht="15.95" thickBot="1"/>
    <row r="28" spans="1:18" ht="15.95" thickBot="1">
      <c r="A28" s="124">
        <v>45757</v>
      </c>
      <c r="B28" s="44" t="s">
        <v>256</v>
      </c>
    </row>
    <row r="30" spans="1:18">
      <c r="K30" s="129"/>
    </row>
  </sheetData>
  <sheetProtection algorithmName="SHA-512" hashValue="0CRjnT+Z5Avq5dO5Qr4H1GYTBrK9aFI8XiKdzVEVrZ1imD1VmnGyZJj0bTGrHzEcakDMiTMKHlrW2kqj6JqiIg==" saltValue="otUIvGv9K6cDjDKEcOwgJw==" spinCount="100000" sheet="1" objects="1" scenarios="1"/>
  <mergeCells count="7">
    <mergeCell ref="O21:P21"/>
    <mergeCell ref="A1:A11"/>
    <mergeCell ref="T1:U1"/>
    <mergeCell ref="A13:G13"/>
    <mergeCell ref="M13:R13"/>
    <mergeCell ref="O14:P14"/>
    <mergeCell ref="M20:R20"/>
  </mergeCells>
  <pageMargins left="0.7" right="0.7" top="0.75" bottom="0.75" header="0.3" footer="0.3"/>
  <pageSetup orientation="portrait" r:id="rId1"/>
  <ignoredErrors>
    <ignoredError sqref="Q17:R17 M17:N17" evalError="1"/>
  </ignoredErrors>
  <tableParts count="4">
    <tablePart r:id="rId2"/>
    <tablePart r:id="rId3"/>
    <tablePart r:id="rId4"/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FBFF-A3E3-8B48-8EFE-43B7441649ED}">
  <sheetPr codeName="Sheet24"/>
  <dimension ref="A1:U34"/>
  <sheetViews>
    <sheetView workbookViewId="0">
      <selection activeCell="L19" sqref="L19"/>
    </sheetView>
    <sheetView workbookViewId="1">
      <selection sqref="A1:A11"/>
    </sheetView>
  </sheetViews>
  <sheetFormatPr defaultColWidth="8.85546875" defaultRowHeight="15"/>
  <cols>
    <col min="1" max="1" width="9.7109375" customWidth="1"/>
    <col min="2" max="2" width="13" bestFit="1" customWidth="1"/>
    <col min="3" max="4" width="20" customWidth="1"/>
    <col min="5" max="6" width="9.7109375" customWidth="1"/>
    <col min="7" max="7" width="14.140625" bestFit="1" customWidth="1"/>
    <col min="8" max="8" width="11.42578125" hidden="1" customWidth="1"/>
    <col min="9" max="9" width="12" hidden="1" customWidth="1"/>
    <col min="10" max="10" width="10.7109375" hidden="1" customWidth="1"/>
    <col min="11" max="11" width="8" hidden="1" customWidth="1"/>
    <col min="12" max="12" width="14.140625" bestFit="1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4" bestFit="1" customWidth="1"/>
    <col min="21" max="22" width="9.7109375" bestFit="1" customWidth="1"/>
  </cols>
  <sheetData>
    <row r="1" spans="1:21">
      <c r="A1" s="550" t="s">
        <v>322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178</v>
      </c>
      <c r="L1" s="7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323</v>
      </c>
      <c r="U1" s="545"/>
    </row>
    <row r="2" spans="1:21" ht="15" customHeight="1">
      <c r="A2" s="554"/>
      <c r="B2" s="13" t="s">
        <v>178</v>
      </c>
      <c r="C2" s="433" t="str">
        <f>B15</f>
        <v>A1</v>
      </c>
      <c r="D2" s="25" t="str">
        <f>B18</f>
        <v>A4</v>
      </c>
      <c r="E2" s="26"/>
      <c r="F2" s="27"/>
      <c r="G2" s="15" t="str">
        <f>B16</f>
        <v>A2</v>
      </c>
      <c r="H2" s="15"/>
      <c r="I2" s="15"/>
      <c r="J2" s="15"/>
      <c r="K2" s="15"/>
      <c r="L2" s="16" t="str">
        <f>B17</f>
        <v>A3</v>
      </c>
      <c r="M2" s="13" t="str">
        <f>IF(OR(Game_52[[#This Row],[SCORE 1]]="",Game_52[[#This Row],[SCORE 2]]=""),"",Game_52[[#This Row],[SCORE 1]]-Game_52[[#This Row],[SCORE 2]])</f>
        <v/>
      </c>
      <c r="N2" s="13" t="str">
        <f>IF(OR(Game_52[[#This Row],[SCORE 1]]="",Game_52[[#This Row],[SCORE 2]]=""),"",Game_52[[#This Row],[SCORE 2]]-Game_52[[#This Row],[SCORE 1]])</f>
        <v/>
      </c>
      <c r="O2" s="13" t="str">
        <f>IF(Game_52[[#This Row],[SCORE 1]]="","",Game_52[[#This Row],[SCORE 1]])</f>
        <v/>
      </c>
      <c r="P2" s="13" t="str">
        <f>IF(Game_52[[#This Row],[SCORE 2]]="","",Game_52[[#This Row],[SCORE 2]])</f>
        <v/>
      </c>
      <c r="Q2" s="13" t="str">
        <f>IF(OR(Game_52[[#This Row],[SCORE 1]]="",Game_52[[#This Row],[SCORE 2]]=""),"",IF(Game_52[[#This Row],[SALDO 12]]&gt;0, "WIN","LOSE"))</f>
        <v/>
      </c>
      <c r="R2" s="13" t="str">
        <f>IF(OR(Game_52[[#This Row],[SCORE 1]]="",Game_52[[#This Row],[SCORE 2]]=""),"",IF(Game_52[[#This Row],[SALDO 34]]&gt;0, "WIN","LOSE"))</f>
        <v/>
      </c>
      <c r="T2" s="21" t="s">
        <v>179</v>
      </c>
      <c r="U2" s="21" t="s">
        <v>8</v>
      </c>
    </row>
    <row r="3" spans="1:21">
      <c r="A3" s="554"/>
      <c r="B3" s="13" t="s">
        <v>180</v>
      </c>
      <c r="C3" s="433" t="str">
        <f>B22</f>
        <v>B1</v>
      </c>
      <c r="D3" s="25" t="str">
        <f>B25</f>
        <v>B4</v>
      </c>
      <c r="E3" s="26"/>
      <c r="F3" s="27"/>
      <c r="G3" s="15" t="str">
        <f>B23</f>
        <v>B2</v>
      </c>
      <c r="H3" s="15"/>
      <c r="I3" s="15"/>
      <c r="J3" s="15"/>
      <c r="K3" s="15"/>
      <c r="L3" s="16" t="str">
        <f>B24</f>
        <v>B3</v>
      </c>
      <c r="M3" s="13" t="str">
        <f>IF(OR(Game_52[[#This Row],[SCORE 1]]="",Game_52[[#This Row],[SCORE 2]]=""),"",Game_52[[#This Row],[SCORE 1]]-Game_52[[#This Row],[SCORE 2]])</f>
        <v/>
      </c>
      <c r="N3" s="13" t="str">
        <f>IF(OR(Game_52[[#This Row],[SCORE 1]]="",Game_52[[#This Row],[SCORE 2]]=""),"",Game_52[[#This Row],[SCORE 2]]-Game_52[[#This Row],[SCORE 1]])</f>
        <v/>
      </c>
      <c r="O3" s="13" t="str">
        <f>IF(Game_52[[#This Row],[SCORE 1]]="","",Game_52[[#This Row],[SCORE 1]])</f>
        <v/>
      </c>
      <c r="P3" s="13" t="str">
        <f>IF(Game_52[[#This Row],[SCORE 2]]="","",Game_52[[#This Row],[SCORE 2]])</f>
        <v/>
      </c>
      <c r="Q3" s="13" t="str">
        <f>IF(OR(Game_52[[#This Row],[SCORE 1]]="",Game_52[[#This Row],[SCORE 2]]=""),"",IF(Game_52[[#This Row],[SALDO 12]]&gt;0, "WIN","LOSE"))</f>
        <v/>
      </c>
      <c r="R3" s="13" t="str">
        <f>IF(OR(Game_52[[#This Row],[SCORE 1]]="",Game_52[[#This Row],[SCORE 2]]=""),"",IF(Game_52[[#This Row],[SALDO 34]]&gt;0, "WIN","LOSE"))</f>
        <v/>
      </c>
      <c r="U3" s="2" t="s">
        <v>19</v>
      </c>
    </row>
    <row r="4" spans="1:21">
      <c r="A4" s="554"/>
      <c r="B4" s="13" t="s">
        <v>178</v>
      </c>
      <c r="C4" s="433" t="str">
        <f>B15</f>
        <v>A1</v>
      </c>
      <c r="D4" s="25" t="str">
        <f>B17</f>
        <v>A3</v>
      </c>
      <c r="E4" s="26"/>
      <c r="F4" s="27"/>
      <c r="G4" s="15" t="str">
        <f>B16</f>
        <v>A2</v>
      </c>
      <c r="H4" s="15"/>
      <c r="I4" s="15"/>
      <c r="J4" s="15"/>
      <c r="K4" s="15"/>
      <c r="L4" s="16" t="str">
        <f>B19</f>
        <v>A5</v>
      </c>
      <c r="M4" s="13" t="str">
        <f>IF(OR(Game_52[[#This Row],[SCORE 1]]="",Game_52[[#This Row],[SCORE 2]]=""),"",Game_52[[#This Row],[SCORE 1]]-Game_52[[#This Row],[SCORE 2]])</f>
        <v/>
      </c>
      <c r="N4" s="13" t="str">
        <f>IF(OR(Game_52[[#This Row],[SCORE 1]]="",Game_52[[#This Row],[SCORE 2]]=""),"",Game_52[[#This Row],[SCORE 2]]-Game_52[[#This Row],[SCORE 1]])</f>
        <v/>
      </c>
      <c r="O4" s="13" t="str">
        <f>IF(Game_52[[#This Row],[SCORE 1]]="","",Game_52[[#This Row],[SCORE 1]])</f>
        <v/>
      </c>
      <c r="P4" s="13" t="str">
        <f>IF(Game_52[[#This Row],[SCORE 2]]="","",Game_52[[#This Row],[SCORE 2]])</f>
        <v/>
      </c>
      <c r="Q4" s="13" t="str">
        <f>IF(OR(Game_52[[#This Row],[SCORE 1]]="",Game_52[[#This Row],[SCORE 2]]=""),"",IF(Game_52[[#This Row],[SALDO 12]]&gt;0, "WIN","LOSE"))</f>
        <v/>
      </c>
      <c r="R4" s="13" t="str">
        <f>IF(OR(Game_52[[#This Row],[SCORE 1]]="",Game_52[[#This Row],[SCORE 2]]=""),"",IF(Game_52[[#This Row],[SALDO 34]]&gt;0, "WIN","LOSE"))</f>
        <v/>
      </c>
      <c r="U4" s="2" t="s">
        <v>22</v>
      </c>
    </row>
    <row r="5" spans="1:21">
      <c r="A5" s="554"/>
      <c r="B5" s="13" t="s">
        <v>180</v>
      </c>
      <c r="C5" s="433" t="str">
        <f>B22</f>
        <v>B1</v>
      </c>
      <c r="D5" s="25" t="str">
        <f>B24</f>
        <v>B3</v>
      </c>
      <c r="E5" s="26"/>
      <c r="F5" s="27"/>
      <c r="G5" s="15" t="str">
        <f>B23</f>
        <v>B2</v>
      </c>
      <c r="H5" s="15"/>
      <c r="I5" s="15"/>
      <c r="J5" s="15"/>
      <c r="K5" s="15"/>
      <c r="L5" s="16" t="str">
        <f>B26</f>
        <v>B5</v>
      </c>
      <c r="M5" s="13" t="str">
        <f>IF(OR(Game_52[[#This Row],[SCORE 1]]="",Game_52[[#This Row],[SCORE 2]]=""),"",Game_52[[#This Row],[SCORE 1]]-Game_52[[#This Row],[SCORE 2]])</f>
        <v/>
      </c>
      <c r="N5" s="13" t="str">
        <f>IF(OR(Game_52[[#This Row],[SCORE 1]]="",Game_52[[#This Row],[SCORE 2]]=""),"",Game_52[[#This Row],[SCORE 2]]-Game_52[[#This Row],[SCORE 1]])</f>
        <v/>
      </c>
      <c r="O5" s="13" t="str">
        <f>IF(Game_52[[#This Row],[SCORE 1]]="","",Game_52[[#This Row],[SCORE 1]])</f>
        <v/>
      </c>
      <c r="P5" s="13" t="str">
        <f>IF(Game_52[[#This Row],[SCORE 2]]="","",Game_52[[#This Row],[SCORE 2]])</f>
        <v/>
      </c>
      <c r="Q5" s="13" t="str">
        <f>IF(OR(Game_52[[#This Row],[SCORE 1]]="",Game_52[[#This Row],[SCORE 2]]=""),"",IF(Game_52[[#This Row],[SALDO 12]]&gt;0, "WIN","LOSE"))</f>
        <v/>
      </c>
      <c r="R5" s="13" t="str">
        <f>IF(OR(Game_52[[#This Row],[SCORE 1]]="",Game_52[[#This Row],[SCORE 2]]=""),"",IF(Game_52[[#This Row],[SALDO 34]]&gt;0, "WIN","LOSE"))</f>
        <v/>
      </c>
      <c r="U5" s="2" t="s">
        <v>25</v>
      </c>
    </row>
    <row r="6" spans="1:21">
      <c r="A6" s="554"/>
      <c r="B6" s="13" t="s">
        <v>178</v>
      </c>
      <c r="C6" s="433" t="str">
        <f>B15</f>
        <v>A1</v>
      </c>
      <c r="D6" s="25" t="str">
        <f>B16</f>
        <v>A2</v>
      </c>
      <c r="E6" s="26"/>
      <c r="F6" s="27"/>
      <c r="G6" s="15" t="str">
        <f>B18</f>
        <v>A4</v>
      </c>
      <c r="H6" s="15"/>
      <c r="I6" s="15"/>
      <c r="J6" s="15"/>
      <c r="K6" s="15"/>
      <c r="L6" s="16" t="str">
        <f>B19</f>
        <v>A5</v>
      </c>
      <c r="M6" s="13" t="str">
        <f>IF(OR(Game_52[[#This Row],[SCORE 1]]="",Game_52[[#This Row],[SCORE 2]]=""),"",Game_52[[#This Row],[SCORE 1]]-Game_52[[#This Row],[SCORE 2]])</f>
        <v/>
      </c>
      <c r="N6" s="13" t="str">
        <f>IF(OR(Game_52[[#This Row],[SCORE 1]]="",Game_52[[#This Row],[SCORE 2]]=""),"",Game_52[[#This Row],[SCORE 2]]-Game_52[[#This Row],[SCORE 1]])</f>
        <v/>
      </c>
      <c r="O6" s="13" t="str">
        <f>IF(Game_52[[#This Row],[SCORE 1]]="","",Game_52[[#This Row],[SCORE 1]])</f>
        <v/>
      </c>
      <c r="P6" s="13" t="str">
        <f>IF(Game_52[[#This Row],[SCORE 2]]="","",Game_52[[#This Row],[SCORE 2]])</f>
        <v/>
      </c>
      <c r="Q6" s="13" t="str">
        <f>IF(OR(Game_52[[#This Row],[SCORE 1]]="",Game_52[[#This Row],[SCORE 2]]=""),"",IF(Game_52[[#This Row],[SALDO 12]]&gt;0, "WIN","LOSE"))</f>
        <v/>
      </c>
      <c r="R6" s="13" t="str">
        <f>IF(OR(Game_52[[#This Row],[SCORE 1]]="",Game_52[[#This Row],[SCORE 2]]=""),"",IF(Game_52[[#This Row],[SALDO 34]]&gt;0, "WIN","LOSE"))</f>
        <v/>
      </c>
      <c r="U6" s="2" t="s">
        <v>28</v>
      </c>
    </row>
    <row r="7" spans="1:21">
      <c r="A7" s="554"/>
      <c r="B7" s="13" t="s">
        <v>180</v>
      </c>
      <c r="C7" s="433" t="str">
        <f>B22</f>
        <v>B1</v>
      </c>
      <c r="D7" s="25" t="str">
        <f>B23</f>
        <v>B2</v>
      </c>
      <c r="E7" s="26"/>
      <c r="F7" s="27"/>
      <c r="G7" s="15" t="str">
        <f>B25</f>
        <v>B4</v>
      </c>
      <c r="H7" s="15"/>
      <c r="I7" s="15"/>
      <c r="J7" s="15"/>
      <c r="K7" s="15"/>
      <c r="L7" s="16" t="str">
        <f>B26</f>
        <v>B5</v>
      </c>
      <c r="M7" s="13" t="str">
        <f>IF(OR(Game_52[[#This Row],[SCORE 1]]="",Game_52[[#This Row],[SCORE 2]]=""),"",Game_52[[#This Row],[SCORE 1]]-Game_52[[#This Row],[SCORE 2]])</f>
        <v/>
      </c>
      <c r="N7" s="13" t="str">
        <f>IF(OR(Game_52[[#This Row],[SCORE 1]]="",Game_52[[#This Row],[SCORE 2]]=""),"",Game_52[[#This Row],[SCORE 2]]-Game_52[[#This Row],[SCORE 1]])</f>
        <v/>
      </c>
      <c r="O7" s="13" t="str">
        <f>IF(Game_52[[#This Row],[SCORE 1]]="","",Game_52[[#This Row],[SCORE 1]])</f>
        <v/>
      </c>
      <c r="P7" s="13" t="str">
        <f>IF(Game_52[[#This Row],[SCORE 2]]="","",Game_52[[#This Row],[SCORE 2]])</f>
        <v/>
      </c>
      <c r="Q7" s="13" t="str">
        <f>IF(OR(Game_52[[#This Row],[SCORE 1]]="",Game_52[[#This Row],[SCORE 2]]=""),"",IF(Game_52[[#This Row],[SALDO 12]]&gt;0, "WIN","LOSE"))</f>
        <v/>
      </c>
      <c r="R7" s="13" t="str">
        <f>IF(OR(Game_52[[#This Row],[SCORE 1]]="",Game_52[[#This Row],[SCORE 2]]=""),"",IF(Game_52[[#This Row],[SALDO 34]]&gt;0, "WIN","LOSE"))</f>
        <v/>
      </c>
      <c r="U7" s="2" t="s">
        <v>31</v>
      </c>
    </row>
    <row r="8" spans="1:21">
      <c r="A8" s="554"/>
      <c r="B8" s="13" t="s">
        <v>178</v>
      </c>
      <c r="C8" s="433" t="str">
        <f>B15</f>
        <v>A1</v>
      </c>
      <c r="D8" s="25" t="str">
        <f>B19</f>
        <v>A5</v>
      </c>
      <c r="E8" s="26"/>
      <c r="F8" s="27"/>
      <c r="G8" s="15" t="str">
        <f>B17</f>
        <v>A3</v>
      </c>
      <c r="H8" s="15"/>
      <c r="I8" s="15"/>
      <c r="J8" s="15"/>
      <c r="K8" s="15"/>
      <c r="L8" s="16" t="str">
        <f>B18</f>
        <v>A4</v>
      </c>
      <c r="M8" s="13" t="str">
        <f>IF(OR(Game_52[[#This Row],[SCORE 1]]="",Game_52[[#This Row],[SCORE 2]]=""),"",Game_52[[#This Row],[SCORE 1]]-Game_52[[#This Row],[SCORE 2]])</f>
        <v/>
      </c>
      <c r="N8" s="13" t="str">
        <f>IF(OR(Game_52[[#This Row],[SCORE 1]]="",Game_52[[#This Row],[SCORE 2]]=""),"",Game_52[[#This Row],[SCORE 2]]-Game_52[[#This Row],[SCORE 1]])</f>
        <v/>
      </c>
      <c r="O8" s="13" t="str">
        <f>IF(Game_52[[#This Row],[SCORE 1]]="","",Game_52[[#This Row],[SCORE 1]])</f>
        <v/>
      </c>
      <c r="P8" s="13" t="str">
        <f>IF(Game_52[[#This Row],[SCORE 2]]="","",Game_52[[#This Row],[SCORE 2]])</f>
        <v/>
      </c>
      <c r="Q8" s="13" t="str">
        <f>IF(OR(Game_52[[#This Row],[SCORE 1]]="",Game_52[[#This Row],[SCORE 2]]=""),"",IF(Game_52[[#This Row],[SALDO 12]]&gt;0, "WIN","LOSE"))</f>
        <v/>
      </c>
      <c r="R8" s="13" t="str">
        <f>IF(OR(Game_52[[#This Row],[SCORE 1]]="",Game_52[[#This Row],[SCORE 2]]=""),"",IF(Game_52[[#This Row],[SALDO 34]]&gt;0, "WIN","LOSE"))</f>
        <v/>
      </c>
      <c r="U8" s="2" t="s">
        <v>34</v>
      </c>
    </row>
    <row r="9" spans="1:21">
      <c r="A9" s="554"/>
      <c r="B9" s="13" t="s">
        <v>180</v>
      </c>
      <c r="C9" s="433" t="str">
        <f>B22</f>
        <v>B1</v>
      </c>
      <c r="D9" s="25" t="str">
        <f>B26</f>
        <v>B5</v>
      </c>
      <c r="E9" s="26"/>
      <c r="F9" s="27"/>
      <c r="G9" s="15" t="str">
        <f>B24</f>
        <v>B3</v>
      </c>
      <c r="H9" s="15"/>
      <c r="I9" s="15"/>
      <c r="J9" s="15"/>
      <c r="K9" s="15"/>
      <c r="L9" s="16" t="str">
        <f>B25</f>
        <v>B4</v>
      </c>
      <c r="M9" s="13" t="str">
        <f>IF(OR(Game_52[[#This Row],[SCORE 1]]="",Game_52[[#This Row],[SCORE 2]]=""),"",Game_52[[#This Row],[SCORE 1]]-Game_52[[#This Row],[SCORE 2]])</f>
        <v/>
      </c>
      <c r="N9" s="13" t="str">
        <f>IF(OR(Game_52[[#This Row],[SCORE 1]]="",Game_52[[#This Row],[SCORE 2]]=""),"",Game_52[[#This Row],[SCORE 2]]-Game_52[[#This Row],[SCORE 1]])</f>
        <v/>
      </c>
      <c r="O9" s="13" t="str">
        <f>IF(Game_52[[#This Row],[SCORE 1]]="","",Game_52[[#This Row],[SCORE 1]])</f>
        <v/>
      </c>
      <c r="P9" s="13" t="str">
        <f>IF(Game_52[[#This Row],[SCORE 2]]="","",Game_52[[#This Row],[SCORE 2]])</f>
        <v/>
      </c>
      <c r="Q9" s="13" t="str">
        <f>IF(OR(Game_52[[#This Row],[SCORE 1]]="",Game_52[[#This Row],[SCORE 2]]=""),"",IF(Game_52[[#This Row],[SALDO 12]]&gt;0, "WIN","LOSE"))</f>
        <v/>
      </c>
      <c r="R9" s="13" t="str">
        <f>IF(OR(Game_52[[#This Row],[SCORE 1]]="",Game_52[[#This Row],[SCORE 2]]=""),"",IF(Game_52[[#This Row],[SALDO 34]]&gt;0, "WIN","LOSE"))</f>
        <v/>
      </c>
      <c r="U9" s="2" t="s">
        <v>37</v>
      </c>
    </row>
    <row r="10" spans="1:21">
      <c r="A10" s="554"/>
      <c r="B10" s="13" t="s">
        <v>178</v>
      </c>
      <c r="C10" s="433" t="str">
        <f>B17</f>
        <v>A3</v>
      </c>
      <c r="D10" s="25" t="str">
        <f>B19</f>
        <v>A5</v>
      </c>
      <c r="E10" s="26"/>
      <c r="F10" s="27"/>
      <c r="G10" s="15" t="str">
        <f>B16</f>
        <v>A2</v>
      </c>
      <c r="H10" s="15"/>
      <c r="I10" s="15"/>
      <c r="J10" s="15"/>
      <c r="K10" s="15"/>
      <c r="L10" s="16" t="str">
        <f>B18</f>
        <v>A4</v>
      </c>
      <c r="M10" s="13" t="str">
        <f>IF(OR(Game_52[[#This Row],[SCORE 1]]="",Game_52[[#This Row],[SCORE 2]]=""),"",Game_52[[#This Row],[SCORE 1]]-Game_52[[#This Row],[SCORE 2]])</f>
        <v/>
      </c>
      <c r="N10" s="13" t="str">
        <f>IF(OR(Game_52[[#This Row],[SCORE 1]]="",Game_52[[#This Row],[SCORE 2]]=""),"",Game_52[[#This Row],[SCORE 2]]-Game_52[[#This Row],[SCORE 1]])</f>
        <v/>
      </c>
      <c r="O10" s="13" t="str">
        <f>IF(Game_52[[#This Row],[SCORE 1]]="","",Game_52[[#This Row],[SCORE 1]])</f>
        <v/>
      </c>
      <c r="P10" s="13" t="str">
        <f>IF(Game_52[[#This Row],[SCORE 2]]="","",Game_52[[#This Row],[SCORE 2]])</f>
        <v/>
      </c>
      <c r="Q10" s="13" t="str">
        <f>IF(OR(Game_52[[#This Row],[SCORE 1]]="",Game_52[[#This Row],[SCORE 2]]=""),"",IF(Game_52[[#This Row],[SALDO 12]]&gt;0, "WIN","LOSE"))</f>
        <v/>
      </c>
      <c r="R10" s="13" t="str">
        <f>IF(OR(Game_52[[#This Row],[SCORE 1]]="",Game_52[[#This Row],[SCORE 2]]=""),"",IF(Game_52[[#This Row],[SALDO 34]]&gt;0, "WIN","LOSE"))</f>
        <v/>
      </c>
      <c r="U10" s="2" t="s">
        <v>41</v>
      </c>
    </row>
    <row r="11" spans="1:21">
      <c r="A11" s="554"/>
      <c r="B11" s="13" t="s">
        <v>180</v>
      </c>
      <c r="C11" s="433" t="str">
        <f>B24</f>
        <v>B3</v>
      </c>
      <c r="D11" s="25" t="str">
        <f>B26</f>
        <v>B5</v>
      </c>
      <c r="E11" s="26"/>
      <c r="F11" s="27"/>
      <c r="G11" s="15" t="str">
        <f>B23</f>
        <v>B2</v>
      </c>
      <c r="H11" s="15"/>
      <c r="I11" s="15"/>
      <c r="J11" s="15"/>
      <c r="K11" s="15"/>
      <c r="L11" s="16" t="str">
        <f>B25</f>
        <v>B4</v>
      </c>
      <c r="M11" s="13" t="str">
        <f>IF(OR(Game_52[[#This Row],[SCORE 1]]="",Game_52[[#This Row],[SCORE 2]]=""),"",Game_52[[#This Row],[SCORE 1]]-Game_52[[#This Row],[SCORE 2]])</f>
        <v/>
      </c>
      <c r="N11" s="13" t="str">
        <f>IF(OR(Game_52[[#This Row],[SCORE 1]]="",Game_52[[#This Row],[SCORE 2]]=""),"",Game_52[[#This Row],[SCORE 2]]-Game_52[[#This Row],[SCORE 1]])</f>
        <v/>
      </c>
      <c r="O11" s="13" t="str">
        <f>IF(Game_52[[#This Row],[SCORE 1]]="","",Game_52[[#This Row],[SCORE 1]])</f>
        <v/>
      </c>
      <c r="P11" s="13" t="str">
        <f>IF(Game_52[[#This Row],[SCORE 2]]="","",Game_52[[#This Row],[SCORE 2]])</f>
        <v/>
      </c>
      <c r="Q11" s="13" t="str">
        <f>IF(OR(Game_52[[#This Row],[SCORE 1]]="",Game_52[[#This Row],[SCORE 2]]=""),"",IF(Game_52[[#This Row],[SALDO 12]]&gt;0, "WIN","LOSE"))</f>
        <v/>
      </c>
      <c r="R11" s="13" t="str">
        <f>IF(OR(Game_52[[#This Row],[SCORE 1]]="",Game_52[[#This Row],[SCORE 2]]=""),"",IF(Game_52[[#This Row],[SALDO 34]]&gt;0, "WIN","LOSE"))</f>
        <v/>
      </c>
      <c r="U11" s="2" t="s">
        <v>44</v>
      </c>
    </row>
    <row r="12" spans="1:21" ht="30" customHeight="1">
      <c r="U12" s="2" t="s">
        <v>39</v>
      </c>
    </row>
    <row r="13" spans="1:21" ht="30" customHeight="1">
      <c r="A13" s="546" t="s">
        <v>182</v>
      </c>
      <c r="B13" s="547"/>
      <c r="C13" s="547"/>
      <c r="D13" s="547"/>
      <c r="E13" s="547"/>
      <c r="F13" s="547"/>
      <c r="G13" s="547"/>
      <c r="H13" s="420"/>
      <c r="I13" s="420"/>
      <c r="J13" s="420"/>
      <c r="K13" s="420"/>
      <c r="M13" s="548" t="s">
        <v>183</v>
      </c>
      <c r="N13" s="549"/>
      <c r="O13" s="549"/>
      <c r="P13" s="549"/>
      <c r="Q13" s="549"/>
      <c r="R13" s="549"/>
    </row>
    <row r="14" spans="1:21" ht="15.95">
      <c r="A14" s="6" t="s">
        <v>246</v>
      </c>
      <c r="B14" s="7" t="s">
        <v>261</v>
      </c>
      <c r="C14" s="7" t="s">
        <v>186</v>
      </c>
      <c r="D14" s="7" t="s">
        <v>187</v>
      </c>
      <c r="E14" s="7" t="s">
        <v>188</v>
      </c>
      <c r="F14" s="7" t="s">
        <v>189</v>
      </c>
      <c r="G14" s="7" t="s">
        <v>8</v>
      </c>
      <c r="H14" s="80" t="s">
        <v>190</v>
      </c>
      <c r="I14" s="20" t="s">
        <v>191</v>
      </c>
      <c r="J14" s="20" t="s">
        <v>192</v>
      </c>
      <c r="K14" s="20" t="s">
        <v>1</v>
      </c>
      <c r="L14" s="20" t="s">
        <v>192</v>
      </c>
      <c r="M14" s="418" t="s">
        <v>193</v>
      </c>
      <c r="N14" s="418" t="s">
        <v>194</v>
      </c>
      <c r="O14" s="542" t="s">
        <v>195</v>
      </c>
      <c r="P14" s="543"/>
      <c r="Q14" s="418" t="s">
        <v>196</v>
      </c>
      <c r="R14" s="418" t="s">
        <v>197</v>
      </c>
    </row>
    <row r="15" spans="1:21">
      <c r="A15" s="4" t="s">
        <v>205</v>
      </c>
      <c r="B15" s="29" t="s">
        <v>205</v>
      </c>
      <c r="C15" s="14">
        <f>SUM(COUNTIFS(Game_52[ATHLETE 1],Analysis_156[[#This Row],[Athletes ]],Game_52[RESULT 12],"win"),COUNTIFS(Game_52[ATHLETE 2],Analysis_156[[#This Row],[Athletes ]],Game_52[RESULT 12],"win"),COUNTIFS(Game_52[ATHLETE 3],Analysis_156[[#This Row],[Athletes ]],Game_52[RESULT 34],"win"),COUNTIFS(Game_52[ATHLETE 4],Analysis_156[[#This Row],[Athletes ]],Game_52[RESULT 34],"win"))</f>
        <v>0</v>
      </c>
      <c r="D15" s="14">
        <f>SUM(COUNTIFS(Game_52[ATHLETE 1],Analysis_156[[#This Row],[Athletes ]],Game_52[RESULT 12],"lose"),COUNTIFS(Game_52[ATHLETE 2],Analysis_156[[#This Row],[Athletes ]],Game_52[RESULT 12],"lose"),COUNTIFS(Game_52[ATHLETE 3],Analysis_156[[#This Row],[Athletes ]],Game_52[RESULT 34],"lose"),COUNTIFS(Game_52[ATHLETE 4],Analysis_156[[#This Row],[Athletes ]],Game_52[RESULT 34],"lose"))</f>
        <v>0</v>
      </c>
      <c r="E15" s="19">
        <f>SUM(SUMIF(Game_52[ATHLETE 1],Analysis_156[[#This Row],[Athletes ]],Game_52[SALDO 12]),SUMIF(Game_52[ATHLETE 2],Analysis_156[[#This Row],[Athletes ]],Game_52[SALDO 12]),SUMIF(Game_52[ATHLETE 3],Analysis_156[[#This Row],[Athletes ]],Game_52[SALDO 34]),SUMIF(Game_52[ATHLETE 4],Analysis_156[[#This Row],[Athletes ]],Game_52[SALDO 34]))</f>
        <v>0</v>
      </c>
      <c r="F15" s="19">
        <f>SUM(SUMIF(Game_52[ATHLETE 1],Analysis_156[[#This Row],[Athletes ]],Game_52[PM 12]),SUMIF(Game_52[ATHLETE 2],Analysis_156[[#This Row],[Athletes ]],Game_52[PM 12]),SUMIF(Game_52[ATHLETE 3],Analysis_156[[#This Row],[Athletes ]],Game_52[PM 34]),SUMIF(Game_52[ATHLETE 4],Analysis_156[[#This Row],[Athletes ]],Game_52[PM 34]))</f>
        <v>0</v>
      </c>
      <c r="G15" s="14" t="str">
        <f>IF(COUNTBLANK(Game_52[[SCORE 1]:[SCORE 2]])=0,IF(RANK(H15,$H$15:$H$19)=1,RANK(H15,$H$15:$H$19)&amp;"st",IF(RANK(H15,$H$15:$H$19)=2,RANK(H15,$H$15:$H$19)&amp;"nd",IF(RANK(H15,$H$15:$H$19)=3,RANK(H15,$H$15:$H$19)&amp;"rd",RANK(H15,$H$15:$H$19)&amp;"th"))),"")</f>
        <v/>
      </c>
      <c r="H15" s="203">
        <f>Analysis_156[[#This Row],[WIN]]*1000000+Analysis_156[[#This Row],[Saldo]]*1000+Analysis_156[[#This Row],[PM]]</f>
        <v>0</v>
      </c>
      <c r="I15" s="2">
        <f>H15</f>
        <v>0</v>
      </c>
      <c r="J15" s="2" t="str">
        <f>IF(COUNTBLANK(Game_52[[SCORE 1]:[SCORE 2]])=0,IF(RANK(I15,$I$15:$I$24)=1,RANK(I15,$I$15:$I$24)&amp;"st",IF(RANK(I15,$I$15:$I$24)=2,RANK(I15,$I$15:$I$24)&amp;"nd",IF(RANK(I15,$I$15:$I$24)=3,RANK(I15,$I$15:$I$24)&amp;"rd",RANK(I15,$I$15:$I$24)&amp;"th"))),"")</f>
        <v/>
      </c>
      <c r="K15" s="38" t="str">
        <f>Analysis_156[[#This Row],[Athletes ]]</f>
        <v>A1</v>
      </c>
      <c r="L15" s="2" t="str">
        <f>J15</f>
        <v/>
      </c>
      <c r="M15" s="428" t="str" cm="1">
        <f t="array" ref="M15">_xlfn.TEXTJOIN(", ", TRUE, _xlfn._xlws.FILTER($K$15:$K$24, $J$15:$J$24=$U$3, ""))</f>
        <v/>
      </c>
      <c r="N15" s="428" t="str" cm="1">
        <f t="array" ref="N15">_xlfn.TEXTJOIN(", ", TRUE, _xlfn._xlws.FILTER($K$15:$K$24, $J$15:$J$24=$U$4, ""))</f>
        <v/>
      </c>
      <c r="O15" s="119"/>
      <c r="P15" s="120"/>
      <c r="Q15" s="428" t="str" cm="1">
        <f t="array" ref="Q15">_xlfn.TEXTJOIN(", ", TRUE, _xlfn._xlws.FILTER($K$15:$K$24, $J$15:$J$24=$U$9, ""))</f>
        <v/>
      </c>
      <c r="R15" s="428" t="str" cm="1">
        <f t="array" ref="R15">_xlfn.TEXTJOIN(", ", TRUE, _xlfn._xlws.FILTER($K$14:$K$24, $J$14:$J$24=$U$10, ""))</f>
        <v/>
      </c>
    </row>
    <row r="16" spans="1:21">
      <c r="A16" s="3" t="s">
        <v>206</v>
      </c>
      <c r="B16" s="29" t="s">
        <v>206</v>
      </c>
      <c r="C16" s="14">
        <f>SUM(COUNTIFS(Game_52[ATHLETE 1],Analysis_156[[#This Row],[Athletes ]],Game_52[RESULT 12],"win"),COUNTIFS(Game_52[ATHLETE 2],Analysis_156[[#This Row],[Athletes ]],Game_52[RESULT 12],"win"),COUNTIFS(Game_52[ATHLETE 3],Analysis_156[[#This Row],[Athletes ]],Game_52[RESULT 34],"win"),COUNTIFS(Game_52[ATHLETE 4],Analysis_156[[#This Row],[Athletes ]],Game_52[RESULT 34],"win"))</f>
        <v>0</v>
      </c>
      <c r="D16" s="14">
        <f>SUM(COUNTIFS(Game_52[ATHLETE 1],Analysis_156[[#This Row],[Athletes ]],Game_52[RESULT 12],"lose"),COUNTIFS(Game_52[ATHLETE 2],Analysis_156[[#This Row],[Athletes ]],Game_52[RESULT 12],"lose"),COUNTIFS(Game_52[ATHLETE 3],Analysis_156[[#This Row],[Athletes ]],Game_52[RESULT 34],"lose"),COUNTIFS(Game_52[ATHLETE 4],Analysis_156[[#This Row],[Athletes ]],Game_52[RESULT 34],"lose"))</f>
        <v>0</v>
      </c>
      <c r="E16" s="19">
        <f>SUM(SUMIF(Game_52[ATHLETE 1],Analysis_156[[#This Row],[Athletes ]],Game_52[SALDO 12]),SUMIF(Game_52[ATHLETE 2],Analysis_156[[#This Row],[Athletes ]],Game_52[SALDO 12]),SUMIF(Game_52[ATHLETE 3],Analysis_156[[#This Row],[Athletes ]],Game_52[SALDO 34]),SUMIF(Game_52[ATHLETE 4],Analysis_156[[#This Row],[Athletes ]],Game_52[SALDO 34]))</f>
        <v>0</v>
      </c>
      <c r="F16" s="19">
        <f>SUM(SUMIF(Game_52[ATHLETE 1],Analysis_156[[#This Row],[Athletes ]],Game_52[PM 12]),SUMIF(Game_52[ATHLETE 2],Analysis_156[[#This Row],[Athletes ]],Game_52[PM 12]),SUMIF(Game_52[ATHLETE 3],Analysis_156[[#This Row],[Athletes ]],Game_52[PM 34]),SUMIF(Game_52[ATHLETE 4],Analysis_156[[#This Row],[Athletes ]],Game_52[PM 34]))</f>
        <v>0</v>
      </c>
      <c r="G16" s="14" t="str">
        <f>IF(COUNTBLANK(Game_52[[SCORE 1]:[SCORE 2]])=0,IF(RANK(H16,$H$15:$H$19)=1,RANK(H16,$H$15:$H$19)&amp;"st",IF(RANK(H16,$H$15:$H$19)=2,RANK(H16,$H$15:$H$19)&amp;"nd",IF(RANK(H16,$H$15:$H$19)=3,RANK(H16,$H$15:$H$19)&amp;"rd",RANK(H16,$H$15:$H$19)&amp;"th"))),"")</f>
        <v/>
      </c>
      <c r="H16" s="203">
        <f>Analysis_156[[#This Row],[WIN]]*1000000+Analysis_156[[#This Row],[Saldo]]*1000+Analysis_156[[#This Row],[PM]]</f>
        <v>0</v>
      </c>
      <c r="I16" s="2">
        <f>H16</f>
        <v>0</v>
      </c>
      <c r="J16" s="2" t="str">
        <f>IF(COUNTBLANK(Game_52[[SCORE 1]:[SCORE 2]])=0,IF(RANK(I16,$I$15:$I$24)=1,RANK(I16,$I$15:$I$24)&amp;"st",IF(RANK(I16,$I$15:$I$24)=2,RANK(I16,$I$15:$I$24)&amp;"nd",IF(RANK(I16,$I$15:$I$24)=3,RANK(I16,$I$15:$I$24)&amp;"rd",RANK(I16,$I$15:$I$24)&amp;"th"))),"")</f>
        <v/>
      </c>
      <c r="K16" s="38" t="str">
        <f>Analysis_156[[#This Row],[Athletes ]]</f>
        <v>A2</v>
      </c>
      <c r="L16" s="2" t="str">
        <f t="shared" ref="L16:L19" si="0">J16</f>
        <v/>
      </c>
      <c r="M16" s="127" t="str">
        <f>IF($O$15="lose",$U$7,"")</f>
        <v/>
      </c>
      <c r="N16" s="127" t="str">
        <f>IF($O$15="lose",$U$8,"")</f>
        <v/>
      </c>
      <c r="O16" s="2" t="str">
        <f>IF(OR(O15="",P15=""),"",IF((O15&gt;P15),"WIN","LOSE"))</f>
        <v/>
      </c>
      <c r="P16" s="2" t="str">
        <f>IF(OR(O15="",P15=""),"",IF((O15&lt;P15),"WIN","LOSE"))</f>
        <v/>
      </c>
      <c r="Q16" s="127" t="str">
        <f>IF($P$15="lose",$U$9,"")</f>
        <v/>
      </c>
      <c r="R16" s="127" t="str">
        <f>IF($P$15="lose",$U$10,"")</f>
        <v/>
      </c>
      <c r="S16" s="17"/>
    </row>
    <row r="17" spans="1:18">
      <c r="A17" s="3" t="s">
        <v>207</v>
      </c>
      <c r="B17" s="29" t="s">
        <v>207</v>
      </c>
      <c r="C17" s="14">
        <f>SUM(COUNTIFS(Game_52[ATHLETE 1],Analysis_156[[#This Row],[Athletes ]],Game_52[RESULT 12],"win"),COUNTIFS(Game_52[ATHLETE 2],Analysis_156[[#This Row],[Athletes ]],Game_52[RESULT 12],"win"),COUNTIFS(Game_52[ATHLETE 3],Analysis_156[[#This Row],[Athletes ]],Game_52[RESULT 34],"win"),COUNTIFS(Game_52[ATHLETE 4],Analysis_156[[#This Row],[Athletes ]],Game_52[RESULT 34],"win"))</f>
        <v>0</v>
      </c>
      <c r="D17" s="14">
        <f>SUM(COUNTIFS(Game_52[ATHLETE 1],Analysis_156[[#This Row],[Athletes ]],Game_52[RESULT 12],"lose"),COUNTIFS(Game_52[ATHLETE 2],Analysis_156[[#This Row],[Athletes ]],Game_52[RESULT 12],"lose"),COUNTIFS(Game_52[ATHLETE 3],Analysis_156[[#This Row],[Athletes ]],Game_52[RESULT 34],"lose"),COUNTIFS(Game_52[ATHLETE 4],Analysis_156[[#This Row],[Athletes ]],Game_52[RESULT 34],"lose"))</f>
        <v>0</v>
      </c>
      <c r="E17" s="19">
        <f>SUM(SUMIF(Game_52[ATHLETE 1],Analysis_156[[#This Row],[Athletes ]],Game_52[SALDO 12]),SUMIF(Game_52[ATHLETE 2],Analysis_156[[#This Row],[Athletes ]],Game_52[SALDO 12]),SUMIF(Game_52[ATHLETE 3],Analysis_156[[#This Row],[Athletes ]],Game_52[SALDO 34]),SUMIF(Game_52[ATHLETE 4],Analysis_156[[#This Row],[Athletes ]],Game_52[SALDO 34]))</f>
        <v>0</v>
      </c>
      <c r="F17" s="19">
        <f>SUM(SUMIF(Game_52[ATHLETE 1],Analysis_156[[#This Row],[Athletes ]],Game_52[PM 12]),SUMIF(Game_52[ATHLETE 2],Analysis_156[[#This Row],[Athletes ]],Game_52[PM 12]),SUMIF(Game_52[ATHLETE 3],Analysis_156[[#This Row],[Athletes ]],Game_52[PM 34]),SUMIF(Game_52[ATHLETE 4],Analysis_156[[#This Row],[Athletes ]],Game_52[PM 34]))</f>
        <v>0</v>
      </c>
      <c r="G17" s="14" t="str">
        <f>IF(COUNTBLANK(Game_52[[SCORE 1]:[SCORE 2]])=0,IF(RANK(H17,$H$15:$H$19)=1,RANK(H17,$H$15:$H$19)&amp;"st",IF(RANK(H17,$H$15:$H$19)=2,RANK(H17,$H$15:$H$19)&amp;"nd",IF(RANK(H17,$H$15:$H$19)=3,RANK(H17,$H$15:$H$19)&amp;"rd",RANK(H17,$H$15:$H$19)&amp;"th"))),"")</f>
        <v/>
      </c>
      <c r="H17" s="203">
        <f>Analysis_156[[#This Row],[WIN]]*1000000+Analysis_156[[#This Row],[Saldo]]*1000+Analysis_156[[#This Row],[PM]]</f>
        <v>0</v>
      </c>
      <c r="I17" s="2">
        <f>H17</f>
        <v>0</v>
      </c>
      <c r="J17" s="2" t="str">
        <f>IF(COUNTBLANK(Game_52[[SCORE 1]:[SCORE 2]])=0,IF(RANK(I17,$I$15:$I$24)=1,RANK(I17,$I$15:$I$24)&amp;"st",IF(RANK(I17,$I$15:$I$24)=2,RANK(I17,$I$15:$I$24)&amp;"nd",IF(RANK(I17,$I$15:$I$24)=3,RANK(I17,$I$15:$I$24)&amp;"rd",RANK(I17,$I$15:$I$24)&amp;"th"))),"")</f>
        <v/>
      </c>
      <c r="K17" s="38" t="str">
        <f>Analysis_156[[#This Row],[Athletes ]]</f>
        <v>A3</v>
      </c>
      <c r="L17" s="2" t="str">
        <f t="shared" si="0"/>
        <v/>
      </c>
      <c r="M17" s="90">
        <v>1</v>
      </c>
      <c r="N17" s="90">
        <v>2</v>
      </c>
      <c r="O17" s="90"/>
      <c r="P17" s="90"/>
      <c r="Q17" s="90">
        <v>7</v>
      </c>
      <c r="R17" s="90">
        <v>8</v>
      </c>
    </row>
    <row r="18" spans="1:18" ht="15.95">
      <c r="A18" s="5" t="s">
        <v>208</v>
      </c>
      <c r="B18" s="29" t="s">
        <v>208</v>
      </c>
      <c r="C18" s="14">
        <f>SUM(COUNTIFS(Game_52[ATHLETE 1],Analysis_156[[#This Row],[Athletes ]],Game_52[RESULT 12],"win"),COUNTIFS(Game_52[ATHLETE 2],Analysis_156[[#This Row],[Athletes ]],Game_52[RESULT 12],"win"),COUNTIFS(Game_52[ATHLETE 3],Analysis_156[[#This Row],[Athletes ]],Game_52[RESULT 34],"win"),COUNTIFS(Game_52[ATHLETE 4],Analysis_156[[#This Row],[Athletes ]],Game_52[RESULT 34],"win"))</f>
        <v>0</v>
      </c>
      <c r="D18" s="14">
        <f>SUM(COUNTIFS(Game_52[ATHLETE 1],Analysis_156[[#This Row],[Athletes ]],Game_52[RESULT 12],"lose"),COUNTIFS(Game_52[ATHLETE 2],Analysis_156[[#This Row],[Athletes ]],Game_52[RESULT 12],"lose"),COUNTIFS(Game_52[ATHLETE 3],Analysis_156[[#This Row],[Athletes ]],Game_52[RESULT 34],"lose"),COUNTIFS(Game_52[ATHLETE 4],Analysis_156[[#This Row],[Athletes ]],Game_52[RESULT 34],"lose"))</f>
        <v>0</v>
      </c>
      <c r="E18" s="19">
        <f>SUM(SUMIF(Game_52[ATHLETE 1],Analysis_156[[#This Row],[Athletes ]],Game_52[SALDO 12]),SUMIF(Game_52[ATHLETE 2],Analysis_156[[#This Row],[Athletes ]],Game_52[SALDO 12]),SUMIF(Game_52[ATHLETE 3],Analysis_156[[#This Row],[Athletes ]],Game_52[SALDO 34]),SUMIF(Game_52[ATHLETE 4],Analysis_156[[#This Row],[Athletes ]],Game_52[SALDO 34]))</f>
        <v>0</v>
      </c>
      <c r="F18" s="19">
        <f>SUM(SUMIF(Game_52[ATHLETE 1],Analysis_156[[#This Row],[Athletes ]],Game_52[PM 12]),SUMIF(Game_52[ATHLETE 2],Analysis_156[[#This Row],[Athletes ]],Game_52[PM 12]),SUMIF(Game_52[ATHLETE 3],Analysis_156[[#This Row],[Athletes ]],Game_52[PM 34]),SUMIF(Game_52[ATHLETE 4],Analysis_156[[#This Row],[Athletes ]],Game_52[PM 34]))</f>
        <v>0</v>
      </c>
      <c r="G18" s="14" t="str">
        <f>IF(COUNTBLANK(Game_52[[SCORE 1]:[SCORE 2]])=0,IF(RANK(H18,$H$15:$H$19)=1,RANK(H18,$H$15:$H$19)&amp;"st",IF(RANK(H18,$H$15:$H$19)=2,RANK(H18,$H$15:$H$19)&amp;"nd",IF(RANK(H18,$H$15:$H$19)=3,RANK(H18,$H$15:$H$19)&amp;"rd",RANK(H18,$H$15:$H$19)&amp;"th"))),"")</f>
        <v/>
      </c>
      <c r="H18" s="203">
        <f>Analysis_156[[#This Row],[WIN]]*1000000+Analysis_156[[#This Row],[Saldo]]*1000+Analysis_156[[#This Row],[PM]]</f>
        <v>0</v>
      </c>
      <c r="I18" s="2">
        <f>H18</f>
        <v>0</v>
      </c>
      <c r="J18" s="2" t="str">
        <f>IF(COUNTBLANK(Game_52[[SCORE 1]:[SCORE 2]])=0,IF(RANK(I18,$I$15:$I$24)=1,RANK(I18,$I$15:$I$24)&amp;"st",IF(RANK(I18,$I$15:$I$24)=2,RANK(I18,$I$15:$I$24)&amp;"nd",IF(RANK(I18,$I$15:$I$24)=3,RANK(I18,$I$15:$I$24)&amp;"rd",RANK(I18,$I$15:$I$24)&amp;"th"))),"")</f>
        <v/>
      </c>
      <c r="K18" s="38" t="str">
        <f>Analysis_156[[#This Row],[Athletes ]]</f>
        <v>A4</v>
      </c>
      <c r="L18" s="2" t="str">
        <f t="shared" si="0"/>
        <v/>
      </c>
      <c r="M18" s="90"/>
      <c r="N18" s="90"/>
      <c r="O18" s="90"/>
      <c r="P18" s="90"/>
      <c r="Q18" s="90"/>
      <c r="R18" s="90"/>
    </row>
    <row r="19" spans="1:18">
      <c r="A19" s="3" t="s">
        <v>230</v>
      </c>
      <c r="B19" s="29" t="s">
        <v>230</v>
      </c>
      <c r="C19" s="14">
        <f>SUM(COUNTIFS(Game_52[ATHLETE 1],Analysis_156[[#This Row],[Athletes ]],Game_52[RESULT 12],"win"),COUNTIFS(Game_52[ATHLETE 2],Analysis_156[[#This Row],[Athletes ]],Game_52[RESULT 12],"win"),COUNTIFS(Game_52[ATHLETE 3],Analysis_156[[#This Row],[Athletes ]],Game_52[RESULT 34],"win"),COUNTIFS(Game_52[ATHLETE 4],Analysis_156[[#This Row],[Athletes ]],Game_52[RESULT 34],"win"))</f>
        <v>0</v>
      </c>
      <c r="D19" s="14">
        <f>SUM(COUNTIFS(Game_52[ATHLETE 1],Analysis_156[[#This Row],[Athletes ]],Game_52[RESULT 12],"lose"),COUNTIFS(Game_52[ATHLETE 2],Analysis_156[[#This Row],[Athletes ]],Game_52[RESULT 12],"lose"),COUNTIFS(Game_52[ATHLETE 3],Analysis_156[[#This Row],[Athletes ]],Game_52[RESULT 34],"lose"),COUNTIFS(Game_52[ATHLETE 4],Analysis_156[[#This Row],[Athletes ]],Game_52[RESULT 34],"lose"))</f>
        <v>0</v>
      </c>
      <c r="E19" s="19">
        <f>SUM(SUMIF(Game_52[ATHLETE 1],Analysis_156[[#This Row],[Athletes ]],Game_52[SALDO 12]),SUMIF(Game_52[ATHLETE 2],Analysis_156[[#This Row],[Athletes ]],Game_52[SALDO 12]),SUMIF(Game_52[ATHLETE 3],Analysis_156[[#This Row],[Athletes ]],Game_52[SALDO 34]),SUMIF(Game_52[ATHLETE 4],Analysis_156[[#This Row],[Athletes ]],Game_52[SALDO 34]))</f>
        <v>0</v>
      </c>
      <c r="F19" s="19">
        <f>SUM(SUMIF(Game_52[ATHLETE 1],Analysis_156[[#This Row],[Athletes ]],Game_52[PM 12]),SUMIF(Game_52[ATHLETE 2],Analysis_156[[#This Row],[Athletes ]],Game_52[PM 12]),SUMIF(Game_52[ATHLETE 3],Analysis_156[[#This Row],[Athletes ]],Game_52[PM 34]),SUMIF(Game_52[ATHLETE 4],Analysis_156[[#This Row],[Athletes ]],Game_52[PM 34]))</f>
        <v>0</v>
      </c>
      <c r="G19" s="14" t="str">
        <f>IF(COUNTBLANK(Game_52[[SCORE 1]:[SCORE 2]])=0,IF(RANK(H19,$H$15:$H$19)=1,RANK(H19,$H$15:$H$19)&amp;"st",IF(RANK(H19,$H$15:$H$19)=2,RANK(H19,$H$15:$H$19)&amp;"nd",IF(RANK(H19,$H$15:$H$19)=3,RANK(H19,$H$15:$H$19)&amp;"rd",RANK(H19,$H$15:$H$19)&amp;"th"))),"")</f>
        <v/>
      </c>
      <c r="H19" s="203">
        <f>Analysis_156[[#This Row],[WIN]]*1000000+Analysis_156[[#This Row],[Saldo]]*1000+Analysis_156[[#This Row],[PM]]</f>
        <v>0</v>
      </c>
      <c r="I19" s="2">
        <f>H19</f>
        <v>0</v>
      </c>
      <c r="J19" s="2" t="str">
        <f>IF(COUNTBLANK(Game_52[[SCORE 1]:[SCORE 2]])=0,IF(RANK(I19,$I$15:$I$24)=1,RANK(I19,$I$15:$I$24)&amp;"st",IF(RANK(I19,$I$15:$I$24)=2,RANK(I19,$I$15:$I$24)&amp;"nd",IF(RANK(I19,$I$15:$I$24)=3,RANK(I19,$I$15:$I$24)&amp;"rd",RANK(I19,$I$15:$I$24)&amp;"th"))),"")</f>
        <v/>
      </c>
      <c r="K19" s="38" t="str">
        <f>Analysis_156[[#This Row],[Athletes ]]</f>
        <v>A5</v>
      </c>
      <c r="L19" s="2" t="str">
        <f t="shared" si="0"/>
        <v/>
      </c>
      <c r="M19" s="418" t="s">
        <v>193</v>
      </c>
      <c r="N19" s="418" t="s">
        <v>194</v>
      </c>
      <c r="O19" s="542" t="s">
        <v>195</v>
      </c>
      <c r="P19" s="543"/>
      <c r="Q19" s="418" t="s">
        <v>196</v>
      </c>
      <c r="R19" s="418" t="s">
        <v>197</v>
      </c>
    </row>
    <row r="20" spans="1:18" ht="28.5" customHeight="1">
      <c r="I20" s="2">
        <f>H22</f>
        <v>0</v>
      </c>
      <c r="J20" s="2" t="str">
        <f>IF(COUNTBLANK(Game_52[[SCORE 1]:[SCORE 2]])=0,IF(RANK(I20,$I$15:$I$24)=1,RANK(I20,$I$15:$I$24)&amp;"st",IF(RANK(I20,$I$15:$I$24)=2,RANK(I20,$I$15:$I$24)&amp;"nd",IF(RANK(I20,$I$15:$I$24)=3,RANK(I20,$I$15:$I$24)&amp;"rd",RANK(I20,$I$15:$I$24)&amp;"th"))),"")</f>
        <v/>
      </c>
      <c r="K20" s="38" t="str">
        <f>B22</f>
        <v>B1</v>
      </c>
      <c r="M20" s="147" t="str" cm="1">
        <f t="array" ref="M20">_xlfn.TEXTJOIN(", ", TRUE, _xlfn._xlws.FILTER($K$15:$K$24, $J$15:$J$24=$U$5, ""))</f>
        <v/>
      </c>
      <c r="N20" s="147" t="str" cm="1">
        <f t="array" ref="N20">_xlfn.TEXTJOIN(", ", TRUE, _xlfn._xlws.FILTER($K$15:$K$24, $J$15:$J$24=$U$6, ""))</f>
        <v/>
      </c>
      <c r="O20" s="119"/>
      <c r="P20" s="119"/>
      <c r="Q20" s="147" t="str" cm="1">
        <f t="array" ref="Q20">_xlfn.TEXTJOIN(", ", TRUE, _xlfn._xlws.FILTER($K$15:$K$24, $J$15:$J$24=$U$7, ""))</f>
        <v/>
      </c>
      <c r="R20" s="428" t="str" cm="1">
        <f t="array" ref="R20">_xlfn.TEXTJOIN(", ", TRUE, _xlfn._xlws.FILTER($K$15:$K$24, $J$15:$J$24=$U$8, ""))</f>
        <v/>
      </c>
    </row>
    <row r="21" spans="1:18" ht="15.95">
      <c r="A21" s="6" t="s">
        <v>246</v>
      </c>
      <c r="B21" s="10" t="s">
        <v>261</v>
      </c>
      <c r="C21" s="10" t="s">
        <v>186</v>
      </c>
      <c r="D21" s="10" t="s">
        <v>187</v>
      </c>
      <c r="E21" s="10" t="s">
        <v>188</v>
      </c>
      <c r="F21" s="10" t="s">
        <v>189</v>
      </c>
      <c r="G21" s="7" t="s">
        <v>8</v>
      </c>
      <c r="H21" s="80" t="s">
        <v>190</v>
      </c>
      <c r="I21" s="2">
        <f t="shared" ref="I21:I24" si="1">H23</f>
        <v>0</v>
      </c>
      <c r="J21" s="2" t="str">
        <f>IF(COUNTBLANK(Game_52[[SCORE 1]:[SCORE 2]])=0,IF(RANK(I21,$I$15:$I$24)=1,RANK(I21,$I$15:$I$24)&amp;"st",IF(RANK(I21,$I$15:$I$24)=2,RANK(I21,$I$15:$I$24)&amp;"nd",IF(RANK(I21,$I$15:$I$24)=3,RANK(I21,$I$15:$I$24)&amp;"rd",RANK(I21,$I$15:$I$24)&amp;"th"))),"")</f>
        <v/>
      </c>
      <c r="K21" s="38" t="str">
        <f t="shared" ref="K21:K24" si="2">B23</f>
        <v>B2</v>
      </c>
      <c r="L21" s="419" t="s">
        <v>192</v>
      </c>
      <c r="M21" s="127" t="str">
        <f>IF(AND($O$21="lose",$O$16="lose"),$U$9,IF($O$21="lose",$U$7,""))</f>
        <v/>
      </c>
      <c r="N21" s="127" t="str">
        <f>IF(AND($O$21="lose",$O$16="lose"),$U$10,IF($O$21="lose",$U$8,""))</f>
        <v/>
      </c>
      <c r="O21" s="2" t="str">
        <f>IF(OR(O20="",P20=""),"",IF((O20&gt;P20),"WIN","LOSE"))</f>
        <v/>
      </c>
      <c r="P21" s="2" t="str">
        <f>IF(OR(O20="",P20=""),"",IF((O20&lt;P20),"WIN","LOSE"))</f>
        <v/>
      </c>
      <c r="Q21" s="127" t="str">
        <f>IF(AND($P$21="lose",$O$16="lose"),$U$9,IF($P$21="lose",$U$7,""))</f>
        <v/>
      </c>
      <c r="R21" s="127" t="str">
        <f>IF(AND($P$21="lose",$O$16="lose"),$U$10,IF($P$21="lose",$U$8,""))</f>
        <v/>
      </c>
    </row>
    <row r="22" spans="1:18">
      <c r="A22" s="430" t="s">
        <v>209</v>
      </c>
      <c r="B22" s="29" t="s">
        <v>209</v>
      </c>
      <c r="C22" s="14">
        <f>SUM(COUNTIFS(Game_52[ATHLETE 1],Analysis_1664[[#This Row],[Athletes ]],Game_52[RESULT 12],"win"),COUNTIFS(Game_52[ATHLETE 2],Analysis_1664[[#This Row],[Athletes ]],Game_52[RESULT 12],"win"),COUNTIFS(Game_52[ATHLETE 3],Analysis_1664[[#This Row],[Athletes ]],Game_52[RESULT 34],"win"),COUNTIFS(Game_52[ATHLETE 4],Analysis_1664[[#This Row],[Athletes ]],Game_52[RESULT 34],"win"))</f>
        <v>0</v>
      </c>
      <c r="D22" s="14">
        <f>SUM(COUNTIFS(Game_52[ATHLETE 1],Analysis_1664[[#This Row],[Athletes ]],Game_52[RESULT 12],"lose"),COUNTIFS(Game_52[ATHLETE 2],Analysis_1664[[#This Row],[Athletes ]],Game_52[RESULT 12],"lose"),COUNTIFS(Game_52[ATHLETE 3],Analysis_1664[[#This Row],[Athletes ]],Game_52[RESULT 34],"lose"),COUNTIFS(Game_52[ATHLETE 4],Analysis_1664[[#This Row],[Athletes ]],Game_52[RESULT 34],"lose"))</f>
        <v>0</v>
      </c>
      <c r="E22" s="19">
        <f>SUM(SUMIF(Game_52[ATHLETE 1],Analysis_1664[[#This Row],[Athletes ]],Game_52[SALDO 12]),SUMIF(Game_52[ATHLETE 2],Analysis_1664[[#This Row],[Athletes ]],Game_52[SALDO 12]),SUMIF(Game_52[ATHLETE 3],Analysis_1664[[#This Row],[Athletes ]],Game_52[SALDO 34]),SUMIF(Game_52[ATHLETE 4],Analysis_1664[[#This Row],[Athletes ]],Game_52[SALDO 34]))</f>
        <v>0</v>
      </c>
      <c r="F22" s="19">
        <f>SUM(SUMIF(Game_52[ATHLETE 1],Analysis_1664[[#This Row],[Athletes ]],Game_52[PM 12]),SUMIF(Game_52[ATHLETE 2],Analysis_1664[[#This Row],[Athletes ]],Game_52[PM 12]),SUMIF(Game_52[ATHLETE 3],Analysis_1664[[#This Row],[Athletes ]],Game_52[PM 34]),SUMIF(Game_52[ATHLETE 4],Analysis_1664[[#This Row],[Athletes ]],Game_52[PM 34]))</f>
        <v>0</v>
      </c>
      <c r="G22" s="14" t="str">
        <f>IF(COUNTBLANK(Game_52[[SCORE 1]:[SCORE 2]])=0,IF(RANK(H22,$H$22:$H$26)=1,RANK(H22,$H$22:$H$26)&amp;"st",IF(RANK(H22,$H$22:$H$26)=2,RANK(H22,$H$22:$H$26)&amp;"nd",IF(RANK(H22,$H$22:$H$26)=3,RANK(H22,$H$22:$H$26)&amp;"rd",RANK(H22,$H$22:$H$26)&amp;"th"))),"")</f>
        <v/>
      </c>
      <c r="H22" s="203">
        <f>Analysis_1664[[#This Row],[WIN]]*1000000+Analysis_1664[[#This Row],[Saldo]]*1000+Analysis_1664[[#This Row],[PM]]</f>
        <v>0</v>
      </c>
      <c r="I22" s="2">
        <f t="shared" si="1"/>
        <v>0</v>
      </c>
      <c r="J22" s="2" t="str">
        <f>IF(COUNTBLANK(Game_52[[SCORE 1]:[SCORE 2]])=0,IF(RANK(I22,$I$15:$I$24)=1,RANK(I22,$I$15:$I$24)&amp;"st",IF(RANK(I22,$I$15:$I$24)=2,RANK(I22,$I$15:$I$24)&amp;"nd",IF(RANK(I22,$I$15:$I$24)=3,RANK(I22,$I$15:$I$24)&amp;"rd",RANK(I22,$I$15:$I$24)&amp;"th"))),"")</f>
        <v/>
      </c>
      <c r="K22" s="38" t="str">
        <f t="shared" si="2"/>
        <v>B3</v>
      </c>
      <c r="L22" s="2" t="str">
        <f>J20</f>
        <v/>
      </c>
      <c r="M22" s="90">
        <v>3</v>
      </c>
      <c r="N22" s="90">
        <v>4</v>
      </c>
      <c r="O22" s="90"/>
      <c r="P22" s="90"/>
      <c r="Q22" s="90">
        <v>5</v>
      </c>
      <c r="R22" s="90">
        <v>6</v>
      </c>
    </row>
    <row r="23" spans="1:18">
      <c r="A23" s="430" t="s">
        <v>210</v>
      </c>
      <c r="B23" s="29" t="s">
        <v>210</v>
      </c>
      <c r="C23" s="14">
        <f>SUM(COUNTIFS(Game_52[ATHLETE 1],Analysis_1664[[#This Row],[Athletes ]],Game_52[RESULT 12],"win"),COUNTIFS(Game_52[ATHLETE 2],Analysis_1664[[#This Row],[Athletes ]],Game_52[RESULT 12],"win"),COUNTIFS(Game_52[ATHLETE 3],Analysis_1664[[#This Row],[Athletes ]],Game_52[RESULT 34],"win"),COUNTIFS(Game_52[ATHLETE 4],Analysis_1664[[#This Row],[Athletes ]],Game_52[RESULT 34],"win"))</f>
        <v>0</v>
      </c>
      <c r="D23" s="14">
        <f>SUM(COUNTIFS(Game_52[ATHLETE 1],Analysis_1664[[#This Row],[Athletes ]],Game_52[RESULT 12],"lose"),COUNTIFS(Game_52[ATHLETE 2],Analysis_1664[[#This Row],[Athletes ]],Game_52[RESULT 12],"lose"),COUNTIFS(Game_52[ATHLETE 3],Analysis_1664[[#This Row],[Athletes ]],Game_52[RESULT 34],"lose"),COUNTIFS(Game_52[ATHLETE 4],Analysis_1664[[#This Row],[Athletes ]],Game_52[RESULT 34],"lose"))</f>
        <v>0</v>
      </c>
      <c r="E23" s="19">
        <f>SUM(SUMIF(Game_52[ATHLETE 1],Analysis_1664[[#This Row],[Athletes ]],Game_52[SALDO 12]),SUMIF(Game_52[ATHLETE 2],Analysis_1664[[#This Row],[Athletes ]],Game_52[SALDO 12]),SUMIF(Game_52[ATHLETE 3],Analysis_1664[[#This Row],[Athletes ]],Game_52[SALDO 34]),SUMIF(Game_52[ATHLETE 4],Analysis_1664[[#This Row],[Athletes ]],Game_52[SALDO 34]))</f>
        <v>0</v>
      </c>
      <c r="F23" s="19">
        <f>SUM(SUMIF(Game_52[ATHLETE 1],Analysis_1664[[#This Row],[Athletes ]],Game_52[PM 12]),SUMIF(Game_52[ATHLETE 2],Analysis_1664[[#This Row],[Athletes ]],Game_52[PM 12]),SUMIF(Game_52[ATHLETE 3],Analysis_1664[[#This Row],[Athletes ]],Game_52[PM 34]),SUMIF(Game_52[ATHLETE 4],Analysis_1664[[#This Row],[Athletes ]],Game_52[PM 34]))</f>
        <v>0</v>
      </c>
      <c r="G23" s="14" t="str">
        <f>IF(COUNTBLANK(Game_52[[SCORE 1]:[SCORE 2]])=0,IF(RANK(H23,$H$22:$H$26)=1,RANK(H23,$H$22:$H$26)&amp;"st",IF(RANK(H23,$H$22:$H$26)=2,RANK(H23,$H$22:$H$26)&amp;"nd",IF(RANK(H23,$H$22:$H$26)=3,RANK(H23,$H$22:$H$26)&amp;"rd",RANK(H23,$H$22:$H$26)&amp;"th"))),"")</f>
        <v/>
      </c>
      <c r="H23" s="203">
        <f>Analysis_1664[[#This Row],[WIN]]*1000000+Analysis_1664[[#This Row],[Saldo]]*1000+Analysis_1664[[#This Row],[PM]]</f>
        <v>0</v>
      </c>
      <c r="I23" s="2">
        <f t="shared" si="1"/>
        <v>0</v>
      </c>
      <c r="J23" s="2" t="str">
        <f>IF(COUNTBLANK(Game_52[[SCORE 1]:[SCORE 2]])=0,IF(RANK(I23,$I$15:$I$24)=1,RANK(I23,$I$15:$I$24)&amp;"st",IF(RANK(I23,$I$15:$I$24)=2,RANK(I23,$I$15:$I$24)&amp;"nd",IF(RANK(I23,$I$15:$I$24)=3,RANK(I23,$I$15:$I$24)&amp;"rd",RANK(I23,$I$15:$I$24)&amp;"th"))),"")</f>
        <v/>
      </c>
      <c r="K23" s="38" t="str">
        <f t="shared" si="2"/>
        <v>B4</v>
      </c>
      <c r="L23" s="2" t="str">
        <f t="shared" ref="L23:L26" si="3">J21</f>
        <v/>
      </c>
      <c r="M23" s="90"/>
      <c r="N23" s="90"/>
      <c r="O23" s="90"/>
      <c r="P23" s="90"/>
      <c r="Q23" s="90"/>
      <c r="R23" s="90"/>
    </row>
    <row r="24" spans="1:18" ht="29.1">
      <c r="A24" s="430" t="s">
        <v>211</v>
      </c>
      <c r="B24" s="29" t="s">
        <v>211</v>
      </c>
      <c r="C24" s="14">
        <f>SUM(COUNTIFS(Game_52[ATHLETE 1],Analysis_1664[[#This Row],[Athletes ]],Game_52[RESULT 12],"win"),COUNTIFS(Game_52[ATHLETE 2],Analysis_1664[[#This Row],[Athletes ]],Game_52[RESULT 12],"win"),COUNTIFS(Game_52[ATHLETE 3],Analysis_1664[[#This Row],[Athletes ]],Game_52[RESULT 34],"win"),COUNTIFS(Game_52[ATHLETE 4],Analysis_1664[[#This Row],[Athletes ]],Game_52[RESULT 34],"win"))</f>
        <v>0</v>
      </c>
      <c r="D24" s="14">
        <f>SUM(COUNTIFS(Game_52[ATHLETE 1],Analysis_1664[[#This Row],[Athletes ]],Game_52[RESULT 12],"lose"),COUNTIFS(Game_52[ATHLETE 2],Analysis_1664[[#This Row],[Athletes ]],Game_52[RESULT 12],"lose"),COUNTIFS(Game_52[ATHLETE 3],Analysis_1664[[#This Row],[Athletes ]],Game_52[RESULT 34],"lose"),COUNTIFS(Game_52[ATHLETE 4],Analysis_1664[[#This Row],[Athletes ]],Game_52[RESULT 34],"lose"))</f>
        <v>0</v>
      </c>
      <c r="E24" s="19">
        <f>SUM(SUMIF(Game_52[ATHLETE 1],Analysis_1664[[#This Row],[Athletes ]],Game_52[SALDO 12]),SUMIF(Game_52[ATHLETE 2],Analysis_1664[[#This Row],[Athletes ]],Game_52[SALDO 12]),SUMIF(Game_52[ATHLETE 3],Analysis_1664[[#This Row],[Athletes ]],Game_52[SALDO 34]),SUMIF(Game_52[ATHLETE 4],Analysis_1664[[#This Row],[Athletes ]],Game_52[SALDO 34]))</f>
        <v>0</v>
      </c>
      <c r="F24" s="19">
        <f>SUM(SUMIF(Game_52[ATHLETE 1],Analysis_1664[[#This Row],[Athletes ]],Game_52[PM 12]),SUMIF(Game_52[ATHLETE 2],Analysis_1664[[#This Row],[Athletes ]],Game_52[PM 12]),SUMIF(Game_52[ATHLETE 3],Analysis_1664[[#This Row],[Athletes ]],Game_52[PM 34]),SUMIF(Game_52[ATHLETE 4],Analysis_1664[[#This Row],[Athletes ]],Game_52[PM 34]))</f>
        <v>0</v>
      </c>
      <c r="G24" s="14" t="str">
        <f>IF(COUNTBLANK(Game_52[[SCORE 1]:[SCORE 2]])=0,IF(RANK(H24,$H$22:$H$26)=1,RANK(H24,$H$22:$H$26)&amp;"st",IF(RANK(H24,$H$22:$H$26)=2,RANK(H24,$H$22:$H$26)&amp;"nd",IF(RANK(H24,$H$22:$H$26)=3,RANK(H24,$H$22:$H$26)&amp;"rd",RANK(H24,$H$22:$H$26)&amp;"th"))),"")</f>
        <v/>
      </c>
      <c r="H24" s="203">
        <f>Analysis_1664[[#This Row],[WIN]]*1000000+Analysis_1664[[#This Row],[Saldo]]*1000+Analysis_1664[[#This Row],[PM]]</f>
        <v>0</v>
      </c>
      <c r="I24" s="2">
        <f t="shared" si="1"/>
        <v>0</v>
      </c>
      <c r="J24" s="2" t="str">
        <f>IF(COUNTBLANK(Game_52[[SCORE 1]:[SCORE 2]])=0,IF(RANK(I24,$I$15:$I$24)=1,RANK(I24,$I$15:$I$24)&amp;"st",IF(RANK(I24,$I$15:$I$24)=2,RANK(I24,$I$15:$I$24)&amp;"nd",IF(RANK(I24,$I$15:$I$24)=3,RANK(I24,$I$15:$I$24)&amp;"rd",RANK(I24,$I$15:$I$24)&amp;"th"))),"")</f>
        <v/>
      </c>
      <c r="K24" s="38" t="str">
        <f t="shared" si="2"/>
        <v>B5</v>
      </c>
      <c r="L24" s="2" t="str">
        <f t="shared" si="3"/>
        <v/>
      </c>
      <c r="M24" s="548" t="s">
        <v>199</v>
      </c>
      <c r="N24" s="549"/>
      <c r="O24" s="549"/>
      <c r="P24" s="549"/>
      <c r="Q24" s="549"/>
      <c r="R24" s="549"/>
    </row>
    <row r="25" spans="1:18">
      <c r="A25" s="430" t="s">
        <v>212</v>
      </c>
      <c r="B25" s="29" t="s">
        <v>212</v>
      </c>
      <c r="C25" s="14">
        <f>SUM(COUNTIFS(Game_52[ATHLETE 1],Analysis_1664[[#This Row],[Athletes ]],Game_52[RESULT 12],"win"),COUNTIFS(Game_52[ATHLETE 2],Analysis_1664[[#This Row],[Athletes ]],Game_52[RESULT 12],"win"),COUNTIFS(Game_52[ATHLETE 3],Analysis_1664[[#This Row],[Athletes ]],Game_52[RESULT 34],"win"),COUNTIFS(Game_52[ATHLETE 4],Analysis_1664[[#This Row],[Athletes ]],Game_52[RESULT 34],"win"))</f>
        <v>0</v>
      </c>
      <c r="D25" s="14">
        <f>SUM(COUNTIFS(Game_52[ATHLETE 1],Analysis_1664[[#This Row],[Athletes ]],Game_52[RESULT 12],"lose"),COUNTIFS(Game_52[ATHLETE 2],Analysis_1664[[#This Row],[Athletes ]],Game_52[RESULT 12],"lose"),COUNTIFS(Game_52[ATHLETE 3],Analysis_1664[[#This Row],[Athletes ]],Game_52[RESULT 34],"lose"),COUNTIFS(Game_52[ATHLETE 4],Analysis_1664[[#This Row],[Athletes ]],Game_52[RESULT 34],"lose"))</f>
        <v>0</v>
      </c>
      <c r="E25" s="19">
        <f>SUM(SUMIF(Game_52[ATHLETE 1],Analysis_1664[[#This Row],[Athletes ]],Game_52[SALDO 12]),SUMIF(Game_52[ATHLETE 2],Analysis_1664[[#This Row],[Athletes ]],Game_52[SALDO 12]),SUMIF(Game_52[ATHLETE 3],Analysis_1664[[#This Row],[Athletes ]],Game_52[SALDO 34]),SUMIF(Game_52[ATHLETE 4],Analysis_1664[[#This Row],[Athletes ]],Game_52[SALDO 34]))</f>
        <v>0</v>
      </c>
      <c r="F25" s="19">
        <f>SUM(SUMIF(Game_52[ATHLETE 1],Analysis_1664[[#This Row],[Athletes ]],Game_52[PM 12]),SUMIF(Game_52[ATHLETE 2],Analysis_1664[[#This Row],[Athletes ]],Game_52[PM 12]),SUMIF(Game_52[ATHLETE 3],Analysis_1664[[#This Row],[Athletes ]],Game_52[PM 34]),SUMIF(Game_52[ATHLETE 4],Analysis_1664[[#This Row],[Athletes ]],Game_52[PM 34]))</f>
        <v>0</v>
      </c>
      <c r="G25" s="14" t="str">
        <f>IF(COUNTBLANK(Game_52[[SCORE 1]:[SCORE 2]])=0,IF(RANK(H25,$H$22:$H$26)=1,RANK(H25,$H$22:$H$26)&amp;"st",IF(RANK(H25,$H$22:$H$26)=2,RANK(H25,$H$22:$H$26)&amp;"nd",IF(RANK(H25,$H$22:$H$26)=3,RANK(H25,$H$22:$H$26)&amp;"rd",RANK(H25,$H$22:$H$26)&amp;"th"))),"")</f>
        <v/>
      </c>
      <c r="H25" s="203">
        <f>Analysis_1664[[#This Row],[WIN]]*1000000+Analysis_1664[[#This Row],[Saldo]]*1000+Analysis_1664[[#This Row],[PM]]</f>
        <v>0</v>
      </c>
      <c r="I25" s="2"/>
      <c r="J25" s="2" t="str">
        <f>IF(COUNTBLANK(Table41013172512475452986841[[SCORE 1]:[SCORE 2]])=0,IF(RANK(I25,$I$14:$I$25)=1,RANK(I25,$I$14:$I$25)&amp;"st",IF(RANK(I25,$I$14:$I$25)=2,RANK(I25,$I$14:$I$25)&amp;"nd",IF(RANK(I25,$I$14:$I$25)=3,RANK(I25,$I$14:$I$25)&amp;"rd",RANK(I25,$I$14:$I$25)&amp;"th"))),"")</f>
        <v/>
      </c>
      <c r="L25" s="2" t="str">
        <f t="shared" si="3"/>
        <v/>
      </c>
      <c r="M25" s="418" t="s">
        <v>193</v>
      </c>
      <c r="N25" s="418" t="s">
        <v>194</v>
      </c>
      <c r="O25" s="542" t="s">
        <v>195</v>
      </c>
      <c r="P25" s="543"/>
      <c r="Q25" s="418" t="s">
        <v>196</v>
      </c>
      <c r="R25" s="418" t="s">
        <v>197</v>
      </c>
    </row>
    <row r="26" spans="1:18">
      <c r="A26" s="11" t="s">
        <v>231</v>
      </c>
      <c r="B26" s="29" t="s">
        <v>231</v>
      </c>
      <c r="C26" s="14">
        <f>SUM(COUNTIFS(Game_52[ATHLETE 1],Analysis_1664[[#This Row],[Athletes ]],Game_52[RESULT 12],"win"),COUNTIFS(Game_52[ATHLETE 2],Analysis_1664[[#This Row],[Athletes ]],Game_52[RESULT 12],"win"),COUNTIFS(Game_52[ATHLETE 3],Analysis_1664[[#This Row],[Athletes ]],Game_52[RESULT 34],"win"),COUNTIFS(Game_52[ATHLETE 4],Analysis_1664[[#This Row],[Athletes ]],Game_52[RESULT 34],"win"))</f>
        <v>0</v>
      </c>
      <c r="D26" s="14">
        <f>SUM(COUNTIFS(Game_52[ATHLETE 1],Analysis_1664[[#This Row],[Athletes ]],Game_52[RESULT 12],"lose"),COUNTIFS(Game_52[ATHLETE 2],Analysis_1664[[#This Row],[Athletes ]],Game_52[RESULT 12],"lose"),COUNTIFS(Game_52[ATHLETE 3],Analysis_1664[[#This Row],[Athletes ]],Game_52[RESULT 34],"lose"),COUNTIFS(Game_52[ATHLETE 4],Analysis_1664[[#This Row],[Athletes ]],Game_52[RESULT 34],"lose"))</f>
        <v>0</v>
      </c>
      <c r="E26" s="19">
        <f>SUM(SUMIF(Game_52[ATHLETE 1],Analysis_1664[[#This Row],[Athletes ]],Game_52[SALDO 12]),SUMIF(Game_52[ATHLETE 2],Analysis_1664[[#This Row],[Athletes ]],Game_52[SALDO 12]),SUMIF(Game_52[ATHLETE 3],Analysis_1664[[#This Row],[Athletes ]],Game_52[SALDO 34]),SUMIF(Game_52[ATHLETE 4],Analysis_1664[[#This Row],[Athletes ]],Game_52[SALDO 34]))</f>
        <v>0</v>
      </c>
      <c r="F26" s="19">
        <f>SUM(SUMIF(Game_52[ATHLETE 1],Analysis_1664[[#This Row],[Athletes ]],Game_52[PM 12]),SUMIF(Game_52[ATHLETE 2],Analysis_1664[[#This Row],[Athletes ]],Game_52[PM 12]),SUMIF(Game_52[ATHLETE 3],Analysis_1664[[#This Row],[Athletes ]],Game_52[PM 34]),SUMIF(Game_52[ATHLETE 4],Analysis_1664[[#This Row],[Athletes ]],Game_52[PM 34]))</f>
        <v>0</v>
      </c>
      <c r="G26" s="14" t="str">
        <f>IF(COUNTBLANK(Game_52[[SCORE 1]:[SCORE 2]])=0,IF(RANK(H26,$H$22:$H$26)=1,RANK(H26,$H$22:$H$26)&amp;"st",IF(RANK(H26,$H$22:$H$26)=2,RANK(H26,$H$22:$H$26)&amp;"nd",IF(RANK(H26,$H$22:$H$26)=3,RANK(H26,$H$22:$H$26)&amp;"rd",RANK(H26,$H$22:$H$26)&amp;"th"))),"")</f>
        <v/>
      </c>
      <c r="H26" s="203">
        <f>Analysis_1664[[#This Row],[WIN]]*1000000+Analysis_1664[[#This Row],[Saldo]]*1000+Analysis_1664[[#This Row],[PM]]</f>
        <v>0</v>
      </c>
      <c r="I26" s="2"/>
      <c r="J26" s="2" t="str">
        <f>IF(COUNTBLANK(Table41013172512475452986841[[SCORE 1]:[SCORE 2]])=0,IF(RANK(I26,$I$14:$I$25)=1,RANK(I26,$I$14:$I$25)&amp;"st",IF(RANK(I26,$I$14:$I$25)=2,RANK(I26,$I$14:$I$25)&amp;"nd",IF(RANK(I26,$I$14:$I$25)=3,RANK(I26,$I$14:$I$25)&amp;"rd",RANK(I26,$I$14:$I$25)&amp;"th"))),"")</f>
        <v/>
      </c>
      <c r="L26" s="2" t="str">
        <f t="shared" si="3"/>
        <v/>
      </c>
      <c r="M26" s="431" t="str">
        <f>IF(COUNTBLANK($O$15:$P$15),"",IF($O$16="lose",$Q$15,$M$15))</f>
        <v/>
      </c>
      <c r="N26" s="431" t="str">
        <f>IF(COUNTBLANK($O$15:$P$15),"",IF($O$16="lose",$R$15,$N$15))</f>
        <v/>
      </c>
      <c r="O26" s="149"/>
      <c r="P26" s="150"/>
      <c r="Q26" s="431" t="str">
        <f>IF(COUNTBLANK($O$20:$P$20),"",IF($O$21="lose",$Q$20,$M$20))</f>
        <v/>
      </c>
      <c r="R26" s="431" t="str">
        <f>IF(COUNTBLANK($O$20:$P$20),"",IF($O$21="lose",$R$20,$N$20))</f>
        <v/>
      </c>
    </row>
    <row r="27" spans="1:18" ht="15.95" thickBot="1">
      <c r="I27" s="2"/>
      <c r="J27" s="2"/>
      <c r="K27" s="2"/>
      <c r="M27" s="62" t="str">
        <f>IF(OR($O$26="",$P$26="",$O$27="win"),"",IF($M$27&gt;$N$27,$U$5,$U$6))</f>
        <v/>
      </c>
      <c r="N27" s="62" t="str">
        <f>IF(OR($P$26="",$P$26="",$O$27="win"),"",IF($M$27&lt;$N$27,$U$5,$U$6))</f>
        <v/>
      </c>
      <c r="O27" s="2" t="str">
        <f>IF(OR(O26="",P26=""),"",IF((O26&gt;P26),"WIN","LOSE"))</f>
        <v/>
      </c>
      <c r="P27" s="2" t="str">
        <f>IF(OR(O26="",P26=""),"",IF((O26&lt;P26),"WIN","LOSE"))</f>
        <v/>
      </c>
      <c r="Q27" s="62" t="str">
        <f>IF($P$26="lose",$U$5,"")</f>
        <v/>
      </c>
      <c r="R27" s="62" t="str">
        <f>IF($P$26="lose",$U$6,"")</f>
        <v/>
      </c>
    </row>
    <row r="28" spans="1:18" ht="15.95" thickBot="1">
      <c r="A28" s="124">
        <v>45862</v>
      </c>
      <c r="B28" s="44" t="s">
        <v>256</v>
      </c>
      <c r="I28" s="2"/>
      <c r="J28" s="2"/>
      <c r="K28" s="2"/>
      <c r="M28" s="61" t="str">
        <f>IF(M26="","",_xlfn.XLOOKUP(M26,$K$14:$K$25,$I$14:$I$25))</f>
        <v/>
      </c>
      <c r="N28" s="61" t="str">
        <f>IF(N26="","",_xlfn.XLOOKUP(N26,$K$14:$K$25,$I$14:$I$25))</f>
        <v/>
      </c>
      <c r="Q28" s="61" t="str">
        <f>IF(Q26="","",_xlfn.XLOOKUP(Q26,$K$14:$K$25,$I$14:$I$25))</f>
        <v/>
      </c>
      <c r="R28" s="61" t="str">
        <f>IF(R26="","",_xlfn.XLOOKUP(R26,$K$14:$K$25,$I$14:$I$25))</f>
        <v/>
      </c>
    </row>
    <row r="29" spans="1:18">
      <c r="I29" s="2"/>
      <c r="J29" s="2"/>
      <c r="K29" s="2"/>
    </row>
    <row r="30" spans="1:18">
      <c r="I30" s="2"/>
      <c r="J30" s="2"/>
      <c r="K30" s="2"/>
    </row>
    <row r="31" spans="1:18" ht="29.1">
      <c r="M31" s="548" t="s">
        <v>200</v>
      </c>
      <c r="N31" s="549"/>
      <c r="O31" s="549"/>
      <c r="P31" s="549"/>
      <c r="Q31" s="549"/>
      <c r="R31" s="549"/>
    </row>
    <row r="32" spans="1:18">
      <c r="M32" s="418" t="s">
        <v>193</v>
      </c>
      <c r="N32" s="418" t="s">
        <v>194</v>
      </c>
      <c r="O32" s="542" t="s">
        <v>195</v>
      </c>
      <c r="P32" s="543"/>
      <c r="Q32" s="418" t="s">
        <v>196</v>
      </c>
      <c r="R32" s="418" t="s">
        <v>197</v>
      </c>
    </row>
    <row r="33" spans="13:18">
      <c r="M33" s="432" t="str">
        <f>IF(OR($O$26="",$P$26=""),"",IF($O$27="WIN",$M$26,$Q$26))</f>
        <v/>
      </c>
      <c r="N33" s="65"/>
      <c r="O33" s="149"/>
      <c r="P33" s="149"/>
      <c r="Q33" s="432" t="str">
        <f>IF(OR($O$26="",$P$26=""),"",IF($O$27="WIN",$N$26,$R$26))</f>
        <v/>
      </c>
      <c r="R33" s="28"/>
    </row>
    <row r="34" spans="13:18">
      <c r="M34" s="18" t="str">
        <f>IF(OR($O$32="",$P$32=""),"",IF($O$33="win",$U$3,$U$4))</f>
        <v/>
      </c>
      <c r="O34" s="2" t="str">
        <f>IF(OR(O33="",P33=""),"",IF((O33&gt;P33),"WIN","LOSE"))</f>
        <v/>
      </c>
      <c r="P34" s="2" t="str">
        <f>IF(OR(O33="",P33=""),"",IF((O33&lt;P33),"WIN","LOSE"))</f>
        <v/>
      </c>
      <c r="Q34" s="18" t="str">
        <f>IF(OR($O$32="",$P$32=""),"",IF($P$33="win",$U$3,$U$4))</f>
        <v/>
      </c>
    </row>
  </sheetData>
  <sheetProtection algorithmName="SHA-512" hashValue="hEUEb3oXEKP3Xvki4A2GXnrS9+ZR1ztkibBK2MbVFm5T65hpczk99xLLgwz5XcMAWBCNOujgxmJBDG16AypbuQ==" saltValue="uffURsOsn44XeG4rMVz/WA==" spinCount="100000" sheet="1" objects="1" scenarios="1"/>
  <mergeCells count="10">
    <mergeCell ref="A1:A11"/>
    <mergeCell ref="T1:U1"/>
    <mergeCell ref="A13:G13"/>
    <mergeCell ref="M13:R13"/>
    <mergeCell ref="O32:P32"/>
    <mergeCell ref="O14:P14"/>
    <mergeCell ref="O19:P19"/>
    <mergeCell ref="M24:R24"/>
    <mergeCell ref="O25:P25"/>
    <mergeCell ref="M31:R31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69D0-8877-E94B-91DA-87B37F3A62B1}">
  <sheetPr codeName="Sheet26"/>
  <dimension ref="A1:U31"/>
  <sheetViews>
    <sheetView workbookViewId="0">
      <selection sqref="A1:A10"/>
    </sheetView>
    <sheetView workbookViewId="1">
      <selection sqref="A1:A10"/>
    </sheetView>
  </sheetViews>
  <sheetFormatPr defaultColWidth="8.85546875" defaultRowHeight="15"/>
  <cols>
    <col min="1" max="1" width="9.7109375" customWidth="1"/>
    <col min="2" max="2" width="12.28515625" bestFit="1" customWidth="1"/>
    <col min="3" max="4" width="20" customWidth="1"/>
    <col min="5" max="6" width="9.7109375" customWidth="1"/>
    <col min="7" max="7" width="20" customWidth="1"/>
    <col min="8" max="8" width="11.28515625" hidden="1" customWidth="1"/>
    <col min="9" max="9" width="12" hidden="1" customWidth="1"/>
    <col min="10" max="10" width="10.7109375" hidden="1" customWidth="1"/>
    <col min="11" max="11" width="8" hidden="1" customWidth="1"/>
    <col min="12" max="12" width="20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2.140625" bestFit="1" customWidth="1"/>
    <col min="21" max="22" width="9.7109375" bestFit="1" customWidth="1"/>
  </cols>
  <sheetData>
    <row r="1" spans="1:21" ht="15" customHeight="1">
      <c r="A1" s="551" t="s">
        <v>328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294</v>
      </c>
      <c r="U1" s="545"/>
    </row>
    <row r="2" spans="1:21" ht="15" customHeight="1">
      <c r="A2" s="551"/>
      <c r="B2" s="13" t="s">
        <v>178</v>
      </c>
      <c r="C2" s="1" t="str">
        <f>B14</f>
        <v>A1</v>
      </c>
      <c r="D2" s="32" t="str">
        <f>B15</f>
        <v>A2</v>
      </c>
      <c r="E2" s="116"/>
      <c r="F2" s="116"/>
      <c r="G2" s="31" t="str">
        <f>B16</f>
        <v>A3</v>
      </c>
      <c r="H2" s="63"/>
      <c r="I2" s="63"/>
      <c r="J2" s="63"/>
      <c r="K2" s="63"/>
      <c r="L2" s="16" t="str">
        <f>B17</f>
        <v>A4</v>
      </c>
      <c r="M2" s="13" t="str">
        <f>IF(OR(Table4101317251247545298[[#This Row],[SCORE 1]]="",Table4101317251247545298[[#This Row],[SCORE 2]]=""),"",Table4101317251247545298[[#This Row],[SCORE 1]]-Table4101317251247545298[[#This Row],[SCORE 2]])</f>
        <v/>
      </c>
      <c r="N2" s="13" t="str">
        <f>IF(OR(Table4101317251247545298[[#This Row],[SCORE 1]]="",Table4101317251247545298[[#This Row],[SCORE 2]]=""),"",Table4101317251247545298[[#This Row],[SCORE 2]]-Table4101317251247545298[[#This Row],[SCORE 1]])</f>
        <v/>
      </c>
      <c r="O2" s="13" t="str">
        <f>IF(Table4101317251247545298[[#This Row],[SCORE 1]]="","",Table4101317251247545298[[#This Row],[SCORE 1]])</f>
        <v/>
      </c>
      <c r="P2" s="13" t="str">
        <f>IF(Table4101317251247545298[[#This Row],[SCORE 2]]="","",Table4101317251247545298[[#This Row],[SCORE 2]])</f>
        <v/>
      </c>
      <c r="Q2" s="13" t="str">
        <f>IF(OR(Table4101317251247545298[[#This Row],[SCORE 1]]="",Table4101317251247545298[[#This Row],[SCORE 2]]=""),"",IF(Table4101317251247545298[[#This Row],[SALDO 12]]&gt;0, "WIN","LOSE"))</f>
        <v/>
      </c>
      <c r="R2" s="13" t="str">
        <f>IF(OR(Table4101317251247545298[[#This Row],[SCORE 1]]="",Table4101317251247545298[[#This Row],[SCORE 2]]=""),"",IF(Table4101317251247545298[[#This Row],[SALDO 34]]&gt;0, "WIN","LOSE"))</f>
        <v/>
      </c>
      <c r="T2" s="35" t="s">
        <v>179</v>
      </c>
      <c r="U2" s="35" t="s">
        <v>8</v>
      </c>
    </row>
    <row r="3" spans="1:21">
      <c r="A3" s="551"/>
      <c r="B3" s="13" t="s">
        <v>180</v>
      </c>
      <c r="C3" s="1" t="str">
        <f>B20</f>
        <v>B1</v>
      </c>
      <c r="D3" s="32" t="str">
        <f>B21</f>
        <v>B2</v>
      </c>
      <c r="E3" s="116"/>
      <c r="F3" s="116"/>
      <c r="G3" s="31" t="str">
        <f>B22</f>
        <v>B3</v>
      </c>
      <c r="H3" s="63"/>
      <c r="I3" s="63"/>
      <c r="J3" s="63"/>
      <c r="K3" s="63"/>
      <c r="L3" s="16" t="str">
        <f>B23</f>
        <v>B4</v>
      </c>
      <c r="M3" s="13" t="str">
        <f>IF(OR(Table4101317251247545298[[#This Row],[SCORE 1]]="",Table4101317251247545298[[#This Row],[SCORE 2]]=""),"",Table4101317251247545298[[#This Row],[SCORE 1]]-Table4101317251247545298[[#This Row],[SCORE 2]])</f>
        <v/>
      </c>
      <c r="N3" s="13" t="str">
        <f>IF(OR(Table4101317251247545298[[#This Row],[SCORE 1]]="",Table4101317251247545298[[#This Row],[SCORE 2]]=""),"",Table4101317251247545298[[#This Row],[SCORE 2]]-Table4101317251247545298[[#This Row],[SCORE 1]])</f>
        <v/>
      </c>
      <c r="O3" s="13" t="str">
        <f>IF(Table4101317251247545298[[#This Row],[SCORE 1]]="","",Table4101317251247545298[[#This Row],[SCORE 1]])</f>
        <v/>
      </c>
      <c r="P3" s="13" t="str">
        <f>IF(Table4101317251247545298[[#This Row],[SCORE 2]]="","",Table4101317251247545298[[#This Row],[SCORE 2]])</f>
        <v/>
      </c>
      <c r="Q3" s="13" t="str">
        <f>IF(OR(Table4101317251247545298[[#This Row],[SCORE 1]]="",Table4101317251247545298[[#This Row],[SCORE 2]]=""),"",IF(Table4101317251247545298[[#This Row],[SALDO 12]]&gt;0, "WIN","LOSE"))</f>
        <v/>
      </c>
      <c r="R3" s="13" t="str">
        <f>IF(OR(Table4101317251247545298[[#This Row],[SCORE 1]]="",Table4101317251247545298[[#This Row],[SCORE 2]]=""),"",IF(Table4101317251247545298[[#This Row],[SALDO 34]]&gt;0, "WIN","LOSE"))</f>
        <v/>
      </c>
      <c r="T3" s="70" t="str">
        <f>IFERROR(_xlfn.XLOOKUP(Table15202832506072101[[#This Row],[Rank]],$M$22:$R$22,$M$21:$R$21),"")</f>
        <v/>
      </c>
      <c r="U3" s="67" t="s">
        <v>19</v>
      </c>
    </row>
    <row r="4" spans="1:21">
      <c r="A4" s="551"/>
      <c r="B4" s="13" t="s">
        <v>181</v>
      </c>
      <c r="C4" s="1" t="str">
        <f>B26</f>
        <v>C1</v>
      </c>
      <c r="D4" s="32" t="str">
        <f>B27</f>
        <v>C2</v>
      </c>
      <c r="E4" s="116"/>
      <c r="F4" s="116"/>
      <c r="G4" s="31" t="str">
        <f>B28</f>
        <v>C3</v>
      </c>
      <c r="H4" s="63"/>
      <c r="I4" s="63"/>
      <c r="J4" s="63"/>
      <c r="K4" s="63"/>
      <c r="L4" s="16" t="str">
        <f>B29</f>
        <v>C4</v>
      </c>
      <c r="M4" s="13" t="str">
        <f>IF(OR(Table4101317251247545298[[#This Row],[SCORE 1]]="",Table4101317251247545298[[#This Row],[SCORE 2]]=""),"",Table4101317251247545298[[#This Row],[SCORE 1]]-Table4101317251247545298[[#This Row],[SCORE 2]])</f>
        <v/>
      </c>
      <c r="N4" s="13" t="str">
        <f>IF(OR(Table4101317251247545298[[#This Row],[SCORE 1]]="",Table4101317251247545298[[#This Row],[SCORE 2]]=""),"",Table4101317251247545298[[#This Row],[SCORE 2]]-Table4101317251247545298[[#This Row],[SCORE 1]])</f>
        <v/>
      </c>
      <c r="O4" s="13" t="str">
        <f>IF(Table4101317251247545298[[#This Row],[SCORE 1]]="","",Table4101317251247545298[[#This Row],[SCORE 1]])</f>
        <v/>
      </c>
      <c r="P4" s="13" t="str">
        <f>IF(Table4101317251247545298[[#This Row],[SCORE 2]]="","",Table4101317251247545298[[#This Row],[SCORE 2]])</f>
        <v/>
      </c>
      <c r="Q4" s="13" t="str">
        <f>IF(OR(Table4101317251247545298[[#This Row],[SCORE 1]]="",Table4101317251247545298[[#This Row],[SCORE 2]]=""),"",IF(Table4101317251247545298[[#This Row],[SALDO 12]]&gt;0, "WIN","LOSE"))</f>
        <v/>
      </c>
      <c r="R4" s="13" t="str">
        <f>IF(OR(Table4101317251247545298[[#This Row],[SCORE 1]]="",Table4101317251247545298[[#This Row],[SCORE 2]]=""),"",IF(Table4101317251247545298[[#This Row],[SALDO 34]]&gt;0, "WIN","LOSE"))</f>
        <v/>
      </c>
      <c r="T4" s="70" t="str">
        <f>IFERROR(_xlfn.XLOOKUP(Table15202832506072101[[#This Row],[Rank]],$M$22:$R$22,$M$21:$R$21),"")</f>
        <v/>
      </c>
      <c r="U4" s="67" t="s">
        <v>22</v>
      </c>
    </row>
    <row r="5" spans="1:21">
      <c r="A5" s="551"/>
      <c r="B5" s="13" t="s">
        <v>178</v>
      </c>
      <c r="C5" s="1" t="str">
        <f>B14</f>
        <v>A1</v>
      </c>
      <c r="D5" s="32" t="str">
        <f>B17</f>
        <v>A4</v>
      </c>
      <c r="E5" s="116"/>
      <c r="F5" s="116"/>
      <c r="G5" s="31" t="str">
        <f>B15</f>
        <v>A2</v>
      </c>
      <c r="H5" s="63"/>
      <c r="I5" s="63"/>
      <c r="J5" s="63"/>
      <c r="K5" s="63"/>
      <c r="L5" s="16" t="str">
        <f>B16</f>
        <v>A3</v>
      </c>
      <c r="M5" s="13" t="str">
        <f>IF(OR(Table4101317251247545298[[#This Row],[SCORE 1]]="",Table4101317251247545298[[#This Row],[SCORE 2]]=""),"",Table4101317251247545298[[#This Row],[SCORE 1]]-Table4101317251247545298[[#This Row],[SCORE 2]])</f>
        <v/>
      </c>
      <c r="N5" s="13" t="str">
        <f>IF(OR(Table4101317251247545298[[#This Row],[SCORE 1]]="",Table4101317251247545298[[#This Row],[SCORE 2]]=""),"",Table4101317251247545298[[#This Row],[SCORE 2]]-Table4101317251247545298[[#This Row],[SCORE 1]])</f>
        <v/>
      </c>
      <c r="O5" s="13" t="str">
        <f>IF(Table4101317251247545298[[#This Row],[SCORE 1]]="","",Table4101317251247545298[[#This Row],[SCORE 1]])</f>
        <v/>
      </c>
      <c r="P5" s="13" t="str">
        <f>IF(Table4101317251247545298[[#This Row],[SCORE 2]]="","",Table4101317251247545298[[#This Row],[SCORE 2]])</f>
        <v/>
      </c>
      <c r="Q5" s="13" t="str">
        <f>IF(OR(Table4101317251247545298[[#This Row],[SCORE 1]]="",Table4101317251247545298[[#This Row],[SCORE 2]]=""),"",IF(Table4101317251247545298[[#This Row],[SALDO 12]]&gt;0, "WIN","LOSE"))</f>
        <v/>
      </c>
      <c r="R5" s="13" t="str">
        <f>IF(OR(Table4101317251247545298[[#This Row],[SCORE 1]]="",Table4101317251247545298[[#This Row],[SCORE 2]]=""),"",IF(Table4101317251247545298[[#This Row],[SALDO 34]]&gt;0, "WIN","LOSE"))</f>
        <v/>
      </c>
      <c r="T5" s="70" t="str">
        <f>IFERROR(_xlfn.XLOOKUP(Table15202832506072101[[#This Row],[Rank]],$M$15:$R$15,$M$14:$R$14),"")</f>
        <v/>
      </c>
      <c r="U5" s="67" t="s">
        <v>25</v>
      </c>
    </row>
    <row r="6" spans="1:21">
      <c r="A6" s="551"/>
      <c r="B6" s="13" t="s">
        <v>180</v>
      </c>
      <c r="C6" s="1" t="str">
        <f>B20</f>
        <v>B1</v>
      </c>
      <c r="D6" s="32" t="str">
        <f>B23</f>
        <v>B4</v>
      </c>
      <c r="E6" s="116"/>
      <c r="F6" s="116"/>
      <c r="G6" s="31" t="str">
        <f>B21</f>
        <v>B2</v>
      </c>
      <c r="H6" s="63"/>
      <c r="I6" s="63"/>
      <c r="J6" s="63"/>
      <c r="K6" s="63"/>
      <c r="L6" s="16" t="str">
        <f>B22</f>
        <v>B3</v>
      </c>
      <c r="M6" s="13" t="str">
        <f>IF(OR(Table4101317251247545298[[#This Row],[SCORE 1]]="",Table4101317251247545298[[#This Row],[SCORE 2]]=""),"",Table4101317251247545298[[#This Row],[SCORE 1]]-Table4101317251247545298[[#This Row],[SCORE 2]])</f>
        <v/>
      </c>
      <c r="N6" s="13" t="str">
        <f>IF(OR(Table4101317251247545298[[#This Row],[SCORE 1]]="",Table4101317251247545298[[#This Row],[SCORE 2]]=""),"",Table4101317251247545298[[#This Row],[SCORE 2]]-Table4101317251247545298[[#This Row],[SCORE 1]])</f>
        <v/>
      </c>
      <c r="O6" s="13" t="str">
        <f>IF(Table4101317251247545298[[#This Row],[SCORE 1]]="","",Table4101317251247545298[[#This Row],[SCORE 1]])</f>
        <v/>
      </c>
      <c r="P6" s="13" t="str">
        <f>IF(Table4101317251247545298[[#This Row],[SCORE 2]]="","",Table4101317251247545298[[#This Row],[SCORE 2]])</f>
        <v/>
      </c>
      <c r="Q6" s="13" t="str">
        <f>IF(OR(Table4101317251247545298[[#This Row],[SCORE 1]]="",Table4101317251247545298[[#This Row],[SCORE 2]]=""),"",IF(Table4101317251247545298[[#This Row],[SALDO 12]]&gt;0, "WIN","LOSE"))</f>
        <v/>
      </c>
      <c r="R6" s="13" t="str">
        <f>IF(OR(Table4101317251247545298[[#This Row],[SCORE 1]]="",Table4101317251247545298[[#This Row],[SCORE 2]]=""),"",IF(Table4101317251247545298[[#This Row],[SALDO 34]]&gt;0, "WIN","LOSE"))</f>
        <v/>
      </c>
      <c r="T6" s="70" t="str">
        <f>IFERROR(_xlfn.XLOOKUP(Table15202832506072101[[#This Row],[Rank]],$M$15:$R$15,$M$14:$R$14),"")</f>
        <v/>
      </c>
      <c r="U6" s="67" t="s">
        <v>28</v>
      </c>
    </row>
    <row r="7" spans="1:21">
      <c r="A7" s="551"/>
      <c r="B7" s="13" t="s">
        <v>181</v>
      </c>
      <c r="C7" s="1" t="str">
        <f>B26</f>
        <v>C1</v>
      </c>
      <c r="D7" s="32" t="str">
        <f>B29</f>
        <v>C4</v>
      </c>
      <c r="E7" s="116"/>
      <c r="F7" s="116"/>
      <c r="G7" s="31" t="str">
        <f>B27</f>
        <v>C2</v>
      </c>
      <c r="H7" s="63"/>
      <c r="I7" s="63"/>
      <c r="J7" s="63"/>
      <c r="K7" s="63"/>
      <c r="L7" s="16" t="str">
        <f>B28</f>
        <v>C3</v>
      </c>
      <c r="M7" s="13" t="str">
        <f>IF(OR(Table4101317251247545298[[#This Row],[SCORE 1]]="",Table4101317251247545298[[#This Row],[SCORE 2]]=""),"",Table4101317251247545298[[#This Row],[SCORE 1]]-Table4101317251247545298[[#This Row],[SCORE 2]])</f>
        <v/>
      </c>
      <c r="N7" s="13" t="str">
        <f>IF(OR(Table4101317251247545298[[#This Row],[SCORE 1]]="",Table4101317251247545298[[#This Row],[SCORE 2]]=""),"",Table4101317251247545298[[#This Row],[SCORE 2]]-Table4101317251247545298[[#This Row],[SCORE 1]])</f>
        <v/>
      </c>
      <c r="O7" s="13" t="str">
        <f>IF(Table4101317251247545298[[#This Row],[SCORE 1]]="","",Table4101317251247545298[[#This Row],[SCORE 1]])</f>
        <v/>
      </c>
      <c r="P7" s="13" t="str">
        <f>IF(Table4101317251247545298[[#This Row],[SCORE 2]]="","",Table4101317251247545298[[#This Row],[SCORE 2]])</f>
        <v/>
      </c>
      <c r="Q7" s="13" t="str">
        <f>IF(OR(Table4101317251247545298[[#This Row],[SCORE 1]]="",Table4101317251247545298[[#This Row],[SCORE 2]]=""),"",IF(Table4101317251247545298[[#This Row],[SALDO 12]]&gt;0, "WIN","LOSE"))</f>
        <v/>
      </c>
      <c r="R7" s="13" t="str">
        <f>IF(OR(Table4101317251247545298[[#This Row],[SCORE 1]]="",Table4101317251247545298[[#This Row],[SCORE 2]]=""),"",IF(Table4101317251247545298[[#This Row],[SALDO 34]]&gt;0, "WIN","LOSE"))</f>
        <v/>
      </c>
      <c r="T7" s="70" t="str" cm="1">
        <f t="array" ref="T7">IF(COUNTBLANK(Table4101317251247545298[[SCORE 1]:[SCORE 2]])=0,_xlfn.TEXTJOIN(", ", TRUE, _xlfn._xlws.FILTER($K$14:$K$25, $J$14:$J$25=U7, "")),"")</f>
        <v/>
      </c>
      <c r="U7" s="67" t="s">
        <v>31</v>
      </c>
    </row>
    <row r="8" spans="1:21">
      <c r="A8" s="551"/>
      <c r="B8" s="13" t="s">
        <v>178</v>
      </c>
      <c r="C8" s="1" t="str">
        <f>B14</f>
        <v>A1</v>
      </c>
      <c r="D8" s="32" t="str">
        <f>B16</f>
        <v>A3</v>
      </c>
      <c r="E8" s="116"/>
      <c r="F8" s="116"/>
      <c r="G8" s="31" t="str">
        <f>B17</f>
        <v>A4</v>
      </c>
      <c r="H8" s="63"/>
      <c r="I8" s="63"/>
      <c r="J8" s="63"/>
      <c r="K8" s="63"/>
      <c r="L8" s="16" t="str">
        <f>B15</f>
        <v>A2</v>
      </c>
      <c r="M8" s="13" t="str">
        <f>IF(OR(Table4101317251247545298[[#This Row],[SCORE 1]]="",Table4101317251247545298[[#This Row],[SCORE 2]]=""),"",Table4101317251247545298[[#This Row],[SCORE 1]]-Table4101317251247545298[[#This Row],[SCORE 2]])</f>
        <v/>
      </c>
      <c r="N8" s="13" t="str">
        <f>IF(OR(Table4101317251247545298[[#This Row],[SCORE 1]]="",Table4101317251247545298[[#This Row],[SCORE 2]]=""),"",Table4101317251247545298[[#This Row],[SCORE 2]]-Table4101317251247545298[[#This Row],[SCORE 1]])</f>
        <v/>
      </c>
      <c r="O8" s="13" t="str">
        <f>IF(Table4101317251247545298[[#This Row],[SCORE 1]]="","",Table4101317251247545298[[#This Row],[SCORE 1]])</f>
        <v/>
      </c>
      <c r="P8" s="13" t="str">
        <f>IF(Table4101317251247545298[[#This Row],[SCORE 2]]="","",Table4101317251247545298[[#This Row],[SCORE 2]])</f>
        <v/>
      </c>
      <c r="Q8" s="13" t="str">
        <f>IF(OR(Table4101317251247545298[[#This Row],[SCORE 1]]="",Table4101317251247545298[[#This Row],[SCORE 2]]=""),"",IF(Table4101317251247545298[[#This Row],[SALDO 12]]&gt;0, "WIN","LOSE"))</f>
        <v/>
      </c>
      <c r="R8" s="13" t="str">
        <f>IF(OR(Table4101317251247545298[[#This Row],[SCORE 1]]="",Table4101317251247545298[[#This Row],[SCORE 2]]=""),"",IF(Table4101317251247545298[[#This Row],[SALDO 34]]&gt;0, "WIN","LOSE"))</f>
        <v/>
      </c>
      <c r="T8" s="70" t="str" cm="1">
        <f t="array" ref="T8">IF(COUNTBLANK(Table4101317251247545298[[SCORE 1]:[SCORE 2]])=0,_xlfn.TEXTJOIN(", ", TRUE, _xlfn._xlws.FILTER($K$14:$K$25, $J$14:$J$25=U8, "")),"")</f>
        <v/>
      </c>
      <c r="U8" s="67" t="s">
        <v>34</v>
      </c>
    </row>
    <row r="9" spans="1:21">
      <c r="A9" s="551"/>
      <c r="B9" s="13" t="s">
        <v>180</v>
      </c>
      <c r="C9" s="1" t="str">
        <f>B20</f>
        <v>B1</v>
      </c>
      <c r="D9" s="32" t="str">
        <f>B22</f>
        <v>B3</v>
      </c>
      <c r="E9" s="116"/>
      <c r="F9" s="116"/>
      <c r="G9" s="31" t="str">
        <f>B23</f>
        <v>B4</v>
      </c>
      <c r="H9" s="63"/>
      <c r="I9" s="63"/>
      <c r="J9" s="63"/>
      <c r="K9" s="63"/>
      <c r="L9" s="16" t="str">
        <f>B21</f>
        <v>B2</v>
      </c>
      <c r="M9" s="13" t="str">
        <f>IF(OR(Table4101317251247545298[[#This Row],[SCORE 1]]="",Table4101317251247545298[[#This Row],[SCORE 2]]=""),"",Table4101317251247545298[[#This Row],[SCORE 1]]-Table4101317251247545298[[#This Row],[SCORE 2]])</f>
        <v/>
      </c>
      <c r="N9" s="13" t="str">
        <f>IF(OR(Table4101317251247545298[[#This Row],[SCORE 1]]="",Table4101317251247545298[[#This Row],[SCORE 2]]=""),"",Table4101317251247545298[[#This Row],[SCORE 2]]-Table4101317251247545298[[#This Row],[SCORE 1]])</f>
        <v/>
      </c>
      <c r="O9" s="13" t="str">
        <f>IF(Table4101317251247545298[[#This Row],[SCORE 1]]="","",Table4101317251247545298[[#This Row],[SCORE 1]])</f>
        <v/>
      </c>
      <c r="P9" s="13" t="str">
        <f>IF(Table4101317251247545298[[#This Row],[SCORE 2]]="","",Table4101317251247545298[[#This Row],[SCORE 2]])</f>
        <v/>
      </c>
      <c r="Q9" s="13" t="str">
        <f>IF(OR(Table4101317251247545298[[#This Row],[SCORE 1]]="",Table4101317251247545298[[#This Row],[SCORE 2]]=""),"",IF(Table4101317251247545298[[#This Row],[SALDO 12]]&gt;0, "WIN","LOSE"))</f>
        <v/>
      </c>
      <c r="R9" s="13" t="str">
        <f>IF(OR(Table4101317251247545298[[#This Row],[SCORE 1]]="",Table4101317251247545298[[#This Row],[SCORE 2]]=""),"",IF(Table4101317251247545298[[#This Row],[SALDO 34]]&gt;0, "WIN","LOSE"))</f>
        <v/>
      </c>
      <c r="T9" s="70" t="str" cm="1">
        <f t="array" ref="T9">IF(COUNTBLANK(Table4101317251247545298[[SCORE 1]:[SCORE 2]])=0,_xlfn.TEXTJOIN(", ", TRUE, _xlfn._xlws.FILTER($K$14:$K$25, $J$14:$J$25=U9, "")),"")</f>
        <v/>
      </c>
      <c r="U9" s="67" t="s">
        <v>37</v>
      </c>
    </row>
    <row r="10" spans="1:21">
      <c r="A10" s="551"/>
      <c r="B10" s="13" t="s">
        <v>181</v>
      </c>
      <c r="C10" s="1" t="str">
        <f>B26</f>
        <v>C1</v>
      </c>
      <c r="D10" s="32" t="str">
        <f>B28</f>
        <v>C3</v>
      </c>
      <c r="E10" s="116"/>
      <c r="F10" s="116"/>
      <c r="G10" s="31" t="str">
        <f>B29</f>
        <v>C4</v>
      </c>
      <c r="H10" s="63"/>
      <c r="I10" s="63"/>
      <c r="J10" s="63"/>
      <c r="K10" s="63"/>
      <c r="L10" s="16" t="str">
        <f>B27</f>
        <v>C2</v>
      </c>
      <c r="M10" s="13" t="str">
        <f>IF(OR(Table4101317251247545298[[#This Row],[SCORE 1]]="",Table4101317251247545298[[#This Row],[SCORE 2]]=""),"",Table4101317251247545298[[#This Row],[SCORE 1]]-Table4101317251247545298[[#This Row],[SCORE 2]])</f>
        <v/>
      </c>
      <c r="N10" s="13" t="str">
        <f>IF(OR(Table4101317251247545298[[#This Row],[SCORE 1]]="",Table4101317251247545298[[#This Row],[SCORE 2]]=""),"",Table4101317251247545298[[#This Row],[SCORE 2]]-Table4101317251247545298[[#This Row],[SCORE 1]])</f>
        <v/>
      </c>
      <c r="O10" s="13" t="str">
        <f>IF(Table4101317251247545298[[#This Row],[SCORE 1]]="","",Table4101317251247545298[[#This Row],[SCORE 1]])</f>
        <v/>
      </c>
      <c r="P10" s="13" t="str">
        <f>IF(Table4101317251247545298[[#This Row],[SCORE 2]]="","",Table4101317251247545298[[#This Row],[SCORE 2]])</f>
        <v/>
      </c>
      <c r="Q10" s="13" t="str">
        <f>IF(OR(Table4101317251247545298[[#This Row],[SCORE 1]]="",Table4101317251247545298[[#This Row],[SCORE 2]]=""),"",IF(Table4101317251247545298[[#This Row],[SALDO 12]]&gt;0, "WIN","LOSE"))</f>
        <v/>
      </c>
      <c r="R10" s="13" t="str">
        <f>IF(OR(Table4101317251247545298[[#This Row],[SCORE 1]]="",Table4101317251247545298[[#This Row],[SCORE 2]]=""),"",IF(Table4101317251247545298[[#This Row],[SALDO 34]]&gt;0, "WIN","LOSE"))</f>
        <v/>
      </c>
      <c r="T10" s="70" t="str" cm="1">
        <f t="array" ref="T10">IF(COUNTBLANK(Table4101317251247545298[[SCORE 1]:[SCORE 2]])=0,_xlfn.TEXTJOIN(", ", TRUE, _xlfn._xlws.FILTER($K$14:$K$25, $J$14:$J$25=U10, "")),"")</f>
        <v/>
      </c>
      <c r="U10" s="67" t="s">
        <v>41</v>
      </c>
    </row>
    <row r="11" spans="1:21" ht="30" customHeight="1">
      <c r="T11" s="70" t="str" cm="1">
        <f t="array" ref="T11">IF(COUNTBLANK(Table4101317251247545298[[SCORE 1]:[SCORE 2]])=0,_xlfn.TEXTJOIN(", ", TRUE, _xlfn._xlws.FILTER($K$14:$K$25, $J$14:$J$25=U11, "")),"")</f>
        <v/>
      </c>
      <c r="U11" s="67" t="s">
        <v>44</v>
      </c>
    </row>
    <row r="12" spans="1:21" ht="30" customHeight="1">
      <c r="A12" s="546" t="s">
        <v>182</v>
      </c>
      <c r="B12" s="547"/>
      <c r="C12" s="547"/>
      <c r="D12" s="547"/>
      <c r="E12" s="547"/>
      <c r="F12" s="547"/>
      <c r="G12" s="547"/>
      <c r="H12" s="420"/>
      <c r="I12" s="420"/>
      <c r="J12" s="420"/>
      <c r="K12" s="420"/>
      <c r="M12" s="548" t="s">
        <v>199</v>
      </c>
      <c r="N12" s="549"/>
      <c r="O12" s="549"/>
      <c r="P12" s="549"/>
      <c r="Q12" s="549"/>
      <c r="R12" s="549"/>
      <c r="T12" s="70" t="str" cm="1">
        <f t="array" ref="T12">IF(COUNTBLANK(Table4101317251247545298[[SCORE 1]:[SCORE 2]])=0,_xlfn.TEXTJOIN(", ", TRUE, _xlfn._xlws.FILTER($K$14:$K$25, $J$14:$J$25=U12, "")),"")</f>
        <v/>
      </c>
      <c r="U12" s="67" t="s">
        <v>39</v>
      </c>
    </row>
    <row r="13" spans="1:21" ht="15.95">
      <c r="A13" s="6" t="s">
        <v>184</v>
      </c>
      <c r="B13" s="7" t="s">
        <v>203</v>
      </c>
      <c r="C13" s="7" t="s">
        <v>186</v>
      </c>
      <c r="D13" s="7" t="s">
        <v>187</v>
      </c>
      <c r="E13" s="7" t="s">
        <v>188</v>
      </c>
      <c r="F13" s="7" t="s">
        <v>189</v>
      </c>
      <c r="G13" s="7" t="s">
        <v>8</v>
      </c>
      <c r="H13" s="80" t="s">
        <v>204</v>
      </c>
      <c r="I13" s="20" t="s">
        <v>191</v>
      </c>
      <c r="J13" s="20" t="s">
        <v>192</v>
      </c>
      <c r="K13" s="20" t="s">
        <v>1</v>
      </c>
      <c r="M13" s="418" t="s">
        <v>193</v>
      </c>
      <c r="N13" s="418" t="s">
        <v>194</v>
      </c>
      <c r="O13" s="542" t="s">
        <v>195</v>
      </c>
      <c r="P13" s="543"/>
      <c r="Q13" s="418" t="s">
        <v>196</v>
      </c>
      <c r="R13" s="418" t="s">
        <v>197</v>
      </c>
      <c r="T13" s="70" t="str" cm="1">
        <f t="array" ref="T13">IF(COUNTBLANK(Table4101317251247545298[[SCORE 1]:[SCORE 2]])=0,_xlfn.TEXTJOIN(", ", TRUE, _xlfn._xlws.FILTER($K$14:$K$25, $J$14:$J$25=U13, "")),"")</f>
        <v/>
      </c>
      <c r="U13" s="67" t="s">
        <v>49</v>
      </c>
    </row>
    <row r="14" spans="1:21">
      <c r="A14" s="4" t="s">
        <v>178</v>
      </c>
      <c r="B14" s="118" t="s">
        <v>205</v>
      </c>
      <c r="C14" s="14">
        <f>SUM(COUNTIFS(Table4101317251247545298[ATHLETE 1],Table36111418263048555399[[#This Row],[Athletes]],Table4101317251247545298[RESULT 12],Table36111418263048555399[[#Headers],[WIN]]),COUNTIFS(Table4101317251247545298[ATHLETE 2],Table36111418263048555399[[#This Row],[Athletes]],Table4101317251247545298[RESULT 12],Table36111418263048555399[[#Headers],[WIN]]),COUNTIFS(Table4101317251247545298[ATHLETE 3],Table36111418263048555399[[#This Row],[Athletes]],Table4101317251247545298[RESULT 34],Table36111418263048555399[[#Headers],[WIN]]),COUNTIFS(Table4101317251247545298[ATHLETE 4],Table36111418263048555399[[#This Row],[Athletes]],Table4101317251247545298[RESULT 34],Table36111418263048555399[[#Headers],[WIN]]))</f>
        <v>0</v>
      </c>
      <c r="D14" s="14">
        <f>SUM(COUNTIFS(Table4101317251247545298[ATHLETE 1],Table36111418263048555399[[#This Row],[Athletes]],Table4101317251247545298[RESULT 12],Table36111418263048555399[[#Headers],[LOSE]]),COUNTIFS(Table4101317251247545298[ATHLETE 2],Table36111418263048555399[[#This Row],[Athletes]],Table4101317251247545298[RESULT 12],Table36111418263048555399[[#Headers],[LOSE]]),COUNTIFS(Table4101317251247545298[ATHLETE 3],Table36111418263048555399[[#This Row],[Athletes]],Table4101317251247545298[RESULT 34],Table36111418263048555399[[#Headers],[LOSE]]),COUNTIFS(Table4101317251247545298[ATHLETE 4],Table36111418263048555399[[#This Row],[Athletes]],Table4101317251247545298[RESULT 34],Table36111418263048555399[[#Headers],[LOSE]]))</f>
        <v>0</v>
      </c>
      <c r="E14" s="19">
        <f>SUM(SUMIF(Table4101317251247545298[ATHLETE 1],Table36111418263048555399[[#This Row],[Athletes]],Table4101317251247545298[SALDO 12]),SUMIF(Table4101317251247545298[ATHLETE 2],Table36111418263048555399[[#This Row],[Athletes]],Table4101317251247545298[SALDO 12]),SUMIF(Table4101317251247545298[ATHLETE 3],Table36111418263048555399[[#This Row],[Athletes]],Table4101317251247545298[SALDO 34]),SUMIF(Table4101317251247545298[ATHLETE 4],Table36111418263048555399[[#This Row],[Athletes]],Table4101317251247545298[SALDO 34]))</f>
        <v>0</v>
      </c>
      <c r="F14" s="19">
        <f>SUM(SUMIF(Table4101317251247545298[ATHLETE 1],Table36111418263048555399[[#This Row],[Athletes]],Table4101317251247545298[PM 12]),SUMIF(Table4101317251247545298[ATHLETE 2],Table36111418263048555399[[#This Row],[Athletes]],Table4101317251247545298[PM 12]),SUMIF(Table4101317251247545298[ATHLETE 3],Table36111418263048555399[[#This Row],[Athletes]],Table4101317251247545298[PM 34]),SUMIF(Table4101317251247545298[ATHLETE 4],Table36111418263048555399[[#This Row],[Athletes]],Table4101317251247545298[PM 34]))</f>
        <v>0</v>
      </c>
      <c r="G14" s="14" t="str">
        <f>IF(COUNTBLANK(Table4101317251247545298[[SCORE 1]:[SCORE 2]])=0,IF(RANK(H14,$H$14:$H$17)=1,RANK(H14,$H$14:$H$17)&amp;"st",IF(RANK(H14,$H$14:$H$17)=2,RANK(H14,$H$14:$H$17)&amp;"nd",RANK(H14,$H$14:$H$17)&amp;"th")),"")</f>
        <v/>
      </c>
      <c r="H14" s="51">
        <f>Table36111418263048555399[[#This Row],[WIN]]*1000000+Table36111418263048555399[[#This Row],[Saldo]]*1000+Table36111418263048555399[[#This Row],[PM]]</f>
        <v>0</v>
      </c>
      <c r="I14" s="2">
        <f>H14</f>
        <v>0</v>
      </c>
      <c r="J14" s="2" t="str">
        <f t="shared" ref="J14:J25" si="0">IF(RANK(I14,$I$14:$I$25)=1,RANK(I14,$I$14:$I$25)&amp;"st",IF(RANK(I14,$I$14:$I$25)=2,RANK(I14,$I$14:$I$25)&amp;"nd",IF(RANK(I14,$I$14:$I$25)=3,RANK(I14,$I$14:$I$25)&amp;"rd",RANK(I14,$I$14:$I$25)&amp;"th")))</f>
        <v>1st</v>
      </c>
      <c r="K14" s="38" t="str">
        <f>Table36111418263048555399[[#This Row],[Athletes]]</f>
        <v>A1</v>
      </c>
      <c r="M14" s="431" t="str">
        <f>IF(COUNTBLANK(Table4101317251247545298[[SCORE 1]:[SCORE 2]])=0,_xlfn.XLOOKUP($U$3,$J$14:$J$25,$K$14:$K$25),"")</f>
        <v/>
      </c>
      <c r="N14" s="431" t="str">
        <f>IF(COUNTBLANK(Table4101317251247545298[[SCORE 1]:[SCORE 2]])=0,_xlfn.XLOOKUP($U$4,$J$14:$J$25,$K$14:$K$25),"")</f>
        <v/>
      </c>
      <c r="O14" s="64"/>
      <c r="P14" s="37"/>
      <c r="Q14" s="431" t="str">
        <f>IF(COUNTBLANK(Table4101317251247545298[[SCORE 1]:[SCORE 2]])=0,_xlfn.XLOOKUP($U$5,$J$14:$J$25,$K$14:$K$25),"")</f>
        <v/>
      </c>
      <c r="R14" s="431" t="str">
        <f>IF(COUNTBLANK(Table4101317251247545298[[SCORE 1]:[SCORE 2]])=0,_xlfn.XLOOKUP($U$6,$J$14:$J$25,$K$14:$K$25),"")</f>
        <v/>
      </c>
      <c r="S14" s="68"/>
      <c r="T14" s="70" t="str" cm="1">
        <f t="array" ref="T14">IF(COUNTBLANK(Table4101317251247545298[[SCORE 1]:[SCORE 2]])=0,_xlfn.TEXTJOIN(", ", TRUE, _xlfn._xlws.FILTER($K$14:$K$25, $J$14:$J$25=U14, "")),"")</f>
        <v/>
      </c>
      <c r="U14" s="67" t="s">
        <v>51</v>
      </c>
    </row>
    <row r="15" spans="1:21">
      <c r="A15" s="3" t="s">
        <v>178</v>
      </c>
      <c r="B15" s="118" t="s">
        <v>206</v>
      </c>
      <c r="C15" s="14">
        <f>SUM(COUNTIFS(Table4101317251247545298[ATHLETE 1],Table36111418263048555399[[#This Row],[Athletes]],Table4101317251247545298[RESULT 12],Table36111418263048555399[[#Headers],[WIN]]),COUNTIFS(Table4101317251247545298[ATHLETE 2],Table36111418263048555399[[#This Row],[Athletes]],Table4101317251247545298[RESULT 12],Table36111418263048555399[[#Headers],[WIN]]),COUNTIFS(Table4101317251247545298[ATHLETE 3],Table36111418263048555399[[#This Row],[Athletes]],Table4101317251247545298[RESULT 34],Table36111418263048555399[[#Headers],[WIN]]),COUNTIFS(Table4101317251247545298[ATHLETE 4],Table36111418263048555399[[#This Row],[Athletes]],Table4101317251247545298[RESULT 34],Table36111418263048555399[[#Headers],[WIN]]))</f>
        <v>0</v>
      </c>
      <c r="D15" s="14">
        <f>SUM(COUNTIFS(Table4101317251247545298[ATHLETE 1],Table36111418263048555399[[#This Row],[Athletes]],Table4101317251247545298[RESULT 12],Table36111418263048555399[[#Headers],[LOSE]]),COUNTIFS(Table4101317251247545298[ATHLETE 2],Table36111418263048555399[[#This Row],[Athletes]],Table4101317251247545298[RESULT 12],Table36111418263048555399[[#Headers],[LOSE]]),COUNTIFS(Table4101317251247545298[ATHLETE 3],Table36111418263048555399[[#This Row],[Athletes]],Table4101317251247545298[RESULT 34],Table36111418263048555399[[#Headers],[LOSE]]),COUNTIFS(Table4101317251247545298[ATHLETE 4],Table36111418263048555399[[#This Row],[Athletes]],Table4101317251247545298[RESULT 34],Table36111418263048555399[[#Headers],[LOSE]]))</f>
        <v>0</v>
      </c>
      <c r="E15" s="19">
        <f>SUM(SUMIF(Table4101317251247545298[ATHLETE 1],Table36111418263048555399[[#This Row],[Athletes]],Table4101317251247545298[SALDO 12]),SUMIF(Table4101317251247545298[ATHLETE 2],Table36111418263048555399[[#This Row],[Athletes]],Table4101317251247545298[SALDO 12]),SUMIF(Table4101317251247545298[ATHLETE 3],Table36111418263048555399[[#This Row],[Athletes]],Table4101317251247545298[SALDO 34]),SUMIF(Table4101317251247545298[ATHLETE 4],Table36111418263048555399[[#This Row],[Athletes]],Table4101317251247545298[SALDO 34]))</f>
        <v>0</v>
      </c>
      <c r="F15" s="19">
        <f>SUM(SUMIF(Table4101317251247545298[ATHLETE 1],Table36111418263048555399[[#This Row],[Athletes]],Table4101317251247545298[PM 12]),SUMIF(Table4101317251247545298[ATHLETE 2],Table36111418263048555399[[#This Row],[Athletes]],Table4101317251247545298[PM 12]),SUMIF(Table4101317251247545298[ATHLETE 3],Table36111418263048555399[[#This Row],[Athletes]],Table4101317251247545298[PM 34]),SUMIF(Table4101317251247545298[ATHLETE 4],Table36111418263048555399[[#This Row],[Athletes]],Table4101317251247545298[PM 34]))</f>
        <v>0</v>
      </c>
      <c r="G15" s="14" t="str">
        <f>IF(COUNTBLANK(Table4101317251247545298[[SCORE 1]:[SCORE 2]])=0,IF(RANK(H15,$H$14:$H$17)=1,RANK(H15,$H$14:$H$17)&amp;"st",IF(RANK(H15,$H$14:$H$17)=2,RANK(H15,$H$14:$H$17)&amp;"nd",RANK(H15,$H$14:$H$17)&amp;"th")),"")</f>
        <v/>
      </c>
      <c r="H15" s="51">
        <f>Table36111418263048555399[[#This Row],[WIN]]*1000000+Table36111418263048555399[[#This Row],[Saldo]]*1000+Table36111418263048555399[[#This Row],[PM]]</f>
        <v>0</v>
      </c>
      <c r="I15" s="2">
        <f t="shared" ref="I15:I17" si="1">H15</f>
        <v>0</v>
      </c>
      <c r="J15" s="2" t="str">
        <f t="shared" si="0"/>
        <v>1st</v>
      </c>
      <c r="K15" s="38" t="str">
        <f>Table36111418263048555399[[#This Row],[Athletes]]</f>
        <v>A2</v>
      </c>
      <c r="M15" s="62" t="str">
        <f>IF(OR($O$14="",$P$14="",$O$15="win"),"",IF($M$16&gt;$N$16,$U$5,$U$6))</f>
        <v/>
      </c>
      <c r="N15" s="62" t="str">
        <f>IF(OR($O$14="",$P$14="",$O$15="win"),"",IF($M$16&lt;$N$16,$U$5,$U$6))</f>
        <v/>
      </c>
      <c r="O15" s="2" t="str">
        <f>IF(OR(O14="",P14=""),"",IF((O14&gt;P14),"WIN","LOSE"))</f>
        <v/>
      </c>
      <c r="P15" s="2" t="str">
        <f>IF(OR(O14="",P14=""),"",IF((O14&lt;P14),"WIN","LOSE"))</f>
        <v/>
      </c>
      <c r="Q15" s="62" t="str">
        <f>IF(OR($O$14="",$P$14="",$P$15="win"),"",IF($Q$16&gt;$R$16,$U$5,$U$6))</f>
        <v/>
      </c>
      <c r="R15" s="62" t="str">
        <f>IF(OR($O$14="",$P$14="",$P$15="win"),"",IF($Q$16&lt;$R$16,$U$5,$U$6))</f>
        <v/>
      </c>
      <c r="S15" s="17"/>
    </row>
    <row r="16" spans="1:21">
      <c r="A16" s="3" t="s">
        <v>178</v>
      </c>
      <c r="B16" s="118" t="s">
        <v>207</v>
      </c>
      <c r="C16" s="14">
        <f>SUM(COUNTIFS(Table4101317251247545298[ATHLETE 1],Table36111418263048555399[[#This Row],[Athletes]],Table4101317251247545298[RESULT 12],Table36111418263048555399[[#Headers],[WIN]]),COUNTIFS(Table4101317251247545298[ATHLETE 2],Table36111418263048555399[[#This Row],[Athletes]],Table4101317251247545298[RESULT 12],Table36111418263048555399[[#Headers],[WIN]]),COUNTIFS(Table4101317251247545298[ATHLETE 3],Table36111418263048555399[[#This Row],[Athletes]],Table4101317251247545298[RESULT 34],Table36111418263048555399[[#Headers],[WIN]]),COUNTIFS(Table4101317251247545298[ATHLETE 4],Table36111418263048555399[[#This Row],[Athletes]],Table4101317251247545298[RESULT 34],Table36111418263048555399[[#Headers],[WIN]]))</f>
        <v>0</v>
      </c>
      <c r="D16" s="14">
        <f>SUM(COUNTIFS(Table4101317251247545298[ATHLETE 1],Table36111418263048555399[[#This Row],[Athletes]],Table4101317251247545298[RESULT 12],Table36111418263048555399[[#Headers],[LOSE]]),COUNTIFS(Table4101317251247545298[ATHLETE 2],Table36111418263048555399[[#This Row],[Athletes]],Table4101317251247545298[RESULT 12],Table36111418263048555399[[#Headers],[LOSE]]),COUNTIFS(Table4101317251247545298[ATHLETE 3],Table36111418263048555399[[#This Row],[Athletes]],Table4101317251247545298[RESULT 34],Table36111418263048555399[[#Headers],[LOSE]]),COUNTIFS(Table4101317251247545298[ATHLETE 4],Table36111418263048555399[[#This Row],[Athletes]],Table4101317251247545298[RESULT 34],Table36111418263048555399[[#Headers],[LOSE]]))</f>
        <v>0</v>
      </c>
      <c r="E16" s="19">
        <f>SUM(SUMIF(Table4101317251247545298[ATHLETE 1],Table36111418263048555399[[#This Row],[Athletes]],Table4101317251247545298[SALDO 12]),SUMIF(Table4101317251247545298[ATHLETE 2],Table36111418263048555399[[#This Row],[Athletes]],Table4101317251247545298[SALDO 12]),SUMIF(Table4101317251247545298[ATHLETE 3],Table36111418263048555399[[#This Row],[Athletes]],Table4101317251247545298[SALDO 34]),SUMIF(Table4101317251247545298[ATHLETE 4],Table36111418263048555399[[#This Row],[Athletes]],Table4101317251247545298[SALDO 34]))</f>
        <v>0</v>
      </c>
      <c r="F16" s="19">
        <f>SUM(SUMIF(Table4101317251247545298[ATHLETE 1],Table36111418263048555399[[#This Row],[Athletes]],Table4101317251247545298[PM 12]),SUMIF(Table4101317251247545298[ATHLETE 2],Table36111418263048555399[[#This Row],[Athletes]],Table4101317251247545298[PM 12]),SUMIF(Table4101317251247545298[ATHLETE 3],Table36111418263048555399[[#This Row],[Athletes]],Table4101317251247545298[PM 34]),SUMIF(Table4101317251247545298[ATHLETE 4],Table36111418263048555399[[#This Row],[Athletes]],Table4101317251247545298[PM 34]))</f>
        <v>0</v>
      </c>
      <c r="G16" s="14" t="str">
        <f>IF(COUNTBLANK(Table4101317251247545298[[SCORE 1]:[SCORE 2]])=0,IF(RANK(H16,$H$14:$H$17)=1,RANK(H16,$H$14:$H$17)&amp;"st",IF(RANK(H16,$H$14:$H$17)=2,RANK(H16,$H$14:$H$17)&amp;"nd",RANK(H16,$H$14:$H$17)&amp;"th")),"")</f>
        <v/>
      </c>
      <c r="H16" s="51">
        <f>Table36111418263048555399[[#This Row],[WIN]]*1000000+Table36111418263048555399[[#This Row],[Saldo]]*1000+Table36111418263048555399[[#This Row],[PM]]</f>
        <v>0</v>
      </c>
      <c r="I16" s="2">
        <f t="shared" si="1"/>
        <v>0</v>
      </c>
      <c r="J16" s="2" t="str">
        <f t="shared" si="0"/>
        <v>1st</v>
      </c>
      <c r="K16" s="38" t="str">
        <f>Table36111418263048555399[[#This Row],[Athletes]]</f>
        <v>A3</v>
      </c>
      <c r="M16" s="61" t="str">
        <f>IF(M14="","",_xlfn.XLOOKUP(M14,$K$14:$K$25,$I$14:$I$25))</f>
        <v/>
      </c>
      <c r="N16" s="61" t="str">
        <f>IF(N14="","",_xlfn.XLOOKUP(N14,$K$14:$K$25,$I$14:$I$25))</f>
        <v/>
      </c>
      <c r="Q16" s="61" t="str">
        <f>IF(Q14="","",_xlfn.XLOOKUP(Q14,$K$14:$K$25,$I$14:$I$25))</f>
        <v/>
      </c>
      <c r="R16" s="61" t="str">
        <f>IF(R14="","",_xlfn.XLOOKUP(R14,$K$14:$K$25,$I$14:$I$25))</f>
        <v/>
      </c>
    </row>
    <row r="17" spans="1:21" ht="15.95">
      <c r="A17" s="5" t="s">
        <v>178</v>
      </c>
      <c r="B17" s="118" t="s">
        <v>208</v>
      </c>
      <c r="C17" s="14">
        <f>SUM(COUNTIFS(Table4101317251247545298[ATHLETE 1],Table36111418263048555399[[#This Row],[Athletes]],Table4101317251247545298[RESULT 12],Table36111418263048555399[[#Headers],[WIN]]),COUNTIFS(Table4101317251247545298[ATHLETE 2],Table36111418263048555399[[#This Row],[Athletes]],Table4101317251247545298[RESULT 12],Table36111418263048555399[[#Headers],[WIN]]),COUNTIFS(Table4101317251247545298[ATHLETE 3],Table36111418263048555399[[#This Row],[Athletes]],Table4101317251247545298[RESULT 34],Table36111418263048555399[[#Headers],[WIN]]),COUNTIFS(Table4101317251247545298[ATHLETE 4],Table36111418263048555399[[#This Row],[Athletes]],Table4101317251247545298[RESULT 34],Table36111418263048555399[[#Headers],[WIN]]))</f>
        <v>0</v>
      </c>
      <c r="D17" s="14">
        <f>SUM(COUNTIFS(Table4101317251247545298[ATHLETE 1],Table36111418263048555399[[#This Row],[Athletes]],Table4101317251247545298[RESULT 12],Table36111418263048555399[[#Headers],[LOSE]]),COUNTIFS(Table4101317251247545298[ATHLETE 2],Table36111418263048555399[[#This Row],[Athletes]],Table4101317251247545298[RESULT 12],Table36111418263048555399[[#Headers],[LOSE]]),COUNTIFS(Table4101317251247545298[ATHLETE 3],Table36111418263048555399[[#This Row],[Athletes]],Table4101317251247545298[RESULT 34],Table36111418263048555399[[#Headers],[LOSE]]),COUNTIFS(Table4101317251247545298[ATHLETE 4],Table36111418263048555399[[#This Row],[Athletes]],Table4101317251247545298[RESULT 34],Table36111418263048555399[[#Headers],[LOSE]]))</f>
        <v>0</v>
      </c>
      <c r="E17" s="19">
        <f>SUM(SUMIF(Table4101317251247545298[ATHLETE 1],Table36111418263048555399[[#This Row],[Athletes]],Table4101317251247545298[SALDO 12]),SUMIF(Table4101317251247545298[ATHLETE 2],Table36111418263048555399[[#This Row],[Athletes]],Table4101317251247545298[SALDO 12]),SUMIF(Table4101317251247545298[ATHLETE 3],Table36111418263048555399[[#This Row],[Athletes]],Table4101317251247545298[SALDO 34]),SUMIF(Table4101317251247545298[ATHLETE 4],Table36111418263048555399[[#This Row],[Athletes]],Table4101317251247545298[SALDO 34]))</f>
        <v>0</v>
      </c>
      <c r="F17" s="19">
        <f>SUM(SUMIF(Table4101317251247545298[ATHLETE 1],Table36111418263048555399[[#This Row],[Athletes]],Table4101317251247545298[PM 12]),SUMIF(Table4101317251247545298[ATHLETE 2],Table36111418263048555399[[#This Row],[Athletes]],Table4101317251247545298[PM 12]),SUMIF(Table4101317251247545298[ATHLETE 3],Table36111418263048555399[[#This Row],[Athletes]],Table4101317251247545298[PM 34]),SUMIF(Table4101317251247545298[ATHLETE 4],Table36111418263048555399[[#This Row],[Athletes]],Table4101317251247545298[PM 34]))</f>
        <v>0</v>
      </c>
      <c r="G17" s="14" t="str">
        <f>IF(COUNTBLANK(Table4101317251247545298[[SCORE 1]:[SCORE 2]])=0,IF(RANK(H17,$H$14:$H$17)=1,RANK(H17,$H$14:$H$17)&amp;"st",IF(RANK(H17,$H$14:$H$17)=2,RANK(H17,$H$14:$H$17)&amp;"nd",RANK(H17,$H$14:$H$17)&amp;"th")),"")</f>
        <v/>
      </c>
      <c r="H17" s="51">
        <f>Table36111418263048555399[[#This Row],[WIN]]*1000000+Table36111418263048555399[[#This Row],[Saldo]]*1000+Table36111418263048555399[[#This Row],[PM]]</f>
        <v>0</v>
      </c>
      <c r="I17" s="2">
        <f t="shared" si="1"/>
        <v>0</v>
      </c>
      <c r="J17" s="2" t="str">
        <f t="shared" si="0"/>
        <v>1st</v>
      </c>
      <c r="K17" s="38" t="str">
        <f>Table36111418263048555399[[#This Row],[Athletes]]</f>
        <v>A4</v>
      </c>
      <c r="T17" s="44"/>
      <c r="U17" s="44"/>
    </row>
    <row r="18" spans="1:21">
      <c r="I18" s="2">
        <f>H20</f>
        <v>0</v>
      </c>
      <c r="J18" s="2" t="str">
        <f t="shared" si="0"/>
        <v>1st</v>
      </c>
      <c r="K18" s="38" t="str">
        <f>B20</f>
        <v>B1</v>
      </c>
    </row>
    <row r="19" spans="1:21" s="44" customFormat="1" ht="28.5" customHeight="1">
      <c r="A19" s="9" t="s">
        <v>184</v>
      </c>
      <c r="B19" s="48" t="s">
        <v>203</v>
      </c>
      <c r="C19" s="48" t="s">
        <v>186</v>
      </c>
      <c r="D19" s="48" t="s">
        <v>187</v>
      </c>
      <c r="E19" s="48" t="s">
        <v>188</v>
      </c>
      <c r="F19" s="48" t="s">
        <v>189</v>
      </c>
      <c r="G19" s="43" t="s">
        <v>8</v>
      </c>
      <c r="H19" s="79" t="s">
        <v>204</v>
      </c>
      <c r="I19" s="2">
        <f t="shared" ref="I19:I21" si="2">H21</f>
        <v>0</v>
      </c>
      <c r="J19" s="2" t="str">
        <f t="shared" si="0"/>
        <v>1st</v>
      </c>
      <c r="K19" s="38" t="str">
        <f t="shared" ref="K19:K21" si="3">B21</f>
        <v>B2</v>
      </c>
      <c r="M19" s="548" t="s">
        <v>200</v>
      </c>
      <c r="N19" s="549"/>
      <c r="O19" s="549"/>
      <c r="P19" s="549"/>
      <c r="Q19" s="549"/>
      <c r="R19" s="549"/>
      <c r="T19"/>
      <c r="U19"/>
    </row>
    <row r="20" spans="1:21">
      <c r="A20" s="430" t="s">
        <v>180</v>
      </c>
      <c r="B20" s="118" t="s">
        <v>209</v>
      </c>
      <c r="C20" s="14">
        <f>SUM(COUNTIFS(Table4101317251247545298[ATHLETE 1],Table61215192731495671100[[#This Row],[Athletes]],Table4101317251247545298[RESULT 12],Table36111418263048555399[[#Headers],[WIN]]),COUNTIFS(Table4101317251247545298[ATHLETE 2],Table61215192731495671100[[#This Row],[Athletes]],Table4101317251247545298[RESULT 12],Table36111418263048555399[[#Headers],[WIN]]),COUNTIFS(Table4101317251247545298[ATHLETE 3],Table61215192731495671100[[#This Row],[Athletes]],Table4101317251247545298[RESULT 34],Table36111418263048555399[[#Headers],[WIN]]),COUNTIFS(Table4101317251247545298[ATHLETE 4],Table61215192731495671100[[#This Row],[Athletes]],Table4101317251247545298[RESULT 34],Table36111418263048555399[[#Headers],[WIN]]))</f>
        <v>0</v>
      </c>
      <c r="D20" s="12">
        <f>SUM(COUNTIFS(Table4101317251247545298[ATHLETE 1],Table61215192731495671100[[#This Row],[Athletes]],Table4101317251247545298[RESULT 12],Table36111418263048555399[[#Headers],[LOSE]]),COUNTIFS(Table4101317251247545298[ATHLETE 2],Table61215192731495671100[[#This Row],[Athletes]],Table4101317251247545298[RESULT 12],Table36111418263048555399[[#Headers],[LOSE]]),COUNTIFS(Table4101317251247545298[ATHLETE 3],Table61215192731495671100[[#This Row],[Athletes]],Table4101317251247545298[RESULT 34],Table36111418263048555399[[#Headers],[LOSE]]),COUNTIFS(Table4101317251247545298[ATHLETE 4],Table61215192731495671100[[#This Row],[Athletes]],Table4101317251247545298[RESULT 34],Table36111418263048555399[[#Headers],[LOSE]]))</f>
        <v>0</v>
      </c>
      <c r="E20" s="19">
        <f>SUM(SUMIF(Table4101317251247545298[ATHLETE 1],Table61215192731495671100[[#This Row],[Athletes]],Table4101317251247545298[SALDO 12]),SUMIF(Table4101317251247545298[ATHLETE 2],Table61215192731495671100[[#This Row],[Athletes]],Table4101317251247545298[SALDO 12]),SUMIF(Table4101317251247545298[ATHLETE 3],Table61215192731495671100[[#This Row],[Athletes]],Table4101317251247545298[SALDO 34]),SUMIF(Table4101317251247545298[ATHLETE 4],Table61215192731495671100[[#This Row],[Athletes]],Table4101317251247545298[SALDO 34]))</f>
        <v>0</v>
      </c>
      <c r="F20" s="19">
        <f>SUM(SUMIF(Table4101317251247545298[ATHLETE 1],Table61215192731495671100[[#This Row],[Athletes]],Table4101317251247545298[PM 12]),SUMIF(Table4101317251247545298[ATHLETE 2],Table61215192731495671100[[#This Row],[Athletes]],Table4101317251247545298[PM 12]),SUMIF(Table4101317251247545298[ATHLETE 3],Table61215192731495671100[[#This Row],[Athletes]],Table4101317251247545298[PM 34]),SUMIF(Table4101317251247545298[ATHLETE 4],Table61215192731495671100[[#This Row],[Athletes]],Table4101317251247545298[PM 34]))</f>
        <v>0</v>
      </c>
      <c r="G20" s="14" t="str">
        <f>IF(COUNTBLANK(Table4101317251247545298[[SCORE 1]:[SCORE 2]])=0,IF(RANK(H20,$H$20:$H$23)=1,RANK(H20,$H$20:$H$23)&amp;"st",IF(RANK(H20,$H$20:$H$23)=2,RANK(H20,$H$20:$H$23)&amp;"nd",RANK(H20,$H$20:$H$23)&amp;"th")),"")</f>
        <v/>
      </c>
      <c r="H20" s="51">
        <f>Table61215192731495671100[[#This Row],[WIN]]*1000000+Table61215192731495671100[[#This Row],[Saldo]]*1000+Table61215192731495671100[[#This Row],[PM]]</f>
        <v>0</v>
      </c>
      <c r="I20" s="2">
        <f t="shared" si="2"/>
        <v>0</v>
      </c>
      <c r="J20" s="2" t="str">
        <f t="shared" si="0"/>
        <v>1st</v>
      </c>
      <c r="K20" s="38" t="str">
        <f t="shared" si="3"/>
        <v>B3</v>
      </c>
      <c r="M20" s="418" t="s">
        <v>193</v>
      </c>
      <c r="N20" s="418" t="s">
        <v>194</v>
      </c>
      <c r="O20" s="542" t="s">
        <v>195</v>
      </c>
      <c r="P20" s="543"/>
      <c r="Q20" s="418" t="s">
        <v>196</v>
      </c>
      <c r="R20" s="418" t="s">
        <v>197</v>
      </c>
    </row>
    <row r="21" spans="1:21">
      <c r="A21" s="430" t="s">
        <v>180</v>
      </c>
      <c r="B21" s="118" t="s">
        <v>210</v>
      </c>
      <c r="C21" s="14">
        <f>SUM(COUNTIFS(Table4101317251247545298[ATHLETE 1],Table61215192731495671100[[#This Row],[Athletes]],Table4101317251247545298[RESULT 12],Table36111418263048555399[[#Headers],[WIN]]),COUNTIFS(Table4101317251247545298[ATHLETE 2],Table61215192731495671100[[#This Row],[Athletes]],Table4101317251247545298[RESULT 12],Table36111418263048555399[[#Headers],[WIN]]),COUNTIFS(Table4101317251247545298[ATHLETE 3],Table61215192731495671100[[#This Row],[Athletes]],Table4101317251247545298[RESULT 34],Table36111418263048555399[[#Headers],[WIN]]),COUNTIFS(Table4101317251247545298[ATHLETE 4],Table61215192731495671100[[#This Row],[Athletes]],Table4101317251247545298[RESULT 34],Table36111418263048555399[[#Headers],[WIN]]))</f>
        <v>0</v>
      </c>
      <c r="D21" s="12">
        <f>SUM(COUNTIFS(Table4101317251247545298[ATHLETE 1],Table61215192731495671100[[#This Row],[Athletes]],Table4101317251247545298[RESULT 12],Table36111418263048555399[[#Headers],[LOSE]]),COUNTIFS(Table4101317251247545298[ATHLETE 2],Table61215192731495671100[[#This Row],[Athletes]],Table4101317251247545298[RESULT 12],Table36111418263048555399[[#Headers],[LOSE]]),COUNTIFS(Table4101317251247545298[ATHLETE 3],Table61215192731495671100[[#This Row],[Athletes]],Table4101317251247545298[RESULT 34],Table36111418263048555399[[#Headers],[LOSE]]),COUNTIFS(Table4101317251247545298[ATHLETE 4],Table61215192731495671100[[#This Row],[Athletes]],Table4101317251247545298[RESULT 34],Table36111418263048555399[[#Headers],[LOSE]]))</f>
        <v>0</v>
      </c>
      <c r="E21" s="19">
        <f>SUM(SUMIF(Table4101317251247545298[ATHLETE 1],Table61215192731495671100[[#This Row],[Athletes]],Table4101317251247545298[SALDO 12]),SUMIF(Table4101317251247545298[ATHLETE 2],Table61215192731495671100[[#This Row],[Athletes]],Table4101317251247545298[SALDO 12]),SUMIF(Table4101317251247545298[ATHLETE 3],Table61215192731495671100[[#This Row],[Athletes]],Table4101317251247545298[SALDO 34]),SUMIF(Table4101317251247545298[ATHLETE 4],Table61215192731495671100[[#This Row],[Athletes]],Table4101317251247545298[SALDO 34]))</f>
        <v>0</v>
      </c>
      <c r="F21" s="19">
        <f>SUM(SUMIF(Table4101317251247545298[ATHLETE 1],Table61215192731495671100[[#This Row],[Athletes]],Table4101317251247545298[PM 12]),SUMIF(Table4101317251247545298[ATHLETE 2],Table61215192731495671100[[#This Row],[Athletes]],Table4101317251247545298[PM 12]),SUMIF(Table4101317251247545298[ATHLETE 3],Table61215192731495671100[[#This Row],[Athletes]],Table4101317251247545298[PM 34]),SUMIF(Table4101317251247545298[ATHLETE 4],Table61215192731495671100[[#This Row],[Athletes]],Table4101317251247545298[PM 34]))</f>
        <v>0</v>
      </c>
      <c r="G21" s="14" t="str">
        <f>IF(COUNTBLANK(Table4101317251247545298[[SCORE 1]:[SCORE 2]])=0,IF(RANK(H21,$H$20:$H$23)=1,RANK(H21,$H$20:$H$23)&amp;"st",IF(RANK(H21,$H$20:$H$23)=2,RANK(H21,$H$20:$H$23)&amp;"nd",RANK(H21,$H$20:$H$23)&amp;"th")),"")</f>
        <v/>
      </c>
      <c r="H21" s="51">
        <f>Table61215192731495671100[[#This Row],[WIN]]*1000000+Table61215192731495671100[[#This Row],[Saldo]]*1000+Table61215192731495671100[[#This Row],[PM]]</f>
        <v>0</v>
      </c>
      <c r="I21" s="2">
        <f t="shared" si="2"/>
        <v>0</v>
      </c>
      <c r="J21" s="2" t="str">
        <f t="shared" si="0"/>
        <v>1st</v>
      </c>
      <c r="K21" s="38" t="str">
        <f t="shared" si="3"/>
        <v>B4</v>
      </c>
      <c r="M21" s="432" t="str">
        <f>IF(OR($O$14="",$P$14=""),"",IF($O$15="WIN",$M$14,$Q$14))</f>
        <v/>
      </c>
      <c r="N21" s="65"/>
      <c r="O21" s="36"/>
      <c r="P21" s="36"/>
      <c r="Q21" s="432" t="str">
        <f>IF(OR($O$14="",$P$14=""),"",IF($O$15="WIN",$N$14,$R$14))</f>
        <v/>
      </c>
      <c r="R21" s="28"/>
      <c r="S21" s="68"/>
    </row>
    <row r="22" spans="1:21">
      <c r="A22" s="430" t="s">
        <v>180</v>
      </c>
      <c r="B22" s="118" t="s">
        <v>211</v>
      </c>
      <c r="C22" s="14">
        <f>SUM(COUNTIFS(Table4101317251247545298[ATHLETE 1],Table61215192731495671100[[#This Row],[Athletes]],Table4101317251247545298[RESULT 12],Table36111418263048555399[[#Headers],[WIN]]),COUNTIFS(Table4101317251247545298[ATHLETE 2],Table61215192731495671100[[#This Row],[Athletes]],Table4101317251247545298[RESULT 12],Table36111418263048555399[[#Headers],[WIN]]),COUNTIFS(Table4101317251247545298[ATHLETE 3],Table61215192731495671100[[#This Row],[Athletes]],Table4101317251247545298[RESULT 34],Table36111418263048555399[[#Headers],[WIN]]),COUNTIFS(Table4101317251247545298[ATHLETE 4],Table61215192731495671100[[#This Row],[Athletes]],Table4101317251247545298[RESULT 34],Table36111418263048555399[[#Headers],[WIN]]))</f>
        <v>0</v>
      </c>
      <c r="D22" s="12">
        <f>SUM(COUNTIFS(Table4101317251247545298[ATHLETE 1],Table61215192731495671100[[#This Row],[Athletes]],Table4101317251247545298[RESULT 12],Table36111418263048555399[[#Headers],[LOSE]]),COUNTIFS(Table4101317251247545298[ATHLETE 2],Table61215192731495671100[[#This Row],[Athletes]],Table4101317251247545298[RESULT 12],Table36111418263048555399[[#Headers],[LOSE]]),COUNTIFS(Table4101317251247545298[ATHLETE 3],Table61215192731495671100[[#This Row],[Athletes]],Table4101317251247545298[RESULT 34],Table36111418263048555399[[#Headers],[LOSE]]),COUNTIFS(Table4101317251247545298[ATHLETE 4],Table61215192731495671100[[#This Row],[Athletes]],Table4101317251247545298[RESULT 34],Table36111418263048555399[[#Headers],[LOSE]]))</f>
        <v>0</v>
      </c>
      <c r="E22" s="19">
        <f>SUM(SUMIF(Table4101317251247545298[ATHLETE 1],Table61215192731495671100[[#This Row],[Athletes]],Table4101317251247545298[SALDO 12]),SUMIF(Table4101317251247545298[ATHLETE 2],Table61215192731495671100[[#This Row],[Athletes]],Table4101317251247545298[SALDO 12]),SUMIF(Table4101317251247545298[ATHLETE 3],Table61215192731495671100[[#This Row],[Athletes]],Table4101317251247545298[SALDO 34]),SUMIF(Table4101317251247545298[ATHLETE 4],Table61215192731495671100[[#This Row],[Athletes]],Table4101317251247545298[SALDO 34]))</f>
        <v>0</v>
      </c>
      <c r="F22" s="19">
        <f>SUM(SUMIF(Table4101317251247545298[ATHLETE 1],Table61215192731495671100[[#This Row],[Athletes]],Table4101317251247545298[PM 12]),SUMIF(Table4101317251247545298[ATHLETE 2],Table61215192731495671100[[#This Row],[Athletes]],Table4101317251247545298[PM 12]),SUMIF(Table4101317251247545298[ATHLETE 3],Table61215192731495671100[[#This Row],[Athletes]],Table4101317251247545298[PM 34]),SUMIF(Table4101317251247545298[ATHLETE 4],Table61215192731495671100[[#This Row],[Athletes]],Table4101317251247545298[PM 34]))</f>
        <v>0</v>
      </c>
      <c r="G22" s="14" t="str">
        <f>IF(COUNTBLANK(Table4101317251247545298[[SCORE 1]:[SCORE 2]])=0,IF(RANK(H22,$H$20:$H$23)=1,RANK(H22,$H$20:$H$23)&amp;"st",IF(RANK(H22,$H$20:$H$23)=2,RANK(H22,$H$20:$H$23)&amp;"nd",RANK(H22,$H$20:$H$23)&amp;"th")),"")</f>
        <v/>
      </c>
      <c r="H22" s="51">
        <f>Table61215192731495671100[[#This Row],[WIN]]*1000000+Table61215192731495671100[[#This Row],[Saldo]]*1000+Table61215192731495671100[[#This Row],[PM]]</f>
        <v>0</v>
      </c>
      <c r="I22" s="2">
        <f>H26</f>
        <v>0</v>
      </c>
      <c r="J22" s="2" t="str">
        <f t="shared" si="0"/>
        <v>1st</v>
      </c>
      <c r="K22" s="38" t="str">
        <f>B26</f>
        <v>C1</v>
      </c>
      <c r="M22" s="18" t="str">
        <f>IF(OR($O$21="",$P$21=""),"",IF($O$22="win",$U$3,$U$4))</f>
        <v/>
      </c>
      <c r="O22" s="2" t="str">
        <f>IF(OR(O21="",P21=""),"",IF((O21&gt;P21),"WIN","LOSE"))</f>
        <v/>
      </c>
      <c r="P22" s="2" t="str">
        <f>IF(OR(O21="",P21=""),"",IF((O21&lt;P21),"WIN","LOSE"))</f>
        <v/>
      </c>
      <c r="Q22" s="18" t="str">
        <f>IF(OR($O$21="",$P$21=""),"",IF($P$22="win",$U$3,$U$4))</f>
        <v/>
      </c>
    </row>
    <row r="23" spans="1:21">
      <c r="A23" s="430" t="s">
        <v>180</v>
      </c>
      <c r="B23" s="118" t="s">
        <v>212</v>
      </c>
      <c r="C23" s="14">
        <f>SUM(COUNTIFS(Table4101317251247545298[ATHLETE 1],Table61215192731495671100[[#This Row],[Athletes]],Table4101317251247545298[RESULT 12],Table36111418263048555399[[#Headers],[WIN]]),COUNTIFS(Table4101317251247545298[ATHLETE 2],Table61215192731495671100[[#This Row],[Athletes]],Table4101317251247545298[RESULT 12],Table36111418263048555399[[#Headers],[WIN]]),COUNTIFS(Table4101317251247545298[ATHLETE 3],Table61215192731495671100[[#This Row],[Athletes]],Table4101317251247545298[RESULT 34],Table36111418263048555399[[#Headers],[WIN]]),COUNTIFS(Table4101317251247545298[ATHLETE 4],Table61215192731495671100[[#This Row],[Athletes]],Table4101317251247545298[RESULT 34],Table36111418263048555399[[#Headers],[WIN]]))</f>
        <v>0</v>
      </c>
      <c r="D23" s="12">
        <f>SUM(COUNTIFS(Table4101317251247545298[ATHLETE 1],Table61215192731495671100[[#This Row],[Athletes]],Table4101317251247545298[RESULT 12],Table36111418263048555399[[#Headers],[LOSE]]),COUNTIFS(Table4101317251247545298[ATHLETE 2],Table61215192731495671100[[#This Row],[Athletes]],Table4101317251247545298[RESULT 12],Table36111418263048555399[[#Headers],[LOSE]]),COUNTIFS(Table4101317251247545298[ATHLETE 3],Table61215192731495671100[[#This Row],[Athletes]],Table4101317251247545298[RESULT 34],Table36111418263048555399[[#Headers],[LOSE]]),COUNTIFS(Table4101317251247545298[ATHLETE 4],Table61215192731495671100[[#This Row],[Athletes]],Table4101317251247545298[RESULT 34],Table36111418263048555399[[#Headers],[LOSE]]))</f>
        <v>0</v>
      </c>
      <c r="E23" s="19">
        <f>SUM(SUMIF(Table4101317251247545298[ATHLETE 1],Table61215192731495671100[[#This Row],[Athletes]],Table4101317251247545298[SALDO 12]),SUMIF(Table4101317251247545298[ATHLETE 2],Table61215192731495671100[[#This Row],[Athletes]],Table4101317251247545298[SALDO 12]),SUMIF(Table4101317251247545298[ATHLETE 3],Table61215192731495671100[[#This Row],[Athletes]],Table4101317251247545298[SALDO 34]),SUMIF(Table4101317251247545298[ATHLETE 4],Table61215192731495671100[[#This Row],[Athletes]],Table4101317251247545298[SALDO 34]))</f>
        <v>0</v>
      </c>
      <c r="F23" s="19">
        <f>SUM(SUMIF(Table4101317251247545298[ATHLETE 1],Table61215192731495671100[[#This Row],[Athletes]],Table4101317251247545298[PM 12]),SUMIF(Table4101317251247545298[ATHLETE 2],Table61215192731495671100[[#This Row],[Athletes]],Table4101317251247545298[PM 12]),SUMIF(Table4101317251247545298[ATHLETE 3],Table61215192731495671100[[#This Row],[Athletes]],Table4101317251247545298[PM 34]),SUMIF(Table4101317251247545298[ATHLETE 4],Table61215192731495671100[[#This Row],[Athletes]],Table4101317251247545298[PM 34]))</f>
        <v>0</v>
      </c>
      <c r="G23" s="14" t="str">
        <f>IF(COUNTBLANK(Table4101317251247545298[[SCORE 1]:[SCORE 2]])=0,IF(RANK(H23,$H$20:$H$23)=1,RANK(H23,$H$20:$H$23)&amp;"st",IF(RANK(H23,$H$20:$H$23)=2,RANK(H23,$H$20:$H$23)&amp;"nd",RANK(H23,$H$20:$H$23)&amp;"th")),"")</f>
        <v/>
      </c>
      <c r="H23" s="51">
        <f>Table61215192731495671100[[#This Row],[WIN]]*1000000+Table61215192731495671100[[#This Row],[Saldo]]*1000+Table61215192731495671100[[#This Row],[PM]]</f>
        <v>0</v>
      </c>
      <c r="I23" s="2">
        <f t="shared" ref="I23:I25" si="4">H27</f>
        <v>0</v>
      </c>
      <c r="J23" s="2" t="str">
        <f t="shared" si="0"/>
        <v>1st</v>
      </c>
      <c r="K23" s="38" t="str">
        <f t="shared" ref="K23:K25" si="5">B27</f>
        <v>C2</v>
      </c>
    </row>
    <row r="24" spans="1:21">
      <c r="I24" s="2">
        <f t="shared" si="4"/>
        <v>0</v>
      </c>
      <c r="J24" s="2" t="str">
        <f t="shared" si="0"/>
        <v>1st</v>
      </c>
      <c r="K24" s="38" t="str">
        <f t="shared" si="5"/>
        <v>C3</v>
      </c>
    </row>
    <row r="25" spans="1:21" ht="15.95">
      <c r="A25" s="9" t="s">
        <v>184</v>
      </c>
      <c r="B25" s="10" t="s">
        <v>203</v>
      </c>
      <c r="C25" s="10" t="s">
        <v>186</v>
      </c>
      <c r="D25" s="10" t="s">
        <v>187</v>
      </c>
      <c r="E25" s="10" t="s">
        <v>188</v>
      </c>
      <c r="F25" s="10" t="s">
        <v>189</v>
      </c>
      <c r="G25" s="7" t="s">
        <v>8</v>
      </c>
      <c r="H25" s="78" t="s">
        <v>204</v>
      </c>
      <c r="I25" s="2">
        <f t="shared" si="4"/>
        <v>0</v>
      </c>
      <c r="J25" s="2" t="str">
        <f t="shared" si="0"/>
        <v>1st</v>
      </c>
      <c r="K25" s="38" t="str">
        <f t="shared" si="5"/>
        <v>C4</v>
      </c>
    </row>
    <row r="26" spans="1:21">
      <c r="A26" s="430" t="s">
        <v>181</v>
      </c>
      <c r="B26" s="118" t="s">
        <v>213</v>
      </c>
      <c r="C26" s="14">
        <f>SUM(COUNTIFS(Table4101317251247545298[ATHLETE 1],Table6121519272933516273102[[#This Row],[Athletes]],Table4101317251247545298[RESULT 12],Table36111418263048555399[[#Headers],[WIN]]),COUNTIFS(Table4101317251247545298[ATHLETE 2],Table6121519272933516273102[[#This Row],[Athletes]],Table4101317251247545298[RESULT 12],Table36111418263048555399[[#Headers],[WIN]]),COUNTIFS(Table4101317251247545298[ATHLETE 3],Table6121519272933516273102[[#This Row],[Athletes]],Table4101317251247545298[RESULT 34],Table36111418263048555399[[#Headers],[WIN]]),COUNTIFS(Table4101317251247545298[ATHLETE 4],Table6121519272933516273102[[#This Row],[Athletes]],Table4101317251247545298[RESULT 34],Table36111418263048555399[[#Headers],[WIN]]))</f>
        <v>0</v>
      </c>
      <c r="D26" s="12">
        <f>SUM(COUNTIFS(Table4101317251247545298[ATHLETE 1],Table6121519272933516273102[[#This Row],[Athletes]],Table4101317251247545298[RESULT 12],Table36111418263048555399[[#Headers],[LOSE]]),COUNTIFS(Table4101317251247545298[ATHLETE 2],Table6121519272933516273102[[#This Row],[Athletes]],Table4101317251247545298[RESULT 12],Table36111418263048555399[[#Headers],[LOSE]]),COUNTIFS(Table4101317251247545298[ATHLETE 3],Table6121519272933516273102[[#This Row],[Athletes]],Table4101317251247545298[RESULT 34],Table36111418263048555399[[#Headers],[LOSE]]),COUNTIFS(Table4101317251247545298[ATHLETE 4],Table6121519272933516273102[[#This Row],[Athletes]],Table4101317251247545298[RESULT 34],Table36111418263048555399[[#Headers],[LOSE]]))</f>
        <v>0</v>
      </c>
      <c r="E26" s="19">
        <f>SUM(SUMIF(Table4101317251247545298[ATHLETE 1],Table6121519272933516273102[[#This Row],[Athletes]],Table4101317251247545298[SALDO 12]),SUMIF(Table4101317251247545298[ATHLETE 2],Table6121519272933516273102[[#This Row],[Athletes]],Table4101317251247545298[SALDO 12]),SUMIF(Table4101317251247545298[ATHLETE 3],Table6121519272933516273102[[#This Row],[Athletes]],Table4101317251247545298[SALDO 34]),SUMIF(Table4101317251247545298[ATHLETE 4],Table6121519272933516273102[[#This Row],[Athletes]],Table4101317251247545298[SALDO 34]))</f>
        <v>0</v>
      </c>
      <c r="F26" s="19">
        <f>SUM(SUMIF(Table4101317251247545298[ATHLETE 1],Table6121519272933516273102[[#This Row],[Athletes]],Table4101317251247545298[PM 12]),SUMIF(Table4101317251247545298[ATHLETE 2],Table6121519272933516273102[[#This Row],[Athletes]],Table4101317251247545298[PM 12]),SUMIF(Table4101317251247545298[ATHLETE 3],Table6121519272933516273102[[#This Row],[Athletes]],Table4101317251247545298[PM 34]),SUMIF(Table4101317251247545298[ATHLETE 4],Table6121519272933516273102[[#This Row],[Athletes]],Table4101317251247545298[PM 34]))</f>
        <v>0</v>
      </c>
      <c r="G26" s="69" t="str">
        <f>IF(COUNTBLANK(Table4101317251247545298[[SCORE 1]:[SCORE 2]])=0,IF(RANK(H26,$H$26:$H$29)=1,RANK(H26,$H$26:$H$29)&amp;"st",IF(RANK(H26,$H$26:$H$29)=2,RANK(H26,$H$26:$H$29)&amp;"nd",RANK(H26,$H$26:$H$29)&amp;"th")),"")</f>
        <v/>
      </c>
      <c r="H26" s="51">
        <f>Table6121519272933516273102[[#This Row],[WIN]]*1000000+Table6121519272933516273102[[#This Row],[Saldo]]*1000+Table6121519272933516273102[[#This Row],[PM]]</f>
        <v>0</v>
      </c>
      <c r="I26" s="2"/>
      <c r="J26" s="2"/>
      <c r="K26" s="2"/>
    </row>
    <row r="27" spans="1:21">
      <c r="A27" s="430" t="s">
        <v>181</v>
      </c>
      <c r="B27" s="118" t="s">
        <v>214</v>
      </c>
      <c r="C27" s="14">
        <f>SUM(COUNTIFS(Table4101317251247545298[ATHLETE 1],Table6121519272933516273102[[#This Row],[Athletes]],Table4101317251247545298[RESULT 12],Table36111418263048555399[[#Headers],[WIN]]),COUNTIFS(Table4101317251247545298[ATHLETE 2],Table6121519272933516273102[[#This Row],[Athletes]],Table4101317251247545298[RESULT 12],Table36111418263048555399[[#Headers],[WIN]]),COUNTIFS(Table4101317251247545298[ATHLETE 3],Table6121519272933516273102[[#This Row],[Athletes]],Table4101317251247545298[RESULT 34],Table36111418263048555399[[#Headers],[WIN]]),COUNTIFS(Table4101317251247545298[ATHLETE 4],Table6121519272933516273102[[#This Row],[Athletes]],Table4101317251247545298[RESULT 34],Table36111418263048555399[[#Headers],[WIN]]))</f>
        <v>0</v>
      </c>
      <c r="D27" s="12">
        <f>SUM(COUNTIFS(Table4101317251247545298[ATHLETE 1],Table6121519272933516273102[[#This Row],[Athletes]],Table4101317251247545298[RESULT 12],Table36111418263048555399[[#Headers],[LOSE]]),COUNTIFS(Table4101317251247545298[ATHLETE 2],Table6121519272933516273102[[#This Row],[Athletes]],Table4101317251247545298[RESULT 12],Table36111418263048555399[[#Headers],[LOSE]]),COUNTIFS(Table4101317251247545298[ATHLETE 3],Table6121519272933516273102[[#This Row],[Athletes]],Table4101317251247545298[RESULT 34],Table36111418263048555399[[#Headers],[LOSE]]),COUNTIFS(Table4101317251247545298[ATHLETE 4],Table6121519272933516273102[[#This Row],[Athletes]],Table4101317251247545298[RESULT 34],Table36111418263048555399[[#Headers],[LOSE]]))</f>
        <v>0</v>
      </c>
      <c r="E27" s="19">
        <f>SUM(SUMIF(Table4101317251247545298[ATHLETE 1],Table6121519272933516273102[[#This Row],[Athletes]],Table4101317251247545298[SALDO 12]),SUMIF(Table4101317251247545298[ATHLETE 2],Table6121519272933516273102[[#This Row],[Athletes]],Table4101317251247545298[SALDO 12]),SUMIF(Table4101317251247545298[ATHLETE 3],Table6121519272933516273102[[#This Row],[Athletes]],Table4101317251247545298[SALDO 34]),SUMIF(Table4101317251247545298[ATHLETE 4],Table6121519272933516273102[[#This Row],[Athletes]],Table4101317251247545298[SALDO 34]))</f>
        <v>0</v>
      </c>
      <c r="F27" s="19">
        <f>SUM(SUMIF(Table4101317251247545298[ATHLETE 1],Table6121519272933516273102[[#This Row],[Athletes]],Table4101317251247545298[PM 12]),SUMIF(Table4101317251247545298[ATHLETE 2],Table6121519272933516273102[[#This Row],[Athletes]],Table4101317251247545298[PM 12]),SUMIF(Table4101317251247545298[ATHLETE 3],Table6121519272933516273102[[#This Row],[Athletes]],Table4101317251247545298[PM 34]),SUMIF(Table4101317251247545298[ATHLETE 4],Table6121519272933516273102[[#This Row],[Athletes]],Table4101317251247545298[PM 34]))</f>
        <v>0</v>
      </c>
      <c r="G27" s="69" t="str">
        <f>IF(COUNTBLANK(Table4101317251247545298[[SCORE 1]:[SCORE 2]])=0,IF(RANK(H27,$H$26:$H$29)=1,RANK(H27,$H$26:$H$29)&amp;"st",IF(RANK(H27,$H$26:$H$29)=2,RANK(H27,$H$26:$H$29)&amp;"nd",RANK(H27,$H$26:$H$29)&amp;"th")),"")</f>
        <v/>
      </c>
      <c r="H27" s="51">
        <f>Table6121519272933516273102[[#This Row],[WIN]]*1000000+Table6121519272933516273102[[#This Row],[Saldo]]*1000+Table6121519272933516273102[[#This Row],[PM]]</f>
        <v>0</v>
      </c>
      <c r="I27" s="2"/>
      <c r="J27" s="2"/>
      <c r="K27" s="2"/>
    </row>
    <row r="28" spans="1:21">
      <c r="A28" s="430" t="s">
        <v>181</v>
      </c>
      <c r="B28" s="118" t="s">
        <v>216</v>
      </c>
      <c r="C28" s="14">
        <f>SUM(COUNTIFS(Table4101317251247545298[ATHLETE 1],Table6121519272933516273102[[#This Row],[Athletes]],Table4101317251247545298[RESULT 12],Table36111418263048555399[[#Headers],[WIN]]),COUNTIFS(Table4101317251247545298[ATHLETE 2],Table6121519272933516273102[[#This Row],[Athletes]],Table4101317251247545298[RESULT 12],Table36111418263048555399[[#Headers],[WIN]]),COUNTIFS(Table4101317251247545298[ATHLETE 3],Table6121519272933516273102[[#This Row],[Athletes]],Table4101317251247545298[RESULT 34],Table36111418263048555399[[#Headers],[WIN]]),COUNTIFS(Table4101317251247545298[ATHLETE 4],Table6121519272933516273102[[#This Row],[Athletes]],Table4101317251247545298[RESULT 34],Table36111418263048555399[[#Headers],[WIN]]))</f>
        <v>0</v>
      </c>
      <c r="D28" s="12">
        <f>SUM(COUNTIFS(Table4101317251247545298[ATHLETE 1],Table6121519272933516273102[[#This Row],[Athletes]],Table4101317251247545298[RESULT 12],Table36111418263048555399[[#Headers],[LOSE]]),COUNTIFS(Table4101317251247545298[ATHLETE 2],Table6121519272933516273102[[#This Row],[Athletes]],Table4101317251247545298[RESULT 12],Table36111418263048555399[[#Headers],[LOSE]]),COUNTIFS(Table4101317251247545298[ATHLETE 3],Table6121519272933516273102[[#This Row],[Athletes]],Table4101317251247545298[RESULT 34],Table36111418263048555399[[#Headers],[LOSE]]),COUNTIFS(Table4101317251247545298[ATHLETE 4],Table6121519272933516273102[[#This Row],[Athletes]],Table4101317251247545298[RESULT 34],Table36111418263048555399[[#Headers],[LOSE]]))</f>
        <v>0</v>
      </c>
      <c r="E28" s="19">
        <f>SUM(SUMIF(Table4101317251247545298[ATHLETE 1],Table6121519272933516273102[[#This Row],[Athletes]],Table4101317251247545298[SALDO 12]),SUMIF(Table4101317251247545298[ATHLETE 2],Table6121519272933516273102[[#This Row],[Athletes]],Table4101317251247545298[SALDO 12]),SUMIF(Table4101317251247545298[ATHLETE 3],Table6121519272933516273102[[#This Row],[Athletes]],Table4101317251247545298[SALDO 34]),SUMIF(Table4101317251247545298[ATHLETE 4],Table6121519272933516273102[[#This Row],[Athletes]],Table4101317251247545298[SALDO 34]))</f>
        <v>0</v>
      </c>
      <c r="F28" s="19">
        <f>SUM(SUMIF(Table4101317251247545298[ATHLETE 1],Table6121519272933516273102[[#This Row],[Athletes]],Table4101317251247545298[PM 12]),SUMIF(Table4101317251247545298[ATHLETE 2],Table6121519272933516273102[[#This Row],[Athletes]],Table4101317251247545298[PM 12]),SUMIF(Table4101317251247545298[ATHLETE 3],Table6121519272933516273102[[#This Row],[Athletes]],Table4101317251247545298[PM 34]),SUMIF(Table4101317251247545298[ATHLETE 4],Table6121519272933516273102[[#This Row],[Athletes]],Table4101317251247545298[PM 34]))</f>
        <v>0</v>
      </c>
      <c r="G28" s="69" t="str">
        <f>IF(COUNTBLANK(Table4101317251247545298[[SCORE 1]:[SCORE 2]])=0,IF(RANK(H28,$H$26:$H$29)=1,RANK(H28,$H$26:$H$29)&amp;"st",IF(RANK(H28,$H$26:$H$29)=2,RANK(H28,$H$26:$H$29)&amp;"nd",RANK(H28,$H$26:$H$29)&amp;"th")),"")</f>
        <v/>
      </c>
      <c r="H28" s="51">
        <f>Table6121519272933516273102[[#This Row],[WIN]]*1000000+Table6121519272933516273102[[#This Row],[Saldo]]*1000+Table6121519272933516273102[[#This Row],[PM]]</f>
        <v>0</v>
      </c>
      <c r="I28" s="2"/>
      <c r="J28" s="2"/>
      <c r="K28" s="2"/>
    </row>
    <row r="29" spans="1:21">
      <c r="A29" s="430" t="s">
        <v>181</v>
      </c>
      <c r="B29" s="118" t="s">
        <v>217</v>
      </c>
      <c r="C29" s="14">
        <f>SUM(COUNTIFS(Table4101317251247545298[ATHLETE 1],Table6121519272933516273102[[#This Row],[Athletes]],Table4101317251247545298[RESULT 12],Table36111418263048555399[[#Headers],[WIN]]),COUNTIFS(Table4101317251247545298[ATHLETE 2],Table6121519272933516273102[[#This Row],[Athletes]],Table4101317251247545298[RESULT 12],Table36111418263048555399[[#Headers],[WIN]]),COUNTIFS(Table4101317251247545298[ATHLETE 3],Table6121519272933516273102[[#This Row],[Athletes]],Table4101317251247545298[RESULT 34],Table36111418263048555399[[#Headers],[WIN]]),COUNTIFS(Table4101317251247545298[ATHLETE 4],Table6121519272933516273102[[#This Row],[Athletes]],Table4101317251247545298[RESULT 34],Table36111418263048555399[[#Headers],[WIN]]))</f>
        <v>0</v>
      </c>
      <c r="D29" s="12">
        <f>SUM(COUNTIFS(Table4101317251247545298[ATHLETE 1],Table6121519272933516273102[[#This Row],[Athletes]],Table4101317251247545298[RESULT 12],Table36111418263048555399[[#Headers],[LOSE]]),COUNTIFS(Table4101317251247545298[ATHLETE 2],Table6121519272933516273102[[#This Row],[Athletes]],Table4101317251247545298[RESULT 12],Table36111418263048555399[[#Headers],[LOSE]]),COUNTIFS(Table4101317251247545298[ATHLETE 3],Table6121519272933516273102[[#This Row],[Athletes]],Table4101317251247545298[RESULT 34],Table36111418263048555399[[#Headers],[LOSE]]),COUNTIFS(Table4101317251247545298[ATHLETE 4],Table6121519272933516273102[[#This Row],[Athletes]],Table4101317251247545298[RESULT 34],Table36111418263048555399[[#Headers],[LOSE]]))</f>
        <v>0</v>
      </c>
      <c r="E29" s="19">
        <f>SUM(SUMIF(Table4101317251247545298[ATHLETE 1],Table6121519272933516273102[[#This Row],[Athletes]],Table4101317251247545298[SALDO 12]),SUMIF(Table4101317251247545298[ATHLETE 2],Table6121519272933516273102[[#This Row],[Athletes]],Table4101317251247545298[SALDO 12]),SUMIF(Table4101317251247545298[ATHLETE 3],Table6121519272933516273102[[#This Row],[Athletes]],Table4101317251247545298[SALDO 34]),SUMIF(Table4101317251247545298[ATHLETE 4],Table6121519272933516273102[[#This Row],[Athletes]],Table4101317251247545298[SALDO 34]))</f>
        <v>0</v>
      </c>
      <c r="F29" s="19">
        <f>SUM(SUMIF(Table4101317251247545298[ATHLETE 1],Table6121519272933516273102[[#This Row],[Athletes]],Table4101317251247545298[PM 12]),SUMIF(Table4101317251247545298[ATHLETE 2],Table6121519272933516273102[[#This Row],[Athletes]],Table4101317251247545298[PM 12]),SUMIF(Table4101317251247545298[ATHLETE 3],Table6121519272933516273102[[#This Row],[Athletes]],Table4101317251247545298[PM 34]),SUMIF(Table4101317251247545298[ATHLETE 4],Table6121519272933516273102[[#This Row],[Athletes]],Table4101317251247545298[PM 34]))</f>
        <v>0</v>
      </c>
      <c r="G29" s="69" t="str">
        <f>IF(COUNTBLANK(Table4101317251247545298[[SCORE 1]:[SCORE 2]])=0,IF(RANK(H29,$H$26:$H$29)=1,RANK(H29,$H$26:$H$29)&amp;"st",IF(RANK(H29,$H$26:$H$29)=2,RANK(H29,$H$26:$H$29)&amp;"nd",RANK(H29,$H$26:$H$29)&amp;"th")),"")</f>
        <v/>
      </c>
      <c r="H29" s="51">
        <f>Table6121519272933516273102[[#This Row],[WIN]]*1000000+Table6121519272933516273102[[#This Row],[Saldo]]*1000+Table6121519272933516273102[[#This Row],[PM]]</f>
        <v>0</v>
      </c>
      <c r="I29" s="2"/>
      <c r="J29" s="2"/>
      <c r="K29" s="2"/>
    </row>
    <row r="30" spans="1:21" ht="15.95" thickBot="1"/>
    <row r="31" spans="1:21" ht="15.95" thickBot="1">
      <c r="A31" s="123" t="s">
        <v>218</v>
      </c>
      <c r="B31" s="124">
        <v>45787</v>
      </c>
    </row>
  </sheetData>
  <sheetProtection algorithmName="SHA-512" hashValue="2ue2JL9iAUuosJiNe9mbmU4kSbEEJGrJkH0T+LjGoBjjMXhADPmjUJjYeQEPRgQKfdHZURGnhYk7NUXhWk16XQ==" saltValue="+79HPdCO7o+gM+oXuR8t9A==" spinCount="100000" sheet="1" objects="1" scenarios="1"/>
  <mergeCells count="7">
    <mergeCell ref="O20:P20"/>
    <mergeCell ref="A1:A10"/>
    <mergeCell ref="T1:U1"/>
    <mergeCell ref="A12:G12"/>
    <mergeCell ref="M12:R12"/>
    <mergeCell ref="O13:P13"/>
    <mergeCell ref="M19:R19"/>
  </mergeCells>
  <phoneticPr fontId="1" type="noConversion"/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CEC0-35D2-654C-97ED-68784E7780A5}">
  <sheetPr codeName="Sheet27"/>
  <dimension ref="A1:U33"/>
  <sheetViews>
    <sheetView workbookViewId="0">
      <selection activeCell="M14" sqref="M14"/>
    </sheetView>
    <sheetView workbookViewId="1">
      <selection sqref="A1:A10"/>
    </sheetView>
  </sheetViews>
  <sheetFormatPr defaultColWidth="8.85546875" defaultRowHeight="15"/>
  <cols>
    <col min="1" max="1" width="9.7109375" customWidth="1"/>
    <col min="2" max="2" width="12.28515625" bestFit="1" customWidth="1"/>
    <col min="3" max="4" width="20" customWidth="1"/>
    <col min="5" max="6" width="9.7109375" customWidth="1"/>
    <col min="7" max="7" width="14.140625" bestFit="1" customWidth="1"/>
    <col min="8" max="8" width="11.28515625" hidden="1" customWidth="1"/>
    <col min="9" max="9" width="12" hidden="1" customWidth="1"/>
    <col min="10" max="10" width="10.7109375" hidden="1" customWidth="1"/>
    <col min="11" max="11" width="8" hidden="1" customWidth="1"/>
    <col min="12" max="12" width="20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2.140625" bestFit="1" customWidth="1"/>
    <col min="21" max="22" width="9.7109375" bestFit="1" customWidth="1"/>
  </cols>
  <sheetData>
    <row r="1" spans="1:21" ht="15" customHeight="1">
      <c r="A1" s="551" t="s">
        <v>328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294</v>
      </c>
      <c r="U1" s="545"/>
    </row>
    <row r="2" spans="1:21" ht="15" customHeight="1">
      <c r="A2" s="551"/>
      <c r="B2" s="13" t="s">
        <v>178</v>
      </c>
      <c r="C2" s="1" t="str">
        <f>B14</f>
        <v>A1</v>
      </c>
      <c r="D2" s="32" t="str">
        <f>B15</f>
        <v>A2</v>
      </c>
      <c r="E2" s="116"/>
      <c r="F2" s="116"/>
      <c r="G2" s="31" t="str">
        <f>B16</f>
        <v>A3</v>
      </c>
      <c r="H2" s="63"/>
      <c r="I2" s="63"/>
      <c r="J2" s="63"/>
      <c r="K2" s="63"/>
      <c r="L2" s="16" t="str">
        <f>B17</f>
        <v>A4</v>
      </c>
      <c r="M2" s="13" t="str">
        <f>IF(OR(Table41013172512475452986841[[#This Row],[SCORE 1]]="",Table41013172512475452986841[[#This Row],[SCORE 2]]=""),"",Table41013172512475452986841[[#This Row],[SCORE 1]]-Table41013172512475452986841[[#This Row],[SCORE 2]])</f>
        <v/>
      </c>
      <c r="N2" s="13" t="str">
        <f>IF(OR(Table41013172512475452986841[[#This Row],[SCORE 1]]="",Table41013172512475452986841[[#This Row],[SCORE 2]]=""),"",Table41013172512475452986841[[#This Row],[SCORE 2]]-Table41013172512475452986841[[#This Row],[SCORE 1]])</f>
        <v/>
      </c>
      <c r="O2" s="13" t="str">
        <f>IF(Table41013172512475452986841[[#This Row],[SCORE 1]]="","",Table41013172512475452986841[[#This Row],[SCORE 1]])</f>
        <v/>
      </c>
      <c r="P2" s="13" t="str">
        <f>IF(Table41013172512475452986841[[#This Row],[SCORE 2]]="","",Table41013172512475452986841[[#This Row],[SCORE 2]])</f>
        <v/>
      </c>
      <c r="Q2" s="13" t="str">
        <f>IF(OR(Table41013172512475452986841[[#This Row],[SCORE 1]]="",Table41013172512475452986841[[#This Row],[SCORE 2]]=""),"",IF(Table41013172512475452986841[[#This Row],[SALDO 12]]&gt;0, "WIN","LOSE"))</f>
        <v/>
      </c>
      <c r="R2" s="13" t="str">
        <f>IF(OR(Table41013172512475452986841[[#This Row],[SCORE 1]]="",Table41013172512475452986841[[#This Row],[SCORE 2]]=""),"",IF(Table41013172512475452986841[[#This Row],[SALDO 34]]&gt;0, "WIN","LOSE"))</f>
        <v/>
      </c>
      <c r="T2" s="35" t="s">
        <v>179</v>
      </c>
      <c r="U2" s="35" t="s">
        <v>8</v>
      </c>
    </row>
    <row r="3" spans="1:21">
      <c r="A3" s="551"/>
      <c r="B3" s="13" t="s">
        <v>180</v>
      </c>
      <c r="C3" s="1" t="str">
        <f>B20</f>
        <v>B1</v>
      </c>
      <c r="D3" s="32" t="str">
        <f>B21</f>
        <v>B2</v>
      </c>
      <c r="E3" s="116"/>
      <c r="F3" s="116"/>
      <c r="G3" s="31" t="str">
        <f>B22</f>
        <v>B3</v>
      </c>
      <c r="H3" s="63"/>
      <c r="I3" s="63"/>
      <c r="J3" s="63"/>
      <c r="K3" s="63"/>
      <c r="L3" s="16" t="str">
        <f>B23</f>
        <v>B4</v>
      </c>
      <c r="M3" s="13" t="str">
        <f>IF(OR(Table41013172512475452986841[[#This Row],[SCORE 1]]="",Table41013172512475452986841[[#This Row],[SCORE 2]]=""),"",Table41013172512475452986841[[#This Row],[SCORE 1]]-Table41013172512475452986841[[#This Row],[SCORE 2]])</f>
        <v/>
      </c>
      <c r="N3" s="13" t="str">
        <f>IF(OR(Table41013172512475452986841[[#This Row],[SCORE 1]]="",Table41013172512475452986841[[#This Row],[SCORE 2]]=""),"",Table41013172512475452986841[[#This Row],[SCORE 2]]-Table41013172512475452986841[[#This Row],[SCORE 1]])</f>
        <v/>
      </c>
      <c r="O3" s="13" t="str">
        <f>IF(Table41013172512475452986841[[#This Row],[SCORE 1]]="","",Table41013172512475452986841[[#This Row],[SCORE 1]])</f>
        <v/>
      </c>
      <c r="P3" s="13" t="str">
        <f>IF(Table41013172512475452986841[[#This Row],[SCORE 2]]="","",Table41013172512475452986841[[#This Row],[SCORE 2]])</f>
        <v/>
      </c>
      <c r="Q3" s="13" t="str">
        <f>IF(OR(Table41013172512475452986841[[#This Row],[SCORE 1]]="",Table41013172512475452986841[[#This Row],[SCORE 2]]=""),"",IF(Table41013172512475452986841[[#This Row],[SALDO 12]]&gt;0, "WIN","LOSE"))</f>
        <v/>
      </c>
      <c r="R3" s="13" t="str">
        <f>IF(OR(Table41013172512475452986841[[#This Row],[SCORE 1]]="",Table41013172512475452986841[[#This Row],[SCORE 2]]=""),"",IF(Table41013172512475452986841[[#This Row],[SALDO 34]]&gt;0, "WIN","LOSE"))</f>
        <v/>
      </c>
      <c r="T3" s="70" t="str">
        <f>IFERROR(_xlfn.XLOOKUP(Table152028325060721017145[[#This Row],[Rank]],$M$33:$R$33,$M$32:$R$32),"")</f>
        <v/>
      </c>
      <c r="U3" s="67" t="s">
        <v>19</v>
      </c>
    </row>
    <row r="4" spans="1:21">
      <c r="A4" s="551"/>
      <c r="B4" s="13" t="s">
        <v>181</v>
      </c>
      <c r="C4" s="1" t="str">
        <f>B26</f>
        <v>C1</v>
      </c>
      <c r="D4" s="32" t="str">
        <f>B27</f>
        <v>C2</v>
      </c>
      <c r="E4" s="116"/>
      <c r="F4" s="116"/>
      <c r="G4" s="31" t="str">
        <f>B28</f>
        <v>C3</v>
      </c>
      <c r="H4" s="63"/>
      <c r="I4" s="63"/>
      <c r="J4" s="63"/>
      <c r="K4" s="63"/>
      <c r="L4" s="16" t="str">
        <f>B29</f>
        <v>C4</v>
      </c>
      <c r="M4" s="13" t="str">
        <f>IF(OR(Table41013172512475452986841[[#This Row],[SCORE 1]]="",Table41013172512475452986841[[#This Row],[SCORE 2]]=""),"",Table41013172512475452986841[[#This Row],[SCORE 1]]-Table41013172512475452986841[[#This Row],[SCORE 2]])</f>
        <v/>
      </c>
      <c r="N4" s="13" t="str">
        <f>IF(OR(Table41013172512475452986841[[#This Row],[SCORE 1]]="",Table41013172512475452986841[[#This Row],[SCORE 2]]=""),"",Table41013172512475452986841[[#This Row],[SCORE 2]]-Table41013172512475452986841[[#This Row],[SCORE 1]])</f>
        <v/>
      </c>
      <c r="O4" s="13" t="str">
        <f>IF(Table41013172512475452986841[[#This Row],[SCORE 1]]="","",Table41013172512475452986841[[#This Row],[SCORE 1]])</f>
        <v/>
      </c>
      <c r="P4" s="13" t="str">
        <f>IF(Table41013172512475452986841[[#This Row],[SCORE 2]]="","",Table41013172512475452986841[[#This Row],[SCORE 2]])</f>
        <v/>
      </c>
      <c r="Q4" s="13" t="str">
        <f>IF(OR(Table41013172512475452986841[[#This Row],[SCORE 1]]="",Table41013172512475452986841[[#This Row],[SCORE 2]]=""),"",IF(Table41013172512475452986841[[#This Row],[SALDO 12]]&gt;0, "WIN","LOSE"))</f>
        <v/>
      </c>
      <c r="R4" s="13" t="str">
        <f>IF(OR(Table41013172512475452986841[[#This Row],[SCORE 1]]="",Table41013172512475452986841[[#This Row],[SCORE 2]]=""),"",IF(Table41013172512475452986841[[#This Row],[SALDO 34]]&gt;0, "WIN","LOSE"))</f>
        <v/>
      </c>
      <c r="T4" s="70" t="str">
        <f>IFERROR(_xlfn.XLOOKUP(Table152028325060721017145[[#This Row],[Rank]],$M$33:$R$33,$M$32:$R$32),"")</f>
        <v/>
      </c>
      <c r="U4" s="67" t="s">
        <v>22</v>
      </c>
    </row>
    <row r="5" spans="1:21">
      <c r="A5" s="551"/>
      <c r="B5" s="13" t="s">
        <v>178</v>
      </c>
      <c r="C5" s="1" t="str">
        <f>B14</f>
        <v>A1</v>
      </c>
      <c r="D5" s="32" t="str">
        <f>B17</f>
        <v>A4</v>
      </c>
      <c r="E5" s="116"/>
      <c r="F5" s="116"/>
      <c r="G5" s="31" t="str">
        <f>B15</f>
        <v>A2</v>
      </c>
      <c r="H5" s="63"/>
      <c r="I5" s="63"/>
      <c r="J5" s="63"/>
      <c r="K5" s="63"/>
      <c r="L5" s="16" t="str">
        <f>B16</f>
        <v>A3</v>
      </c>
      <c r="M5" s="13" t="str">
        <f>IF(OR(Table41013172512475452986841[[#This Row],[SCORE 1]]="",Table41013172512475452986841[[#This Row],[SCORE 2]]=""),"",Table41013172512475452986841[[#This Row],[SCORE 1]]-Table41013172512475452986841[[#This Row],[SCORE 2]])</f>
        <v/>
      </c>
      <c r="N5" s="13" t="str">
        <f>IF(OR(Table41013172512475452986841[[#This Row],[SCORE 1]]="",Table41013172512475452986841[[#This Row],[SCORE 2]]=""),"",Table41013172512475452986841[[#This Row],[SCORE 2]]-Table41013172512475452986841[[#This Row],[SCORE 1]])</f>
        <v/>
      </c>
      <c r="O5" s="13" t="str">
        <f>IF(Table41013172512475452986841[[#This Row],[SCORE 1]]="","",Table41013172512475452986841[[#This Row],[SCORE 1]])</f>
        <v/>
      </c>
      <c r="P5" s="13" t="str">
        <f>IF(Table41013172512475452986841[[#This Row],[SCORE 2]]="","",Table41013172512475452986841[[#This Row],[SCORE 2]])</f>
        <v/>
      </c>
      <c r="Q5" s="13" t="str">
        <f>IF(OR(Table41013172512475452986841[[#This Row],[SCORE 1]]="",Table41013172512475452986841[[#This Row],[SCORE 2]]=""),"",IF(Table41013172512475452986841[[#This Row],[SALDO 12]]&gt;0, "WIN","LOSE"))</f>
        <v/>
      </c>
      <c r="R5" s="13" t="str">
        <f>IF(OR(Table41013172512475452986841[[#This Row],[SCORE 1]]="",Table41013172512475452986841[[#This Row],[SCORE 2]]=""),"",IF(Table41013172512475452986841[[#This Row],[SALDO 34]]&gt;0, "WIN","LOSE"))</f>
        <v/>
      </c>
      <c r="T5" s="70" t="str">
        <f>IFERROR(_xlfn.XLOOKUP(Table152028325060721017145[[#This Row],[Rank]],$M$26:$R$26,$M$25:$R$25),"")</f>
        <v/>
      </c>
      <c r="U5" s="67" t="s">
        <v>25</v>
      </c>
    </row>
    <row r="6" spans="1:21">
      <c r="A6" s="551"/>
      <c r="B6" s="13" t="s">
        <v>180</v>
      </c>
      <c r="C6" s="1" t="str">
        <f>B20</f>
        <v>B1</v>
      </c>
      <c r="D6" s="32" t="str">
        <f>B23</f>
        <v>B4</v>
      </c>
      <c r="E6" s="116"/>
      <c r="F6" s="116"/>
      <c r="G6" s="31" t="str">
        <f>B21</f>
        <v>B2</v>
      </c>
      <c r="H6" s="63"/>
      <c r="I6" s="63"/>
      <c r="J6" s="63"/>
      <c r="K6" s="63"/>
      <c r="L6" s="16" t="str">
        <f>B22</f>
        <v>B3</v>
      </c>
      <c r="M6" s="13" t="str">
        <f>IF(OR(Table41013172512475452986841[[#This Row],[SCORE 1]]="",Table41013172512475452986841[[#This Row],[SCORE 2]]=""),"",Table41013172512475452986841[[#This Row],[SCORE 1]]-Table41013172512475452986841[[#This Row],[SCORE 2]])</f>
        <v/>
      </c>
      <c r="N6" s="13" t="str">
        <f>IF(OR(Table41013172512475452986841[[#This Row],[SCORE 1]]="",Table41013172512475452986841[[#This Row],[SCORE 2]]=""),"",Table41013172512475452986841[[#This Row],[SCORE 2]]-Table41013172512475452986841[[#This Row],[SCORE 1]])</f>
        <v/>
      </c>
      <c r="O6" s="13" t="str">
        <f>IF(Table41013172512475452986841[[#This Row],[SCORE 1]]="","",Table41013172512475452986841[[#This Row],[SCORE 1]])</f>
        <v/>
      </c>
      <c r="P6" s="13" t="str">
        <f>IF(Table41013172512475452986841[[#This Row],[SCORE 2]]="","",Table41013172512475452986841[[#This Row],[SCORE 2]])</f>
        <v/>
      </c>
      <c r="Q6" s="13" t="str">
        <f>IF(OR(Table41013172512475452986841[[#This Row],[SCORE 1]]="",Table41013172512475452986841[[#This Row],[SCORE 2]]=""),"",IF(Table41013172512475452986841[[#This Row],[SALDO 12]]&gt;0, "WIN","LOSE"))</f>
        <v/>
      </c>
      <c r="R6" s="13" t="str">
        <f>IF(OR(Table41013172512475452986841[[#This Row],[SCORE 1]]="",Table41013172512475452986841[[#This Row],[SCORE 2]]=""),"",IF(Table41013172512475452986841[[#This Row],[SALDO 34]]&gt;0, "WIN","LOSE"))</f>
        <v/>
      </c>
      <c r="T6" s="70" t="str">
        <f>IFERROR(_xlfn.XLOOKUP(Table152028325060721017145[[#This Row],[Rank]],$M$26:$R$26,$M$25:$R$25),"")</f>
        <v/>
      </c>
      <c r="U6" s="67" t="s">
        <v>28</v>
      </c>
    </row>
    <row r="7" spans="1:21">
      <c r="A7" s="551"/>
      <c r="B7" s="13" t="s">
        <v>181</v>
      </c>
      <c r="C7" s="1" t="str">
        <f>B26</f>
        <v>C1</v>
      </c>
      <c r="D7" s="32" t="str">
        <f>B29</f>
        <v>C4</v>
      </c>
      <c r="E7" s="116"/>
      <c r="F7" s="116"/>
      <c r="G7" s="31" t="str">
        <f>B27</f>
        <v>C2</v>
      </c>
      <c r="H7" s="63"/>
      <c r="I7" s="63"/>
      <c r="J7" s="63"/>
      <c r="K7" s="63"/>
      <c r="L7" s="16" t="str">
        <f>B28</f>
        <v>C3</v>
      </c>
      <c r="M7" s="13" t="str">
        <f>IF(OR(Table41013172512475452986841[[#This Row],[SCORE 1]]="",Table41013172512475452986841[[#This Row],[SCORE 2]]=""),"",Table41013172512475452986841[[#This Row],[SCORE 1]]-Table41013172512475452986841[[#This Row],[SCORE 2]])</f>
        <v/>
      </c>
      <c r="N7" s="13" t="str">
        <f>IF(OR(Table41013172512475452986841[[#This Row],[SCORE 1]]="",Table41013172512475452986841[[#This Row],[SCORE 2]]=""),"",Table41013172512475452986841[[#This Row],[SCORE 2]]-Table41013172512475452986841[[#This Row],[SCORE 1]])</f>
        <v/>
      </c>
      <c r="O7" s="13" t="str">
        <f>IF(Table41013172512475452986841[[#This Row],[SCORE 1]]="","",Table41013172512475452986841[[#This Row],[SCORE 1]])</f>
        <v/>
      </c>
      <c r="P7" s="13" t="str">
        <f>IF(Table41013172512475452986841[[#This Row],[SCORE 2]]="","",Table41013172512475452986841[[#This Row],[SCORE 2]])</f>
        <v/>
      </c>
      <c r="Q7" s="13" t="str">
        <f>IF(OR(Table41013172512475452986841[[#This Row],[SCORE 1]]="",Table41013172512475452986841[[#This Row],[SCORE 2]]=""),"",IF(Table41013172512475452986841[[#This Row],[SALDO 12]]&gt;0, "WIN","LOSE"))</f>
        <v/>
      </c>
      <c r="R7" s="13" t="str">
        <f>IF(OR(Table41013172512475452986841[[#This Row],[SCORE 1]]="",Table41013172512475452986841[[#This Row],[SCORE 2]]=""),"",IF(Table41013172512475452986841[[#This Row],[SALDO 34]]&gt;0, "WIN","LOSE"))</f>
        <v/>
      </c>
      <c r="T7" s="70" t="str">
        <f>IF($O$15="lose",$M$14,_xlfn.XLOOKUP(Table152028325060721017145[[#This Row],[Rank]],$M$20:$R$20,$M$19:$R$19,""))</f>
        <v/>
      </c>
      <c r="U7" s="67" t="s">
        <v>31</v>
      </c>
    </row>
    <row r="8" spans="1:21">
      <c r="A8" s="551"/>
      <c r="B8" s="13" t="s">
        <v>178</v>
      </c>
      <c r="C8" s="1" t="str">
        <f>B14</f>
        <v>A1</v>
      </c>
      <c r="D8" s="32" t="str">
        <f>B16</f>
        <v>A3</v>
      </c>
      <c r="E8" s="116"/>
      <c r="F8" s="116"/>
      <c r="G8" s="31" t="str">
        <f>B17</f>
        <v>A4</v>
      </c>
      <c r="H8" s="63"/>
      <c r="I8" s="63"/>
      <c r="J8" s="63"/>
      <c r="K8" s="63"/>
      <c r="L8" s="16" t="str">
        <f>B15</f>
        <v>A2</v>
      </c>
      <c r="M8" s="13" t="str">
        <f>IF(OR(Table41013172512475452986841[[#This Row],[SCORE 1]]="",Table41013172512475452986841[[#This Row],[SCORE 2]]=""),"",Table41013172512475452986841[[#This Row],[SCORE 1]]-Table41013172512475452986841[[#This Row],[SCORE 2]])</f>
        <v/>
      </c>
      <c r="N8" s="13" t="str">
        <f>IF(OR(Table41013172512475452986841[[#This Row],[SCORE 1]]="",Table41013172512475452986841[[#This Row],[SCORE 2]]=""),"",Table41013172512475452986841[[#This Row],[SCORE 2]]-Table41013172512475452986841[[#This Row],[SCORE 1]])</f>
        <v/>
      </c>
      <c r="O8" s="13" t="str">
        <f>IF(Table41013172512475452986841[[#This Row],[SCORE 1]]="","",Table41013172512475452986841[[#This Row],[SCORE 1]])</f>
        <v/>
      </c>
      <c r="P8" s="13" t="str">
        <f>IF(Table41013172512475452986841[[#This Row],[SCORE 2]]="","",Table41013172512475452986841[[#This Row],[SCORE 2]])</f>
        <v/>
      </c>
      <c r="Q8" s="13" t="str">
        <f>IF(OR(Table41013172512475452986841[[#This Row],[SCORE 1]]="",Table41013172512475452986841[[#This Row],[SCORE 2]]=""),"",IF(Table41013172512475452986841[[#This Row],[SALDO 12]]&gt;0, "WIN","LOSE"))</f>
        <v/>
      </c>
      <c r="R8" s="13" t="str">
        <f>IF(OR(Table41013172512475452986841[[#This Row],[SCORE 1]]="",Table41013172512475452986841[[#This Row],[SCORE 2]]=""),"",IF(Table41013172512475452986841[[#This Row],[SALDO 34]]&gt;0, "WIN","LOSE"))</f>
        <v/>
      </c>
      <c r="T8" s="70" t="str">
        <f>IF($O$15="lose",$N$14,_xlfn.XLOOKUP(Table152028325060721017145[[#This Row],[Rank]],$M$20:$R$20,$M$19:$R$19,""))</f>
        <v/>
      </c>
      <c r="U8" s="67" t="s">
        <v>34</v>
      </c>
    </row>
    <row r="9" spans="1:21">
      <c r="A9" s="551"/>
      <c r="B9" s="13" t="s">
        <v>180</v>
      </c>
      <c r="C9" s="1" t="str">
        <f>B20</f>
        <v>B1</v>
      </c>
      <c r="D9" s="32" t="str">
        <f>B22</f>
        <v>B3</v>
      </c>
      <c r="E9" s="116"/>
      <c r="F9" s="116"/>
      <c r="G9" s="31" t="str">
        <f>B23</f>
        <v>B4</v>
      </c>
      <c r="H9" s="63"/>
      <c r="I9" s="63"/>
      <c r="J9" s="63"/>
      <c r="K9" s="63"/>
      <c r="L9" s="16" t="str">
        <f>B21</f>
        <v>B2</v>
      </c>
      <c r="M9" s="13" t="str">
        <f>IF(OR(Table41013172512475452986841[[#This Row],[SCORE 1]]="",Table41013172512475452986841[[#This Row],[SCORE 2]]=""),"",Table41013172512475452986841[[#This Row],[SCORE 1]]-Table41013172512475452986841[[#This Row],[SCORE 2]])</f>
        <v/>
      </c>
      <c r="N9" s="13" t="str">
        <f>IF(OR(Table41013172512475452986841[[#This Row],[SCORE 1]]="",Table41013172512475452986841[[#This Row],[SCORE 2]]=""),"",Table41013172512475452986841[[#This Row],[SCORE 2]]-Table41013172512475452986841[[#This Row],[SCORE 1]])</f>
        <v/>
      </c>
      <c r="O9" s="13" t="str">
        <f>IF(Table41013172512475452986841[[#This Row],[SCORE 1]]="","",Table41013172512475452986841[[#This Row],[SCORE 1]])</f>
        <v/>
      </c>
      <c r="P9" s="13" t="str">
        <f>IF(Table41013172512475452986841[[#This Row],[SCORE 2]]="","",Table41013172512475452986841[[#This Row],[SCORE 2]])</f>
        <v/>
      </c>
      <c r="Q9" s="13" t="str">
        <f>IF(OR(Table41013172512475452986841[[#This Row],[SCORE 1]]="",Table41013172512475452986841[[#This Row],[SCORE 2]]=""),"",IF(Table41013172512475452986841[[#This Row],[SALDO 12]]&gt;0, "WIN","LOSE"))</f>
        <v/>
      </c>
      <c r="R9" s="13" t="str">
        <f>IF(OR(Table41013172512475452986841[[#This Row],[SCORE 1]]="",Table41013172512475452986841[[#This Row],[SCORE 2]]=""),"",IF(Table41013172512475452986841[[#This Row],[SALDO 34]]&gt;0, "WIN","LOSE"))</f>
        <v/>
      </c>
      <c r="T9" s="70" t="str">
        <f>IF($P$15="lose",$Q$14,_xlfn.XLOOKUP(Table152028325060721017145[[#This Row],[Rank]],$M$20:$R$20,$M$19:$R$19,""))</f>
        <v/>
      </c>
      <c r="U9" s="67" t="s">
        <v>37</v>
      </c>
    </row>
    <row r="10" spans="1:21">
      <c r="A10" s="551"/>
      <c r="B10" s="13" t="s">
        <v>181</v>
      </c>
      <c r="C10" s="1" t="str">
        <f>B26</f>
        <v>C1</v>
      </c>
      <c r="D10" s="32" t="str">
        <f>B28</f>
        <v>C3</v>
      </c>
      <c r="E10" s="116"/>
      <c r="F10" s="116"/>
      <c r="G10" s="31" t="str">
        <f>B29</f>
        <v>C4</v>
      </c>
      <c r="H10" s="63"/>
      <c r="I10" s="63"/>
      <c r="J10" s="63"/>
      <c r="K10" s="63"/>
      <c r="L10" s="16" t="str">
        <f>B27</f>
        <v>C2</v>
      </c>
      <c r="M10" s="13" t="str">
        <f>IF(OR(Table41013172512475452986841[[#This Row],[SCORE 1]]="",Table41013172512475452986841[[#This Row],[SCORE 2]]=""),"",Table41013172512475452986841[[#This Row],[SCORE 1]]-Table41013172512475452986841[[#This Row],[SCORE 2]])</f>
        <v/>
      </c>
      <c r="N10" s="13" t="str">
        <f>IF(OR(Table41013172512475452986841[[#This Row],[SCORE 1]]="",Table41013172512475452986841[[#This Row],[SCORE 2]]=""),"",Table41013172512475452986841[[#This Row],[SCORE 2]]-Table41013172512475452986841[[#This Row],[SCORE 1]])</f>
        <v/>
      </c>
      <c r="O10" s="13" t="str">
        <f>IF(Table41013172512475452986841[[#This Row],[SCORE 1]]="","",Table41013172512475452986841[[#This Row],[SCORE 1]])</f>
        <v/>
      </c>
      <c r="P10" s="13" t="str">
        <f>IF(Table41013172512475452986841[[#This Row],[SCORE 2]]="","",Table41013172512475452986841[[#This Row],[SCORE 2]])</f>
        <v/>
      </c>
      <c r="Q10" s="13" t="str">
        <f>IF(OR(Table41013172512475452986841[[#This Row],[SCORE 1]]="",Table41013172512475452986841[[#This Row],[SCORE 2]]=""),"",IF(Table41013172512475452986841[[#This Row],[SALDO 12]]&gt;0, "WIN","LOSE"))</f>
        <v/>
      </c>
      <c r="R10" s="13" t="str">
        <f>IF(OR(Table41013172512475452986841[[#This Row],[SCORE 1]]="",Table41013172512475452986841[[#This Row],[SCORE 2]]=""),"",IF(Table41013172512475452986841[[#This Row],[SALDO 34]]&gt;0, "WIN","LOSE"))</f>
        <v/>
      </c>
      <c r="T10" s="70" t="str">
        <f>IF($P$15="lose",$R$14,_xlfn.XLOOKUP(Table152028325060721017145[[#This Row],[Rank]],$M$20:$R$20,$M$19:$R$19,""))</f>
        <v/>
      </c>
      <c r="U10" s="67" t="s">
        <v>41</v>
      </c>
    </row>
    <row r="11" spans="1:21" ht="30" customHeight="1">
      <c r="T11" s="66" t="str" cm="1">
        <f t="array" ref="T11">IF(COUNTBLANK(Games_45056[[SCORE 1]:[SCORE 2]])=0,_xlfn.TEXTJOIN(", ", TRUE, _xlfn._xlws.FILTER($K$14:$K$25, $J$14:$J$25=U11, "")),"")</f>
        <v/>
      </c>
      <c r="U11" s="67" t="s">
        <v>44</v>
      </c>
    </row>
    <row r="12" spans="1:21" ht="30" customHeight="1">
      <c r="A12" s="546" t="s">
        <v>182</v>
      </c>
      <c r="B12" s="547"/>
      <c r="C12" s="547"/>
      <c r="D12" s="547"/>
      <c r="E12" s="547"/>
      <c r="F12" s="547"/>
      <c r="G12" s="547"/>
      <c r="H12" s="420"/>
      <c r="I12" s="420"/>
      <c r="J12" s="420"/>
      <c r="K12" s="420"/>
      <c r="M12" s="548" t="s">
        <v>183</v>
      </c>
      <c r="N12" s="549"/>
      <c r="O12" s="549"/>
      <c r="P12" s="549"/>
      <c r="Q12" s="549"/>
      <c r="R12" s="549"/>
      <c r="T12" s="66" t="str" cm="1">
        <f t="array" ref="T12">IF(COUNTBLANK(Games_45056[[SCORE 1]:[SCORE 2]])=0,_xlfn.TEXTJOIN(", ", TRUE, _xlfn._xlws.FILTER($K$14:$K$25, $J$14:$J$25=U12, "")),"")</f>
        <v/>
      </c>
      <c r="U12" s="67" t="s">
        <v>39</v>
      </c>
    </row>
    <row r="13" spans="1:21" ht="15.95">
      <c r="A13" s="6" t="s">
        <v>184</v>
      </c>
      <c r="B13" s="7" t="s">
        <v>203</v>
      </c>
      <c r="C13" s="7" t="s">
        <v>186</v>
      </c>
      <c r="D13" s="7" t="s">
        <v>187</v>
      </c>
      <c r="E13" s="7" t="s">
        <v>188</v>
      </c>
      <c r="F13" s="7" t="s">
        <v>189</v>
      </c>
      <c r="G13" s="7" t="s">
        <v>8</v>
      </c>
      <c r="H13" s="80" t="s">
        <v>204</v>
      </c>
      <c r="I13" s="20" t="s">
        <v>191</v>
      </c>
      <c r="J13" s="20" t="s">
        <v>192</v>
      </c>
      <c r="K13" s="20" t="s">
        <v>1</v>
      </c>
      <c r="L13" s="20" t="s">
        <v>192</v>
      </c>
      <c r="M13" s="418" t="s">
        <v>193</v>
      </c>
      <c r="N13" s="418" t="s">
        <v>194</v>
      </c>
      <c r="O13" s="542" t="s">
        <v>195</v>
      </c>
      <c r="P13" s="543"/>
      <c r="Q13" s="418" t="s">
        <v>196</v>
      </c>
      <c r="R13" s="418" t="s">
        <v>197</v>
      </c>
      <c r="T13" s="66" t="str" cm="1">
        <f t="array" ref="T13">IF(COUNTBLANK(Games_45056[[SCORE 1]:[SCORE 2]])=0,_xlfn.TEXTJOIN(", ", TRUE, _xlfn._xlws.FILTER($K$14:$K$25, $J$14:$J$25=U13, "")),"")</f>
        <v/>
      </c>
      <c r="U13" s="67" t="s">
        <v>49</v>
      </c>
    </row>
    <row r="14" spans="1:21">
      <c r="A14" s="4" t="s">
        <v>205</v>
      </c>
      <c r="B14" s="118" t="s">
        <v>205</v>
      </c>
      <c r="C14" s="14">
        <f>SUM(COUNTIFS(Table41013172512475452986841[ATHLETE 1],Table361114182630485553996943[[#This Row],[Athletes]],Table41013172512475452986841[RESULT 12],Table361114182630485553996943[[#Headers],[WIN]]),COUNTIFS(Table41013172512475452986841[ATHLETE 2],Table361114182630485553996943[[#This Row],[Athletes]],Table41013172512475452986841[RESULT 12],Table361114182630485553996943[[#Headers],[WIN]]),COUNTIFS(Table41013172512475452986841[ATHLETE 3],Table361114182630485553996943[[#This Row],[Athletes]],Table41013172512475452986841[RESULT 34],Table361114182630485553996943[[#Headers],[WIN]]),COUNTIFS(Table41013172512475452986841[ATHLETE 4],Table361114182630485553996943[[#This Row],[Athletes]],Table41013172512475452986841[RESULT 34],Table361114182630485553996943[[#Headers],[WIN]]))</f>
        <v>0</v>
      </c>
      <c r="D14" s="14">
        <f>SUM(COUNTIFS(Table41013172512475452986841[ATHLETE 1],Table361114182630485553996943[[#This Row],[Athletes]],Table41013172512475452986841[RESULT 12],Table361114182630485553996943[[#Headers],[LOSE]]),COUNTIFS(Table41013172512475452986841[ATHLETE 2],Table361114182630485553996943[[#This Row],[Athletes]],Table41013172512475452986841[RESULT 12],Table361114182630485553996943[[#Headers],[LOSE]]),COUNTIFS(Table41013172512475452986841[ATHLETE 3],Table361114182630485553996943[[#This Row],[Athletes]],Table41013172512475452986841[RESULT 34],Table361114182630485553996943[[#Headers],[LOSE]]),COUNTIFS(Table41013172512475452986841[ATHLETE 4],Table361114182630485553996943[[#This Row],[Athletes]],Table41013172512475452986841[RESULT 34],Table361114182630485553996943[[#Headers],[LOSE]]))</f>
        <v>0</v>
      </c>
      <c r="E14" s="19">
        <f>SUM(SUMIF(Table41013172512475452986841[ATHLETE 1],Table361114182630485553996943[[#This Row],[Athletes]],Table41013172512475452986841[SALDO 12]),SUMIF(Table41013172512475452986841[ATHLETE 2],Table361114182630485553996943[[#This Row],[Athletes]],Table41013172512475452986841[SALDO 12]),SUMIF(Table41013172512475452986841[ATHLETE 3],Table361114182630485553996943[[#This Row],[Athletes]],Table41013172512475452986841[SALDO 34]),SUMIF(Table41013172512475452986841[ATHLETE 4],Table361114182630485553996943[[#This Row],[Athletes]],Table41013172512475452986841[SALDO 34]))</f>
        <v>0</v>
      </c>
      <c r="F14" s="19">
        <f>SUM(SUMIF(Table41013172512475452986841[ATHLETE 1],Table361114182630485553996943[[#This Row],[Athletes]],Table41013172512475452986841[PM 12]),SUMIF(Table41013172512475452986841[ATHLETE 2],Table361114182630485553996943[[#This Row],[Athletes]],Table41013172512475452986841[PM 12]),SUMIF(Table41013172512475452986841[ATHLETE 3],Table361114182630485553996943[[#This Row],[Athletes]],Table41013172512475452986841[PM 34]),SUMIF(Table41013172512475452986841[ATHLETE 4],Table361114182630485553996943[[#This Row],[Athletes]],Table41013172512475452986841[PM 34]))</f>
        <v>0</v>
      </c>
      <c r="G14" s="14" t="str">
        <f>IF(COUNTBLANK(Table41013172512475452986841[[SCORE 1]:[SCORE 2]])=0,IF(RANK(H14,$H$14:$H$17)=1,RANK(H14,$H$14:$H$17)&amp;"st",IF(RANK(H14,$H$14:$H$17)=2,RANK(H14,$H$14:$H$17)&amp;"nd",RANK(H14,$H$14:$H$17)&amp;"th")),"")</f>
        <v/>
      </c>
      <c r="H14" s="51">
        <f>Table361114182630485553996943[[#This Row],[WIN]]*1000000+Table361114182630485553996943[[#This Row],[Saldo]]*1000+Table361114182630485553996943[[#This Row],[PM]]</f>
        <v>0</v>
      </c>
      <c r="I14" s="2">
        <f>H14</f>
        <v>0</v>
      </c>
      <c r="J14" s="2" t="str">
        <f>IF(COUNTBLANK(Table41013172512475452986841[[SCORE 1]:[SCORE 2]])=0,IF(RANK(I14,$I$14:$I$25)=1,RANK(I14,$I$14:$I$25)&amp;"st",IF(RANK(I14,$I$14:$I$25)=2,RANK(I14,$I$14:$I$25)&amp;"nd",IF(RANK(I14,$I$14:$I$25)=3,RANK(I14,$I$14:$I$25)&amp;"rd",RANK(I14,$I$14:$I$25)&amp;"th"))),"")</f>
        <v/>
      </c>
      <c r="K14" s="38" t="str">
        <f>Table361114182630485553996943[[#This Row],[Athletes]]</f>
        <v>A1</v>
      </c>
      <c r="L14" s="2" t="str">
        <f>J14</f>
        <v/>
      </c>
      <c r="M14" s="428" t="str" cm="1">
        <f t="array" ref="M14">_xlfn.TEXTJOIN(", ", TRUE, _xlfn._xlws.FILTER($K$14:$K$25, $J$14:$J$25=$U$3, ""))</f>
        <v/>
      </c>
      <c r="N14" s="428" t="str" cm="1">
        <f t="array" ref="N14">_xlfn.TEXTJOIN(", ", TRUE, _xlfn._xlws.FILTER($K$14:$K$25, $J$14:$J$25=$U$4, ""))</f>
        <v/>
      </c>
      <c r="O14" s="119"/>
      <c r="P14" s="120"/>
      <c r="Q14" s="428" t="str" cm="1">
        <f t="array" ref="Q14">_xlfn.TEXTJOIN(", ", TRUE, _xlfn._xlws.FILTER($K$14:$K$25, $J$14:$J$25=$U$9, ""))</f>
        <v/>
      </c>
      <c r="R14" s="428" t="str" cm="1">
        <f t="array" ref="R14">_xlfn.TEXTJOIN(", ", TRUE, _xlfn._xlws.FILTER($K$14:$K$25, $J$14:$J$25=$U$10, ""))</f>
        <v/>
      </c>
      <c r="S14" s="68"/>
      <c r="T14" s="66" t="str" cm="1">
        <f t="array" ref="T14">IF(COUNTBLANK(Games_45056[[SCORE 1]:[SCORE 2]])=0,_xlfn.TEXTJOIN(", ", TRUE, _xlfn._xlws.FILTER($K$14:$K$25, $J$14:$J$25=U14, "")),"")</f>
        <v/>
      </c>
      <c r="U14" s="67" t="s">
        <v>51</v>
      </c>
    </row>
    <row r="15" spans="1:21">
      <c r="A15" s="3" t="s">
        <v>206</v>
      </c>
      <c r="B15" s="118" t="s">
        <v>206</v>
      </c>
      <c r="C15" s="14">
        <f>SUM(COUNTIFS(Table41013172512475452986841[ATHLETE 1],Table361114182630485553996943[[#This Row],[Athletes]],Table41013172512475452986841[RESULT 12],Table361114182630485553996943[[#Headers],[WIN]]),COUNTIFS(Table41013172512475452986841[ATHLETE 2],Table361114182630485553996943[[#This Row],[Athletes]],Table41013172512475452986841[RESULT 12],Table361114182630485553996943[[#Headers],[WIN]]),COUNTIFS(Table41013172512475452986841[ATHLETE 3],Table361114182630485553996943[[#This Row],[Athletes]],Table41013172512475452986841[RESULT 34],Table361114182630485553996943[[#Headers],[WIN]]),COUNTIFS(Table41013172512475452986841[ATHLETE 4],Table361114182630485553996943[[#This Row],[Athletes]],Table41013172512475452986841[RESULT 34],Table361114182630485553996943[[#Headers],[WIN]]))</f>
        <v>0</v>
      </c>
      <c r="D15" s="14">
        <f>SUM(COUNTIFS(Table41013172512475452986841[ATHLETE 1],Table361114182630485553996943[[#This Row],[Athletes]],Table41013172512475452986841[RESULT 12],Table361114182630485553996943[[#Headers],[LOSE]]),COUNTIFS(Table41013172512475452986841[ATHLETE 2],Table361114182630485553996943[[#This Row],[Athletes]],Table41013172512475452986841[RESULT 12],Table361114182630485553996943[[#Headers],[LOSE]]),COUNTIFS(Table41013172512475452986841[ATHLETE 3],Table361114182630485553996943[[#This Row],[Athletes]],Table41013172512475452986841[RESULT 34],Table361114182630485553996943[[#Headers],[LOSE]]),COUNTIFS(Table41013172512475452986841[ATHLETE 4],Table361114182630485553996943[[#This Row],[Athletes]],Table41013172512475452986841[RESULT 34],Table361114182630485553996943[[#Headers],[LOSE]]))</f>
        <v>0</v>
      </c>
      <c r="E15" s="19">
        <f>SUM(SUMIF(Table41013172512475452986841[ATHLETE 1],Table361114182630485553996943[[#This Row],[Athletes]],Table41013172512475452986841[SALDO 12]),SUMIF(Table41013172512475452986841[ATHLETE 2],Table361114182630485553996943[[#This Row],[Athletes]],Table41013172512475452986841[SALDO 12]),SUMIF(Table41013172512475452986841[ATHLETE 3],Table361114182630485553996943[[#This Row],[Athletes]],Table41013172512475452986841[SALDO 34]),SUMIF(Table41013172512475452986841[ATHLETE 4],Table361114182630485553996943[[#This Row],[Athletes]],Table41013172512475452986841[SALDO 34]))</f>
        <v>0</v>
      </c>
      <c r="F15" s="19">
        <f>SUM(SUMIF(Table41013172512475452986841[ATHLETE 1],Table361114182630485553996943[[#This Row],[Athletes]],Table41013172512475452986841[PM 12]),SUMIF(Table41013172512475452986841[ATHLETE 2],Table361114182630485553996943[[#This Row],[Athletes]],Table41013172512475452986841[PM 12]),SUMIF(Table41013172512475452986841[ATHLETE 3],Table361114182630485553996943[[#This Row],[Athletes]],Table41013172512475452986841[PM 34]),SUMIF(Table41013172512475452986841[ATHLETE 4],Table361114182630485553996943[[#This Row],[Athletes]],Table41013172512475452986841[PM 34]))</f>
        <v>0</v>
      </c>
      <c r="G15" s="14" t="str">
        <f>IF(COUNTBLANK(Table41013172512475452986841[[SCORE 1]:[SCORE 2]])=0,IF(RANK(H15,$H$14:$H$17)=1,RANK(H15,$H$14:$H$17)&amp;"st",IF(RANK(H15,$H$14:$H$17)=2,RANK(H15,$H$14:$H$17)&amp;"nd",RANK(H15,$H$14:$H$17)&amp;"th")),"")</f>
        <v/>
      </c>
      <c r="H15" s="51">
        <f>Table361114182630485553996943[[#This Row],[WIN]]*1000000+Table361114182630485553996943[[#This Row],[Saldo]]*1000+Table361114182630485553996943[[#This Row],[PM]]</f>
        <v>0</v>
      </c>
      <c r="I15" s="2">
        <f t="shared" ref="I15:I17" si="0">H15</f>
        <v>0</v>
      </c>
      <c r="J15" s="2" t="str">
        <f>IF(COUNTBLANK(Table41013172512475452986841[[SCORE 1]:[SCORE 2]])=0,IF(RANK(I15,$I$14:$I$25)=1,RANK(I15,$I$14:$I$25)&amp;"st",IF(RANK(I15,$I$14:$I$25)=2,RANK(I15,$I$14:$I$25)&amp;"nd",IF(RANK(I15,$I$14:$I$25)=3,RANK(I15,$I$14:$I$25)&amp;"rd",RANK(I15,$I$14:$I$25)&amp;"th"))),"")</f>
        <v/>
      </c>
      <c r="K15" s="38" t="str">
        <f>Table361114182630485553996943[[#This Row],[Athletes]]</f>
        <v>A2</v>
      </c>
      <c r="L15" s="2" t="str">
        <f t="shared" ref="L15:L17" si="1">J15</f>
        <v/>
      </c>
      <c r="M15" s="127" t="str">
        <f>IF($O$15="lose",$U$7,"")</f>
        <v/>
      </c>
      <c r="N15" s="127" t="str">
        <f>IF($O$15="lose",$U$8,"")</f>
        <v/>
      </c>
      <c r="O15" s="2" t="str">
        <f>IF(OR(O14="",P14=""),"",IF((O14&gt;P14),"WIN","LOSE"))</f>
        <v/>
      </c>
      <c r="P15" s="2" t="str">
        <f>IF(OR(O14="",P14=""),"",IF((O14&lt;P14),"WIN","LOSE"))</f>
        <v/>
      </c>
      <c r="Q15" s="127" t="str">
        <f>IF($P$15="lose",$U$9,"")</f>
        <v/>
      </c>
      <c r="R15" s="127" t="str">
        <f>IF($P$15="lose",$U$10,"")</f>
        <v/>
      </c>
      <c r="S15" s="17"/>
    </row>
    <row r="16" spans="1:21">
      <c r="A16" s="3" t="s">
        <v>207</v>
      </c>
      <c r="B16" s="118" t="s">
        <v>207</v>
      </c>
      <c r="C16" s="14">
        <f>SUM(COUNTIFS(Table41013172512475452986841[ATHLETE 1],Table361114182630485553996943[[#This Row],[Athletes]],Table41013172512475452986841[RESULT 12],Table361114182630485553996943[[#Headers],[WIN]]),COUNTIFS(Table41013172512475452986841[ATHLETE 2],Table361114182630485553996943[[#This Row],[Athletes]],Table41013172512475452986841[RESULT 12],Table361114182630485553996943[[#Headers],[WIN]]),COUNTIFS(Table41013172512475452986841[ATHLETE 3],Table361114182630485553996943[[#This Row],[Athletes]],Table41013172512475452986841[RESULT 34],Table361114182630485553996943[[#Headers],[WIN]]),COUNTIFS(Table41013172512475452986841[ATHLETE 4],Table361114182630485553996943[[#This Row],[Athletes]],Table41013172512475452986841[RESULT 34],Table361114182630485553996943[[#Headers],[WIN]]))</f>
        <v>0</v>
      </c>
      <c r="D16" s="14">
        <f>SUM(COUNTIFS(Table41013172512475452986841[ATHLETE 1],Table361114182630485553996943[[#This Row],[Athletes]],Table41013172512475452986841[RESULT 12],Table361114182630485553996943[[#Headers],[LOSE]]),COUNTIFS(Table41013172512475452986841[ATHLETE 2],Table361114182630485553996943[[#This Row],[Athletes]],Table41013172512475452986841[RESULT 12],Table361114182630485553996943[[#Headers],[LOSE]]),COUNTIFS(Table41013172512475452986841[ATHLETE 3],Table361114182630485553996943[[#This Row],[Athletes]],Table41013172512475452986841[RESULT 34],Table361114182630485553996943[[#Headers],[LOSE]]),COUNTIFS(Table41013172512475452986841[ATHLETE 4],Table361114182630485553996943[[#This Row],[Athletes]],Table41013172512475452986841[RESULT 34],Table361114182630485553996943[[#Headers],[LOSE]]))</f>
        <v>0</v>
      </c>
      <c r="E16" s="19">
        <f>SUM(SUMIF(Table41013172512475452986841[ATHLETE 1],Table361114182630485553996943[[#This Row],[Athletes]],Table41013172512475452986841[SALDO 12]),SUMIF(Table41013172512475452986841[ATHLETE 2],Table361114182630485553996943[[#This Row],[Athletes]],Table41013172512475452986841[SALDO 12]),SUMIF(Table41013172512475452986841[ATHLETE 3],Table361114182630485553996943[[#This Row],[Athletes]],Table41013172512475452986841[SALDO 34]),SUMIF(Table41013172512475452986841[ATHLETE 4],Table361114182630485553996943[[#This Row],[Athletes]],Table41013172512475452986841[SALDO 34]))</f>
        <v>0</v>
      </c>
      <c r="F16" s="19">
        <f>SUM(SUMIF(Table41013172512475452986841[ATHLETE 1],Table361114182630485553996943[[#This Row],[Athletes]],Table41013172512475452986841[PM 12]),SUMIF(Table41013172512475452986841[ATHLETE 2],Table361114182630485553996943[[#This Row],[Athletes]],Table41013172512475452986841[PM 12]),SUMIF(Table41013172512475452986841[ATHLETE 3],Table361114182630485553996943[[#This Row],[Athletes]],Table41013172512475452986841[PM 34]),SUMIF(Table41013172512475452986841[ATHLETE 4],Table361114182630485553996943[[#This Row],[Athletes]],Table41013172512475452986841[PM 34]))</f>
        <v>0</v>
      </c>
      <c r="G16" s="14" t="str">
        <f>IF(COUNTBLANK(Table41013172512475452986841[[SCORE 1]:[SCORE 2]])=0,IF(RANK(H16,$H$14:$H$17)=1,RANK(H16,$H$14:$H$17)&amp;"st",IF(RANK(H16,$H$14:$H$17)=2,RANK(H16,$H$14:$H$17)&amp;"nd",RANK(H16,$H$14:$H$17)&amp;"th")),"")</f>
        <v/>
      </c>
      <c r="H16" s="51">
        <f>Table361114182630485553996943[[#This Row],[WIN]]*1000000+Table361114182630485553996943[[#This Row],[Saldo]]*1000+Table361114182630485553996943[[#This Row],[PM]]</f>
        <v>0</v>
      </c>
      <c r="I16" s="2">
        <f t="shared" si="0"/>
        <v>0</v>
      </c>
      <c r="J16" s="2" t="str">
        <f>IF(COUNTBLANK(Table41013172512475452986841[[SCORE 1]:[SCORE 2]])=0,IF(RANK(I16,$I$14:$I$25)=1,RANK(I16,$I$14:$I$25)&amp;"st",IF(RANK(I16,$I$14:$I$25)=2,RANK(I16,$I$14:$I$25)&amp;"nd",IF(RANK(I16,$I$14:$I$25)=3,RANK(I16,$I$14:$I$25)&amp;"rd",RANK(I16,$I$14:$I$25)&amp;"th"))),"")</f>
        <v/>
      </c>
      <c r="K16" s="38" t="str">
        <f>Table361114182630485553996943[[#This Row],[Athletes]]</f>
        <v>A3</v>
      </c>
      <c r="L16" s="2" t="str">
        <f t="shared" si="1"/>
        <v/>
      </c>
      <c r="M16" s="90">
        <v>1</v>
      </c>
      <c r="N16" s="90">
        <v>2</v>
      </c>
      <c r="O16" s="90"/>
      <c r="P16" s="90"/>
      <c r="Q16" s="90">
        <v>7</v>
      </c>
      <c r="R16" s="90">
        <v>8</v>
      </c>
    </row>
    <row r="17" spans="1:21" ht="15.95">
      <c r="A17" s="5" t="s">
        <v>208</v>
      </c>
      <c r="B17" s="118" t="s">
        <v>208</v>
      </c>
      <c r="C17" s="14">
        <f>SUM(COUNTIFS(Table41013172512475452986841[ATHLETE 1],Table361114182630485553996943[[#This Row],[Athletes]],Table41013172512475452986841[RESULT 12],Table361114182630485553996943[[#Headers],[WIN]]),COUNTIFS(Table41013172512475452986841[ATHLETE 2],Table361114182630485553996943[[#This Row],[Athletes]],Table41013172512475452986841[RESULT 12],Table361114182630485553996943[[#Headers],[WIN]]),COUNTIFS(Table41013172512475452986841[ATHLETE 3],Table361114182630485553996943[[#This Row],[Athletes]],Table41013172512475452986841[RESULT 34],Table361114182630485553996943[[#Headers],[WIN]]),COUNTIFS(Table41013172512475452986841[ATHLETE 4],Table361114182630485553996943[[#This Row],[Athletes]],Table41013172512475452986841[RESULT 34],Table361114182630485553996943[[#Headers],[WIN]]))</f>
        <v>0</v>
      </c>
      <c r="D17" s="14">
        <f>SUM(COUNTIFS(Table41013172512475452986841[ATHLETE 1],Table361114182630485553996943[[#This Row],[Athletes]],Table41013172512475452986841[RESULT 12],Table361114182630485553996943[[#Headers],[LOSE]]),COUNTIFS(Table41013172512475452986841[ATHLETE 2],Table361114182630485553996943[[#This Row],[Athletes]],Table41013172512475452986841[RESULT 12],Table361114182630485553996943[[#Headers],[LOSE]]),COUNTIFS(Table41013172512475452986841[ATHLETE 3],Table361114182630485553996943[[#This Row],[Athletes]],Table41013172512475452986841[RESULT 34],Table361114182630485553996943[[#Headers],[LOSE]]),COUNTIFS(Table41013172512475452986841[ATHLETE 4],Table361114182630485553996943[[#This Row],[Athletes]],Table41013172512475452986841[RESULT 34],Table361114182630485553996943[[#Headers],[LOSE]]))</f>
        <v>0</v>
      </c>
      <c r="E17" s="19">
        <f>SUM(SUMIF(Table41013172512475452986841[ATHLETE 1],Table361114182630485553996943[[#This Row],[Athletes]],Table41013172512475452986841[SALDO 12]),SUMIF(Table41013172512475452986841[ATHLETE 2],Table361114182630485553996943[[#This Row],[Athletes]],Table41013172512475452986841[SALDO 12]),SUMIF(Table41013172512475452986841[ATHLETE 3],Table361114182630485553996943[[#This Row],[Athletes]],Table41013172512475452986841[SALDO 34]),SUMIF(Table41013172512475452986841[ATHLETE 4],Table361114182630485553996943[[#This Row],[Athletes]],Table41013172512475452986841[SALDO 34]))</f>
        <v>0</v>
      </c>
      <c r="F17" s="19">
        <f>SUM(SUMIF(Table41013172512475452986841[ATHLETE 1],Table361114182630485553996943[[#This Row],[Athletes]],Table41013172512475452986841[PM 12]),SUMIF(Table41013172512475452986841[ATHLETE 2],Table361114182630485553996943[[#This Row],[Athletes]],Table41013172512475452986841[PM 12]),SUMIF(Table41013172512475452986841[ATHLETE 3],Table361114182630485553996943[[#This Row],[Athletes]],Table41013172512475452986841[PM 34]),SUMIF(Table41013172512475452986841[ATHLETE 4],Table361114182630485553996943[[#This Row],[Athletes]],Table41013172512475452986841[PM 34]))</f>
        <v>0</v>
      </c>
      <c r="G17" s="14" t="str">
        <f>IF(COUNTBLANK(Table41013172512475452986841[[SCORE 1]:[SCORE 2]])=0,IF(RANK(H17,$H$14:$H$17)=1,RANK(H17,$H$14:$H$17)&amp;"st",IF(RANK(H17,$H$14:$H$17)=2,RANK(H17,$H$14:$H$17)&amp;"nd",RANK(H17,$H$14:$H$17)&amp;"th")),"")</f>
        <v/>
      </c>
      <c r="H17" s="51">
        <f>Table361114182630485553996943[[#This Row],[WIN]]*1000000+Table361114182630485553996943[[#This Row],[Saldo]]*1000+Table361114182630485553996943[[#This Row],[PM]]</f>
        <v>0</v>
      </c>
      <c r="I17" s="2">
        <f t="shared" si="0"/>
        <v>0</v>
      </c>
      <c r="J17" s="2" t="str">
        <f>IF(COUNTBLANK(Table41013172512475452986841[[SCORE 1]:[SCORE 2]])=0,IF(RANK(I17,$I$14:$I$25)=1,RANK(I17,$I$14:$I$25)&amp;"st",IF(RANK(I17,$I$14:$I$25)=2,RANK(I17,$I$14:$I$25)&amp;"nd",IF(RANK(I17,$I$14:$I$25)=3,RANK(I17,$I$14:$I$25)&amp;"rd",RANK(I17,$I$14:$I$25)&amp;"th"))),"")</f>
        <v/>
      </c>
      <c r="K17" s="38" t="str">
        <f>Table361114182630485553996943[[#This Row],[Athletes]]</f>
        <v>A4</v>
      </c>
      <c r="L17" s="2" t="str">
        <f t="shared" si="1"/>
        <v/>
      </c>
      <c r="M17" s="90"/>
      <c r="N17" s="90"/>
      <c r="O17" s="90"/>
      <c r="P17" s="90"/>
      <c r="Q17" s="90"/>
      <c r="R17" s="90"/>
      <c r="T17" s="44"/>
      <c r="U17" s="44"/>
    </row>
    <row r="18" spans="1:21">
      <c r="I18" s="2">
        <f>H20</f>
        <v>0</v>
      </c>
      <c r="J18" s="2" t="str">
        <f>IF(COUNTBLANK(Table41013172512475452986841[[SCORE 1]:[SCORE 2]])=0,IF(RANK(I18,$I$14:$I$25)=1,RANK(I18,$I$14:$I$25)&amp;"st",IF(RANK(I18,$I$14:$I$25)=2,RANK(I18,$I$14:$I$25)&amp;"nd",IF(RANK(I18,$I$14:$I$25)=3,RANK(I18,$I$14:$I$25)&amp;"rd",RANK(I18,$I$14:$I$25)&amp;"th"))),"")</f>
        <v/>
      </c>
      <c r="K18" s="38" t="str">
        <f>B20</f>
        <v>B1</v>
      </c>
      <c r="L18" s="2"/>
      <c r="M18" s="418" t="s">
        <v>193</v>
      </c>
      <c r="N18" s="418" t="s">
        <v>194</v>
      </c>
      <c r="O18" s="542" t="s">
        <v>195</v>
      </c>
      <c r="P18" s="543"/>
      <c r="Q18" s="418" t="s">
        <v>196</v>
      </c>
      <c r="R18" s="418" t="s">
        <v>197</v>
      </c>
    </row>
    <row r="19" spans="1:21" s="44" customFormat="1" ht="28.5" customHeight="1">
      <c r="A19" s="9" t="s">
        <v>184</v>
      </c>
      <c r="B19" s="48" t="s">
        <v>203</v>
      </c>
      <c r="C19" s="48" t="s">
        <v>186</v>
      </c>
      <c r="D19" s="48" t="s">
        <v>187</v>
      </c>
      <c r="E19" s="48" t="s">
        <v>188</v>
      </c>
      <c r="F19" s="48" t="s">
        <v>189</v>
      </c>
      <c r="G19" s="43" t="s">
        <v>8</v>
      </c>
      <c r="H19" s="79" t="s">
        <v>204</v>
      </c>
      <c r="I19" s="2">
        <f>H21</f>
        <v>0</v>
      </c>
      <c r="J19" s="2" t="str">
        <f>IF(COUNTBLANK(Table41013172512475452986841[[SCORE 1]:[SCORE 2]])=0,IF(RANK(I19,$I$14:$I$25)=1,RANK(I19,$I$14:$I$25)&amp;"st",IF(RANK(I19,$I$14:$I$25)=2,RANK(I19,$I$14:$I$25)&amp;"nd",IF(RANK(I19,$I$14:$I$25)=3,RANK(I19,$I$14:$I$25)&amp;"rd",RANK(I19,$I$14:$I$25)&amp;"th"))),"")</f>
        <v/>
      </c>
      <c r="K19" s="38" t="str">
        <f>B21</f>
        <v>B2</v>
      </c>
      <c r="L19" s="419" t="s">
        <v>192</v>
      </c>
      <c r="M19" s="147" t="str" cm="1">
        <f t="array" ref="M19">_xlfn.TEXTJOIN(", ", TRUE, _xlfn._xlws.FILTER($K$14:$K$25, $J$14:$J$25=$U$5, ""))</f>
        <v/>
      </c>
      <c r="N19" s="147" t="str" cm="1">
        <f t="array" ref="N19">_xlfn.TEXTJOIN(", ", TRUE, _xlfn._xlws.FILTER($K$14:$K$25, $J$14:$J$25=$U$6, ""))</f>
        <v/>
      </c>
      <c r="O19" s="119"/>
      <c r="P19" s="119"/>
      <c r="Q19" s="147" t="str" cm="1">
        <f t="array" ref="Q19">_xlfn.TEXTJOIN(", ", TRUE, _xlfn._xlws.FILTER($K$14:$K$25, $J$14:$J$25=$U$7, ""))</f>
        <v/>
      </c>
      <c r="R19" s="428" t="str" cm="1">
        <f t="array" ref="R19">_xlfn.TEXTJOIN(", ", TRUE, _xlfn._xlws.FILTER($K$14:$K$25, $J$14:$J$25=$U$8, ""))</f>
        <v/>
      </c>
      <c r="T19"/>
      <c r="U19"/>
    </row>
    <row r="20" spans="1:21">
      <c r="A20" s="430" t="s">
        <v>209</v>
      </c>
      <c r="B20" s="118" t="s">
        <v>209</v>
      </c>
      <c r="C20" s="14">
        <f>SUM(COUNTIFS(Table41013172512475452986841[ATHLETE 1],Table612151927314956711007044[[#This Row],[Athletes]],Table41013172512475452986841[RESULT 12],Table361114182630485553996943[[#Headers],[WIN]]),COUNTIFS(Table41013172512475452986841[ATHLETE 2],Table612151927314956711007044[[#This Row],[Athletes]],Table41013172512475452986841[RESULT 12],Table361114182630485553996943[[#Headers],[WIN]]),COUNTIFS(Table41013172512475452986841[ATHLETE 3],Table612151927314956711007044[[#This Row],[Athletes]],Table41013172512475452986841[RESULT 34],Table361114182630485553996943[[#Headers],[WIN]]),COUNTIFS(Table41013172512475452986841[ATHLETE 4],Table612151927314956711007044[[#This Row],[Athletes]],Table41013172512475452986841[RESULT 34],Table361114182630485553996943[[#Headers],[WIN]]))</f>
        <v>0</v>
      </c>
      <c r="D20" s="12">
        <f>SUM(COUNTIFS(Table41013172512475452986841[ATHLETE 1],Table612151927314956711007044[[#This Row],[Athletes]],Table41013172512475452986841[RESULT 12],Table361114182630485553996943[[#Headers],[LOSE]]),COUNTIFS(Table41013172512475452986841[ATHLETE 2],Table612151927314956711007044[[#This Row],[Athletes]],Table41013172512475452986841[RESULT 12],Table361114182630485553996943[[#Headers],[LOSE]]),COUNTIFS(Table41013172512475452986841[ATHLETE 3],Table612151927314956711007044[[#This Row],[Athletes]],Table41013172512475452986841[RESULT 34],Table361114182630485553996943[[#Headers],[LOSE]]),COUNTIFS(Table41013172512475452986841[ATHLETE 4],Table612151927314956711007044[[#This Row],[Athletes]],Table41013172512475452986841[RESULT 34],Table361114182630485553996943[[#Headers],[LOSE]]))</f>
        <v>0</v>
      </c>
      <c r="E20" s="19">
        <f>SUM(SUMIF(Table41013172512475452986841[ATHLETE 1],Table612151927314956711007044[[#This Row],[Athletes]],Table41013172512475452986841[SALDO 12]),SUMIF(Table41013172512475452986841[ATHLETE 2],Table612151927314956711007044[[#This Row],[Athletes]],Table41013172512475452986841[SALDO 12]),SUMIF(Table41013172512475452986841[ATHLETE 3],Table612151927314956711007044[[#This Row],[Athletes]],Table41013172512475452986841[SALDO 34]),SUMIF(Table41013172512475452986841[ATHLETE 4],Table612151927314956711007044[[#This Row],[Athletes]],Table41013172512475452986841[SALDO 34]))</f>
        <v>0</v>
      </c>
      <c r="F20" s="19">
        <f>SUM(SUMIF(Table41013172512475452986841[ATHLETE 1],Table612151927314956711007044[[#This Row],[Athletes]],Table41013172512475452986841[PM 12]),SUMIF(Table41013172512475452986841[ATHLETE 2],Table612151927314956711007044[[#This Row],[Athletes]],Table41013172512475452986841[PM 12]),SUMIF(Table41013172512475452986841[ATHLETE 3],Table612151927314956711007044[[#This Row],[Athletes]],Table41013172512475452986841[PM 34]),SUMIF(Table41013172512475452986841[ATHLETE 4],Table612151927314956711007044[[#This Row],[Athletes]],Table41013172512475452986841[PM 34]))</f>
        <v>0</v>
      </c>
      <c r="G20" s="14" t="str">
        <f>IF(COUNTBLANK(Table41013172512475452986841[[SCORE 1]:[SCORE 2]])=0,IF(RANK(H20,$H$20:$H$23)=1,RANK(H20,$H$20:$H$23)&amp;"st",IF(RANK(H20,$H$20:$H$23)=2,RANK(H20,$H$20:$H$23)&amp;"nd",RANK(H20,$H$20:$H$23)&amp;"th")),"")</f>
        <v/>
      </c>
      <c r="H20" s="51">
        <f>Table612151927314956711007044[[#This Row],[WIN]]*1000000+Table612151927314956711007044[[#This Row],[Saldo]]*1000+Table612151927314956711007044[[#This Row],[PM]]</f>
        <v>0</v>
      </c>
      <c r="I20" s="2">
        <f>H22</f>
        <v>0</v>
      </c>
      <c r="J20" s="2" t="str">
        <f>IF(COUNTBLANK(Table41013172512475452986841[[SCORE 1]:[SCORE 2]])=0,IF(RANK(I20,$I$14:$I$25)=1,RANK(I20,$I$14:$I$25)&amp;"st",IF(RANK(I20,$I$14:$I$25)=2,RANK(I20,$I$14:$I$25)&amp;"nd",IF(RANK(I20,$I$14:$I$25)=3,RANK(I20,$I$14:$I$25)&amp;"rd",RANK(I20,$I$14:$I$25)&amp;"th"))),"")</f>
        <v/>
      </c>
      <c r="K20" s="38" t="str">
        <f>B22</f>
        <v>B3</v>
      </c>
      <c r="L20" s="2" t="str">
        <f>J18</f>
        <v/>
      </c>
      <c r="M20" s="127" t="str">
        <f>IF(AND($O$20="lose",$O$15="lose"),$U$9,IF($O$20="lose",$U$7,""))</f>
        <v/>
      </c>
      <c r="N20" s="127" t="str">
        <f>IF(AND($O$20="lose",$O$15="lose"),$U$10,IF($O$20="lose",$U$8,""))</f>
        <v/>
      </c>
      <c r="O20" s="2" t="str">
        <f>IF(OR(O19="",P19=""),"",IF((O19&gt;P19),"WIN","LOSE"))</f>
        <v/>
      </c>
      <c r="P20" s="2" t="str">
        <f>IF(OR(O19="",P19=""),"",IF((O19&lt;P19),"WIN","LOSE"))</f>
        <v/>
      </c>
      <c r="Q20" s="127" t="str">
        <f>IF(AND($P$20="lose",$O$15="lose"),$U$9,IF($P$20="lose",$U$7,""))</f>
        <v/>
      </c>
      <c r="R20" s="127" t="str">
        <f>IF(AND($P$20="lose",$O$15="lose"),$U$10,IF($P$20="lose",$U$8,""))</f>
        <v/>
      </c>
    </row>
    <row r="21" spans="1:21">
      <c r="A21" s="430" t="s">
        <v>210</v>
      </c>
      <c r="B21" s="118" t="s">
        <v>210</v>
      </c>
      <c r="C21" s="14">
        <f>SUM(COUNTIFS(Table41013172512475452986841[ATHLETE 1],Table612151927314956711007044[[#This Row],[Athletes]],Table41013172512475452986841[RESULT 12],Table361114182630485553996943[[#Headers],[WIN]]),COUNTIFS(Table41013172512475452986841[ATHLETE 2],Table612151927314956711007044[[#This Row],[Athletes]],Table41013172512475452986841[RESULT 12],Table361114182630485553996943[[#Headers],[WIN]]),COUNTIFS(Table41013172512475452986841[ATHLETE 3],Table612151927314956711007044[[#This Row],[Athletes]],Table41013172512475452986841[RESULT 34],Table361114182630485553996943[[#Headers],[WIN]]),COUNTIFS(Table41013172512475452986841[ATHLETE 4],Table612151927314956711007044[[#This Row],[Athletes]],Table41013172512475452986841[RESULT 34],Table361114182630485553996943[[#Headers],[WIN]]))</f>
        <v>0</v>
      </c>
      <c r="D21" s="12">
        <f>SUM(COUNTIFS(Table41013172512475452986841[ATHLETE 1],Table612151927314956711007044[[#This Row],[Athletes]],Table41013172512475452986841[RESULT 12],Table361114182630485553996943[[#Headers],[LOSE]]),COUNTIFS(Table41013172512475452986841[ATHLETE 2],Table612151927314956711007044[[#This Row],[Athletes]],Table41013172512475452986841[RESULT 12],Table361114182630485553996943[[#Headers],[LOSE]]),COUNTIFS(Table41013172512475452986841[ATHLETE 3],Table612151927314956711007044[[#This Row],[Athletes]],Table41013172512475452986841[RESULT 34],Table361114182630485553996943[[#Headers],[LOSE]]),COUNTIFS(Table41013172512475452986841[ATHLETE 4],Table612151927314956711007044[[#This Row],[Athletes]],Table41013172512475452986841[RESULT 34],Table361114182630485553996943[[#Headers],[LOSE]]))</f>
        <v>0</v>
      </c>
      <c r="E21" s="19">
        <f>SUM(SUMIF(Table41013172512475452986841[ATHLETE 1],Table612151927314956711007044[[#This Row],[Athletes]],Table41013172512475452986841[SALDO 12]),SUMIF(Table41013172512475452986841[ATHLETE 2],Table612151927314956711007044[[#This Row],[Athletes]],Table41013172512475452986841[SALDO 12]),SUMIF(Table41013172512475452986841[ATHLETE 3],Table612151927314956711007044[[#This Row],[Athletes]],Table41013172512475452986841[SALDO 34]),SUMIF(Table41013172512475452986841[ATHLETE 4],Table612151927314956711007044[[#This Row],[Athletes]],Table41013172512475452986841[SALDO 34]))</f>
        <v>0</v>
      </c>
      <c r="F21" s="19">
        <f>SUM(SUMIF(Table41013172512475452986841[ATHLETE 1],Table612151927314956711007044[[#This Row],[Athletes]],Table41013172512475452986841[PM 12]),SUMIF(Table41013172512475452986841[ATHLETE 2],Table612151927314956711007044[[#This Row],[Athletes]],Table41013172512475452986841[PM 12]),SUMIF(Table41013172512475452986841[ATHLETE 3],Table612151927314956711007044[[#This Row],[Athletes]],Table41013172512475452986841[PM 34]),SUMIF(Table41013172512475452986841[ATHLETE 4],Table612151927314956711007044[[#This Row],[Athletes]],Table41013172512475452986841[PM 34]))</f>
        <v>0</v>
      </c>
      <c r="G21" s="14" t="str">
        <f>IF(COUNTBLANK(Table41013172512475452986841[[SCORE 1]:[SCORE 2]])=0,IF(RANK(H21,$H$20:$H$23)=1,RANK(H21,$H$20:$H$23)&amp;"st",IF(RANK(H21,$H$20:$H$23)=2,RANK(H21,$H$20:$H$23)&amp;"nd",RANK(H21,$H$20:$H$23)&amp;"th")),"")</f>
        <v/>
      </c>
      <c r="H21" s="51">
        <f>Table612151927314956711007044[[#This Row],[WIN]]*1000000+Table612151927314956711007044[[#This Row],[Saldo]]*1000+Table612151927314956711007044[[#This Row],[PM]]</f>
        <v>0</v>
      </c>
      <c r="I21" s="2">
        <f>H23</f>
        <v>0</v>
      </c>
      <c r="J21" s="2" t="str">
        <f>IF(COUNTBLANK(Table41013172512475452986841[[SCORE 1]:[SCORE 2]])=0,IF(RANK(I21,$I$14:$I$25)=1,RANK(I21,$I$14:$I$25)&amp;"st",IF(RANK(I21,$I$14:$I$25)=2,RANK(I21,$I$14:$I$25)&amp;"nd",IF(RANK(I21,$I$14:$I$25)=3,RANK(I21,$I$14:$I$25)&amp;"rd",RANK(I21,$I$14:$I$25)&amp;"th"))),"")</f>
        <v/>
      </c>
      <c r="K21" s="38" t="str">
        <f>B23</f>
        <v>B4</v>
      </c>
      <c r="L21" s="2" t="str">
        <f t="shared" ref="L21:L23" si="2">J19</f>
        <v/>
      </c>
      <c r="M21" s="90">
        <v>3</v>
      </c>
      <c r="N21" s="90">
        <v>4</v>
      </c>
      <c r="O21" s="90"/>
      <c r="P21" s="90"/>
      <c r="Q21" s="90">
        <v>5</v>
      </c>
      <c r="R21" s="90">
        <v>6</v>
      </c>
    </row>
    <row r="22" spans="1:21">
      <c r="A22" s="430" t="s">
        <v>211</v>
      </c>
      <c r="B22" s="118" t="s">
        <v>211</v>
      </c>
      <c r="C22" s="14">
        <f>SUM(COUNTIFS(Table41013172512475452986841[ATHLETE 1],Table612151927314956711007044[[#This Row],[Athletes]],Table41013172512475452986841[RESULT 12],Table361114182630485553996943[[#Headers],[WIN]]),COUNTIFS(Table41013172512475452986841[ATHLETE 2],Table612151927314956711007044[[#This Row],[Athletes]],Table41013172512475452986841[RESULT 12],Table361114182630485553996943[[#Headers],[WIN]]),COUNTIFS(Table41013172512475452986841[ATHLETE 3],Table612151927314956711007044[[#This Row],[Athletes]],Table41013172512475452986841[RESULT 34],Table361114182630485553996943[[#Headers],[WIN]]),COUNTIFS(Table41013172512475452986841[ATHLETE 4],Table612151927314956711007044[[#This Row],[Athletes]],Table41013172512475452986841[RESULT 34],Table361114182630485553996943[[#Headers],[WIN]]))</f>
        <v>0</v>
      </c>
      <c r="D22" s="12">
        <f>SUM(COUNTIFS(Table41013172512475452986841[ATHLETE 1],Table612151927314956711007044[[#This Row],[Athletes]],Table41013172512475452986841[RESULT 12],Table361114182630485553996943[[#Headers],[LOSE]]),COUNTIFS(Table41013172512475452986841[ATHLETE 2],Table612151927314956711007044[[#This Row],[Athletes]],Table41013172512475452986841[RESULT 12],Table361114182630485553996943[[#Headers],[LOSE]]),COUNTIFS(Table41013172512475452986841[ATHLETE 3],Table612151927314956711007044[[#This Row],[Athletes]],Table41013172512475452986841[RESULT 34],Table361114182630485553996943[[#Headers],[LOSE]]),COUNTIFS(Table41013172512475452986841[ATHLETE 4],Table612151927314956711007044[[#This Row],[Athletes]],Table41013172512475452986841[RESULT 34],Table361114182630485553996943[[#Headers],[LOSE]]))</f>
        <v>0</v>
      </c>
      <c r="E22" s="19">
        <f>SUM(SUMIF(Table41013172512475452986841[ATHLETE 1],Table612151927314956711007044[[#This Row],[Athletes]],Table41013172512475452986841[SALDO 12]),SUMIF(Table41013172512475452986841[ATHLETE 2],Table612151927314956711007044[[#This Row],[Athletes]],Table41013172512475452986841[SALDO 12]),SUMIF(Table41013172512475452986841[ATHLETE 3],Table612151927314956711007044[[#This Row],[Athletes]],Table41013172512475452986841[SALDO 34]),SUMIF(Table41013172512475452986841[ATHLETE 4],Table612151927314956711007044[[#This Row],[Athletes]],Table41013172512475452986841[SALDO 34]))</f>
        <v>0</v>
      </c>
      <c r="F22" s="19">
        <f>SUM(SUMIF(Table41013172512475452986841[ATHLETE 1],Table612151927314956711007044[[#This Row],[Athletes]],Table41013172512475452986841[PM 12]),SUMIF(Table41013172512475452986841[ATHLETE 2],Table612151927314956711007044[[#This Row],[Athletes]],Table41013172512475452986841[PM 12]),SUMIF(Table41013172512475452986841[ATHLETE 3],Table612151927314956711007044[[#This Row],[Athletes]],Table41013172512475452986841[PM 34]),SUMIF(Table41013172512475452986841[ATHLETE 4],Table612151927314956711007044[[#This Row],[Athletes]],Table41013172512475452986841[PM 34]))</f>
        <v>0</v>
      </c>
      <c r="G22" s="14" t="str">
        <f>IF(COUNTBLANK(Table41013172512475452986841[[SCORE 1]:[SCORE 2]])=0,IF(RANK(H22,$H$20:$H$23)=1,RANK(H22,$H$20:$H$23)&amp;"st",IF(RANK(H22,$H$20:$H$23)=2,RANK(H22,$H$20:$H$23)&amp;"nd",RANK(H22,$H$20:$H$23)&amp;"th")),"")</f>
        <v/>
      </c>
      <c r="H22" s="51">
        <f>Table612151927314956711007044[[#This Row],[WIN]]*1000000+Table612151927314956711007044[[#This Row],[Saldo]]*1000+Table612151927314956711007044[[#This Row],[PM]]</f>
        <v>0</v>
      </c>
      <c r="I22" s="2">
        <f>H26</f>
        <v>0</v>
      </c>
      <c r="J22" s="2" t="str">
        <f>IF(COUNTBLANK(Table41013172512475452986841[[SCORE 1]:[SCORE 2]])=0,IF(RANK(I22,$I$14:$I$25)=1,RANK(I22,$I$14:$I$25)&amp;"st",IF(RANK(I22,$I$14:$I$25)=2,RANK(I22,$I$14:$I$25)&amp;"nd",IF(RANK(I22,$I$14:$I$25)=3,RANK(I22,$I$14:$I$25)&amp;"rd",RANK(I22,$I$14:$I$25)&amp;"th"))),"")</f>
        <v/>
      </c>
      <c r="K22" s="38" t="str">
        <f>B26</f>
        <v>C1</v>
      </c>
      <c r="L22" s="2" t="str">
        <f t="shared" si="2"/>
        <v/>
      </c>
      <c r="M22" s="90"/>
      <c r="N22" s="90"/>
      <c r="O22" s="90"/>
      <c r="P22" s="90"/>
      <c r="Q22" s="90"/>
      <c r="R22" s="90"/>
    </row>
    <row r="23" spans="1:21" ht="29.1">
      <c r="A23" s="430" t="s">
        <v>212</v>
      </c>
      <c r="B23" s="118" t="s">
        <v>212</v>
      </c>
      <c r="C23" s="14">
        <f>SUM(COUNTIFS(Table41013172512475452986841[ATHLETE 1],Table612151927314956711007044[[#This Row],[Athletes]],Table41013172512475452986841[RESULT 12],Table361114182630485553996943[[#Headers],[WIN]]),COUNTIFS(Table41013172512475452986841[ATHLETE 2],Table612151927314956711007044[[#This Row],[Athletes]],Table41013172512475452986841[RESULT 12],Table361114182630485553996943[[#Headers],[WIN]]),COUNTIFS(Table41013172512475452986841[ATHLETE 3],Table612151927314956711007044[[#This Row],[Athletes]],Table41013172512475452986841[RESULT 34],Table361114182630485553996943[[#Headers],[WIN]]),COUNTIFS(Table41013172512475452986841[ATHLETE 4],Table612151927314956711007044[[#This Row],[Athletes]],Table41013172512475452986841[RESULT 34],Table361114182630485553996943[[#Headers],[WIN]]))</f>
        <v>0</v>
      </c>
      <c r="D23" s="12">
        <f>SUM(COUNTIFS(Table41013172512475452986841[ATHLETE 1],Table612151927314956711007044[[#This Row],[Athletes]],Table41013172512475452986841[RESULT 12],Table361114182630485553996943[[#Headers],[LOSE]]),COUNTIFS(Table41013172512475452986841[ATHLETE 2],Table612151927314956711007044[[#This Row],[Athletes]],Table41013172512475452986841[RESULT 12],Table361114182630485553996943[[#Headers],[LOSE]]),COUNTIFS(Table41013172512475452986841[ATHLETE 3],Table612151927314956711007044[[#This Row],[Athletes]],Table41013172512475452986841[RESULT 34],Table361114182630485553996943[[#Headers],[LOSE]]),COUNTIFS(Table41013172512475452986841[ATHLETE 4],Table612151927314956711007044[[#This Row],[Athletes]],Table41013172512475452986841[RESULT 34],Table361114182630485553996943[[#Headers],[LOSE]]))</f>
        <v>0</v>
      </c>
      <c r="E23" s="19">
        <f>SUM(SUMIF(Table41013172512475452986841[ATHLETE 1],Table612151927314956711007044[[#This Row],[Athletes]],Table41013172512475452986841[SALDO 12]),SUMIF(Table41013172512475452986841[ATHLETE 2],Table612151927314956711007044[[#This Row],[Athletes]],Table41013172512475452986841[SALDO 12]),SUMIF(Table41013172512475452986841[ATHLETE 3],Table612151927314956711007044[[#This Row],[Athletes]],Table41013172512475452986841[SALDO 34]),SUMIF(Table41013172512475452986841[ATHLETE 4],Table612151927314956711007044[[#This Row],[Athletes]],Table41013172512475452986841[SALDO 34]))</f>
        <v>0</v>
      </c>
      <c r="F23" s="19">
        <f>SUM(SUMIF(Table41013172512475452986841[ATHLETE 1],Table612151927314956711007044[[#This Row],[Athletes]],Table41013172512475452986841[PM 12]),SUMIF(Table41013172512475452986841[ATHLETE 2],Table612151927314956711007044[[#This Row],[Athletes]],Table41013172512475452986841[PM 12]),SUMIF(Table41013172512475452986841[ATHLETE 3],Table612151927314956711007044[[#This Row],[Athletes]],Table41013172512475452986841[PM 34]),SUMIF(Table41013172512475452986841[ATHLETE 4],Table612151927314956711007044[[#This Row],[Athletes]],Table41013172512475452986841[PM 34]))</f>
        <v>0</v>
      </c>
      <c r="G23" s="14" t="str">
        <f>IF(COUNTBLANK(Table41013172512475452986841[[SCORE 1]:[SCORE 2]])=0,IF(RANK(H23,$H$20:$H$23)=1,RANK(H23,$H$20:$H$23)&amp;"st",IF(RANK(H23,$H$20:$H$23)=2,RANK(H23,$H$20:$H$23)&amp;"nd",RANK(H23,$H$20:$H$23)&amp;"th")),"")</f>
        <v/>
      </c>
      <c r="H23" s="51">
        <f>Table612151927314956711007044[[#This Row],[WIN]]*1000000+Table612151927314956711007044[[#This Row],[Saldo]]*1000+Table612151927314956711007044[[#This Row],[PM]]</f>
        <v>0</v>
      </c>
      <c r="I23" s="2">
        <f>H27</f>
        <v>0</v>
      </c>
      <c r="J23" s="2" t="str">
        <f>IF(COUNTBLANK(Table41013172512475452986841[[SCORE 1]:[SCORE 2]])=0,IF(RANK(I23,$I$14:$I$25)=1,RANK(I23,$I$14:$I$25)&amp;"st",IF(RANK(I23,$I$14:$I$25)=2,RANK(I23,$I$14:$I$25)&amp;"nd",IF(RANK(I23,$I$14:$I$25)=3,RANK(I23,$I$14:$I$25)&amp;"rd",RANK(I23,$I$14:$I$25)&amp;"th"))),"")</f>
        <v/>
      </c>
      <c r="K23" s="38" t="str">
        <f>B27</f>
        <v>C2</v>
      </c>
      <c r="L23" s="2" t="str">
        <f t="shared" si="2"/>
        <v/>
      </c>
      <c r="M23" s="548" t="s">
        <v>199</v>
      </c>
      <c r="N23" s="549"/>
      <c r="O23" s="549"/>
      <c r="P23" s="549"/>
      <c r="Q23" s="549"/>
      <c r="R23" s="549"/>
    </row>
    <row r="24" spans="1:21">
      <c r="I24" s="2">
        <f>H28</f>
        <v>0</v>
      </c>
      <c r="J24" s="2" t="str">
        <f>IF(COUNTBLANK(Table41013172512475452986841[[SCORE 1]:[SCORE 2]])=0,IF(RANK(I24,$I$14:$I$25)=1,RANK(I24,$I$14:$I$25)&amp;"st",IF(RANK(I24,$I$14:$I$25)=2,RANK(I24,$I$14:$I$25)&amp;"nd",IF(RANK(I24,$I$14:$I$25)=3,RANK(I24,$I$14:$I$25)&amp;"rd",RANK(I24,$I$14:$I$25)&amp;"th"))),"")</f>
        <v/>
      </c>
      <c r="K24" s="38" t="str">
        <f>B28</f>
        <v>C3</v>
      </c>
      <c r="L24" s="2"/>
      <c r="M24" s="418" t="s">
        <v>193</v>
      </c>
      <c r="N24" s="418" t="s">
        <v>194</v>
      </c>
      <c r="O24" s="542" t="s">
        <v>195</v>
      </c>
      <c r="P24" s="543"/>
      <c r="Q24" s="418" t="s">
        <v>196</v>
      </c>
      <c r="R24" s="418" t="s">
        <v>197</v>
      </c>
    </row>
    <row r="25" spans="1:21" ht="15.95">
      <c r="A25" s="9" t="s">
        <v>184</v>
      </c>
      <c r="B25" s="10" t="s">
        <v>203</v>
      </c>
      <c r="C25" s="10" t="s">
        <v>186</v>
      </c>
      <c r="D25" s="10" t="s">
        <v>187</v>
      </c>
      <c r="E25" s="10" t="s">
        <v>188</v>
      </c>
      <c r="F25" s="10" t="s">
        <v>189</v>
      </c>
      <c r="G25" s="7" t="s">
        <v>8</v>
      </c>
      <c r="H25" s="78" t="s">
        <v>204</v>
      </c>
      <c r="I25" s="2">
        <f>H29</f>
        <v>0</v>
      </c>
      <c r="J25" s="2" t="str">
        <f>IF(COUNTBLANK(Table41013172512475452986841[[SCORE 1]:[SCORE 2]])=0,IF(RANK(I25,$I$14:$I$25)=1,RANK(I25,$I$14:$I$25)&amp;"st",IF(RANK(I25,$I$14:$I$25)=2,RANK(I25,$I$14:$I$25)&amp;"nd",IF(RANK(I25,$I$14:$I$25)=3,RANK(I25,$I$14:$I$25)&amp;"rd",RANK(I25,$I$14:$I$25)&amp;"th"))),"")</f>
        <v/>
      </c>
      <c r="K25" s="38" t="str">
        <f>B29</f>
        <v>C4</v>
      </c>
      <c r="L25" s="20" t="s">
        <v>192</v>
      </c>
      <c r="M25" s="431" t="str">
        <f>IF(COUNTBLANK($O$14:$P$14),"",IF($O$15="lose",$Q$14,$M$14))</f>
        <v/>
      </c>
      <c r="N25" s="431" t="str">
        <f>IF(COUNTBLANK($O$14:$P$14),"",IF($O$15="lose",$R$14,$N$14))</f>
        <v/>
      </c>
      <c r="O25" s="149"/>
      <c r="P25" s="150"/>
      <c r="Q25" s="431" t="str">
        <f>IF(COUNTBLANK($O$19:$P$19),"",IF($O$20="lose",$Q$19,$M$19))</f>
        <v/>
      </c>
      <c r="R25" s="431" t="str">
        <f>IF(COUNTBLANK($O$19:$P$19),"",IF($O$20="lose",$R$19,$N$19))</f>
        <v/>
      </c>
    </row>
    <row r="26" spans="1:21">
      <c r="A26" s="430" t="s">
        <v>213</v>
      </c>
      <c r="B26" s="118" t="s">
        <v>213</v>
      </c>
      <c r="C26" s="14">
        <f>SUM(COUNTIFS(Table41013172512475452986841[ATHLETE 1],Table61215192729335162731027262[[#This Row],[Athletes]],Table41013172512475452986841[RESULT 12],Table361114182630485553996943[[#Headers],[WIN]]),COUNTIFS(Table41013172512475452986841[ATHLETE 2],Table61215192729335162731027262[[#This Row],[Athletes]],Table41013172512475452986841[RESULT 12],Table361114182630485553996943[[#Headers],[WIN]]),COUNTIFS(Table41013172512475452986841[ATHLETE 3],Table61215192729335162731027262[[#This Row],[Athletes]],Table41013172512475452986841[RESULT 34],Table361114182630485553996943[[#Headers],[WIN]]),COUNTIFS(Table41013172512475452986841[ATHLETE 4],Table61215192729335162731027262[[#This Row],[Athletes]],Table41013172512475452986841[RESULT 34],Table361114182630485553996943[[#Headers],[WIN]]))</f>
        <v>0</v>
      </c>
      <c r="D26" s="12">
        <f>SUM(COUNTIFS(Table41013172512475452986841[ATHLETE 1],Table61215192729335162731027262[[#This Row],[Athletes]],Table41013172512475452986841[RESULT 12],Table361114182630485553996943[[#Headers],[LOSE]]),COUNTIFS(Table41013172512475452986841[ATHLETE 2],Table61215192729335162731027262[[#This Row],[Athletes]],Table41013172512475452986841[RESULT 12],Table361114182630485553996943[[#Headers],[LOSE]]),COUNTIFS(Table41013172512475452986841[ATHLETE 3],Table61215192729335162731027262[[#This Row],[Athletes]],Table41013172512475452986841[RESULT 34],Table361114182630485553996943[[#Headers],[LOSE]]),COUNTIFS(Table41013172512475452986841[ATHLETE 4],Table61215192729335162731027262[[#This Row],[Athletes]],Table41013172512475452986841[RESULT 34],Table361114182630485553996943[[#Headers],[LOSE]]))</f>
        <v>0</v>
      </c>
      <c r="E26" s="19">
        <f>SUM(SUMIF(Table41013172512475452986841[ATHLETE 1],Table61215192729335162731027262[[#This Row],[Athletes]],Table41013172512475452986841[SALDO 12]),SUMIF(Table41013172512475452986841[ATHLETE 2],Table61215192729335162731027262[[#This Row],[Athletes]],Table41013172512475452986841[SALDO 12]),SUMIF(Table41013172512475452986841[ATHLETE 3],Table61215192729335162731027262[[#This Row],[Athletes]],Table41013172512475452986841[SALDO 34]),SUMIF(Table41013172512475452986841[ATHLETE 4],Table61215192729335162731027262[[#This Row],[Athletes]],Table41013172512475452986841[SALDO 34]))</f>
        <v>0</v>
      </c>
      <c r="F26" s="19">
        <f>SUM(SUMIF(Table41013172512475452986841[ATHLETE 1],Table61215192729335162731027262[[#This Row],[Athletes]],Table41013172512475452986841[PM 12]),SUMIF(Table41013172512475452986841[ATHLETE 2],Table61215192729335162731027262[[#This Row],[Athletes]],Table41013172512475452986841[PM 12]),SUMIF(Table41013172512475452986841[ATHLETE 3],Table61215192729335162731027262[[#This Row],[Athletes]],Table41013172512475452986841[PM 34]),SUMIF(Table41013172512475452986841[ATHLETE 4],Table61215192729335162731027262[[#This Row],[Athletes]],Table41013172512475452986841[PM 34]))</f>
        <v>0</v>
      </c>
      <c r="G26" s="69" t="str">
        <f>IF(COUNTBLANK(Table41013172512475452986841[[SCORE 1]:[SCORE 2]])=0,IF(RANK(H26,$H$26:$H$29)=1,RANK(H26,$H$26:$H$29)&amp;"st",IF(RANK(H26,$H$26:$H$29)=2,RANK(H26,$H$26:$H$29)&amp;"nd",RANK(H26,$H$26:$H$29)&amp;"th")),"")</f>
        <v/>
      </c>
      <c r="H26" s="51">
        <f>Table61215192729335162731027262[[#This Row],[WIN]]*1000000+Table61215192729335162731027262[[#This Row],[Saldo]]*1000+Table61215192729335162731027262[[#This Row],[PM]]</f>
        <v>0</v>
      </c>
      <c r="I26" s="2"/>
      <c r="J26" s="2"/>
      <c r="K26" s="2"/>
      <c r="L26" s="2" t="str">
        <f>J22</f>
        <v/>
      </c>
      <c r="M26" s="62" t="str">
        <f>IF(OR($O$25="",$P$25="",$O$26="win"),"",IF($M$27&gt;$N$27,$U$5,$U$6))</f>
        <v/>
      </c>
      <c r="N26" s="62" t="str">
        <f>IF(OR($O$25="",$P$25="",$O$26="win"),"",IF($M$27&lt;$N$27,$U$5,$U$6))</f>
        <v/>
      </c>
      <c r="O26" s="2" t="str">
        <f>IF(OR(O25="",P25=""),"",IF((O25&gt;P25),"WIN","LOSE"))</f>
        <v/>
      </c>
      <c r="P26" s="2" t="str">
        <f>IF(OR(O25="",P25=""),"",IF((O25&lt;P25),"WIN","LOSE"))</f>
        <v/>
      </c>
      <c r="Q26" s="62" t="str">
        <f>IF($P$26="lose",$U$5,"")</f>
        <v/>
      </c>
      <c r="R26" s="62" t="str">
        <f>IF($P$26="lose",$U$6,"")</f>
        <v/>
      </c>
    </row>
    <row r="27" spans="1:21">
      <c r="A27" s="430" t="s">
        <v>214</v>
      </c>
      <c r="B27" s="118" t="s">
        <v>214</v>
      </c>
      <c r="C27" s="14">
        <f>SUM(COUNTIFS(Table41013172512475452986841[ATHLETE 1],Table61215192729335162731027262[[#This Row],[Athletes]],Table41013172512475452986841[RESULT 12],Table361114182630485553996943[[#Headers],[WIN]]),COUNTIFS(Table41013172512475452986841[ATHLETE 2],Table61215192729335162731027262[[#This Row],[Athletes]],Table41013172512475452986841[RESULT 12],Table361114182630485553996943[[#Headers],[WIN]]),COUNTIFS(Table41013172512475452986841[ATHLETE 3],Table61215192729335162731027262[[#This Row],[Athletes]],Table41013172512475452986841[RESULT 34],Table361114182630485553996943[[#Headers],[WIN]]),COUNTIFS(Table41013172512475452986841[ATHLETE 4],Table61215192729335162731027262[[#This Row],[Athletes]],Table41013172512475452986841[RESULT 34],Table361114182630485553996943[[#Headers],[WIN]]))</f>
        <v>0</v>
      </c>
      <c r="D27" s="12">
        <f>SUM(COUNTIFS(Table41013172512475452986841[ATHLETE 1],Table61215192729335162731027262[[#This Row],[Athletes]],Table41013172512475452986841[RESULT 12],Table361114182630485553996943[[#Headers],[LOSE]]),COUNTIFS(Table41013172512475452986841[ATHLETE 2],Table61215192729335162731027262[[#This Row],[Athletes]],Table41013172512475452986841[RESULT 12],Table361114182630485553996943[[#Headers],[LOSE]]),COUNTIFS(Table41013172512475452986841[ATHLETE 3],Table61215192729335162731027262[[#This Row],[Athletes]],Table41013172512475452986841[RESULT 34],Table361114182630485553996943[[#Headers],[LOSE]]),COUNTIFS(Table41013172512475452986841[ATHLETE 4],Table61215192729335162731027262[[#This Row],[Athletes]],Table41013172512475452986841[RESULT 34],Table361114182630485553996943[[#Headers],[LOSE]]))</f>
        <v>0</v>
      </c>
      <c r="E27" s="19">
        <f>SUM(SUMIF(Table41013172512475452986841[ATHLETE 1],Table61215192729335162731027262[[#This Row],[Athletes]],Table41013172512475452986841[SALDO 12]),SUMIF(Table41013172512475452986841[ATHLETE 2],Table61215192729335162731027262[[#This Row],[Athletes]],Table41013172512475452986841[SALDO 12]),SUMIF(Table41013172512475452986841[ATHLETE 3],Table61215192729335162731027262[[#This Row],[Athletes]],Table41013172512475452986841[SALDO 34]),SUMIF(Table41013172512475452986841[ATHLETE 4],Table61215192729335162731027262[[#This Row],[Athletes]],Table41013172512475452986841[SALDO 34]))</f>
        <v>0</v>
      </c>
      <c r="F27" s="19">
        <f>SUM(SUMIF(Table41013172512475452986841[ATHLETE 1],Table61215192729335162731027262[[#This Row],[Athletes]],Table41013172512475452986841[PM 12]),SUMIF(Table41013172512475452986841[ATHLETE 2],Table61215192729335162731027262[[#This Row],[Athletes]],Table41013172512475452986841[PM 12]),SUMIF(Table41013172512475452986841[ATHLETE 3],Table61215192729335162731027262[[#This Row],[Athletes]],Table41013172512475452986841[PM 34]),SUMIF(Table41013172512475452986841[ATHLETE 4],Table61215192729335162731027262[[#This Row],[Athletes]],Table41013172512475452986841[PM 34]))</f>
        <v>0</v>
      </c>
      <c r="G27" s="69" t="str">
        <f>IF(COUNTBLANK(Table41013172512475452986841[[SCORE 1]:[SCORE 2]])=0,IF(RANK(H27,$H$26:$H$29)=1,RANK(H27,$H$26:$H$29)&amp;"st",IF(RANK(H27,$H$26:$H$29)=2,RANK(H27,$H$26:$H$29)&amp;"nd",RANK(H27,$H$26:$H$29)&amp;"th")),"")</f>
        <v/>
      </c>
      <c r="H27" s="51">
        <f>Table61215192729335162731027262[[#This Row],[WIN]]*1000000+Table61215192729335162731027262[[#This Row],[Saldo]]*1000+Table61215192729335162731027262[[#This Row],[PM]]</f>
        <v>0</v>
      </c>
      <c r="I27" s="2"/>
      <c r="J27" s="2"/>
      <c r="K27" s="2"/>
      <c r="L27" s="2" t="str">
        <f t="shared" ref="L27:L29" si="3">J23</f>
        <v/>
      </c>
      <c r="M27" s="61" t="str">
        <f>IF(M25="","",_xlfn.XLOOKUP(M25,$K$14:$K$25,$I$14:$I$25))</f>
        <v/>
      </c>
      <c r="N27" s="61" t="str">
        <f>IF(N25="","",_xlfn.XLOOKUP(N25,$K$14:$K$25,$I$14:$I$25))</f>
        <v/>
      </c>
      <c r="Q27" s="61" t="str">
        <f>IF(Q25="","",_xlfn.XLOOKUP(Q25,$K$14:$K$25,$I$14:$I$25))</f>
        <v/>
      </c>
      <c r="R27" s="61" t="str">
        <f>IF(R25="","",_xlfn.XLOOKUP(R25,$K$14:$K$25,$I$14:$I$25))</f>
        <v/>
      </c>
    </row>
    <row r="28" spans="1:21">
      <c r="A28" s="430" t="s">
        <v>216</v>
      </c>
      <c r="B28" s="118" t="s">
        <v>216</v>
      </c>
      <c r="C28" s="14">
        <f>SUM(COUNTIFS(Table41013172512475452986841[ATHLETE 1],Table61215192729335162731027262[[#This Row],[Athletes]],Table41013172512475452986841[RESULT 12],Table361114182630485553996943[[#Headers],[WIN]]),COUNTIFS(Table41013172512475452986841[ATHLETE 2],Table61215192729335162731027262[[#This Row],[Athletes]],Table41013172512475452986841[RESULT 12],Table361114182630485553996943[[#Headers],[WIN]]),COUNTIFS(Table41013172512475452986841[ATHLETE 3],Table61215192729335162731027262[[#This Row],[Athletes]],Table41013172512475452986841[RESULT 34],Table361114182630485553996943[[#Headers],[WIN]]),COUNTIFS(Table41013172512475452986841[ATHLETE 4],Table61215192729335162731027262[[#This Row],[Athletes]],Table41013172512475452986841[RESULT 34],Table361114182630485553996943[[#Headers],[WIN]]))</f>
        <v>0</v>
      </c>
      <c r="D28" s="12">
        <f>SUM(COUNTIFS(Table41013172512475452986841[ATHLETE 1],Table61215192729335162731027262[[#This Row],[Athletes]],Table41013172512475452986841[RESULT 12],Table361114182630485553996943[[#Headers],[LOSE]]),COUNTIFS(Table41013172512475452986841[ATHLETE 2],Table61215192729335162731027262[[#This Row],[Athletes]],Table41013172512475452986841[RESULT 12],Table361114182630485553996943[[#Headers],[LOSE]]),COUNTIFS(Table41013172512475452986841[ATHLETE 3],Table61215192729335162731027262[[#This Row],[Athletes]],Table41013172512475452986841[RESULT 34],Table361114182630485553996943[[#Headers],[LOSE]]),COUNTIFS(Table41013172512475452986841[ATHLETE 4],Table61215192729335162731027262[[#This Row],[Athletes]],Table41013172512475452986841[RESULT 34],Table361114182630485553996943[[#Headers],[LOSE]]))</f>
        <v>0</v>
      </c>
      <c r="E28" s="19">
        <f>SUM(SUMIF(Table41013172512475452986841[ATHLETE 1],Table61215192729335162731027262[[#This Row],[Athletes]],Table41013172512475452986841[SALDO 12]),SUMIF(Table41013172512475452986841[ATHLETE 2],Table61215192729335162731027262[[#This Row],[Athletes]],Table41013172512475452986841[SALDO 12]),SUMIF(Table41013172512475452986841[ATHLETE 3],Table61215192729335162731027262[[#This Row],[Athletes]],Table41013172512475452986841[SALDO 34]),SUMIF(Table41013172512475452986841[ATHLETE 4],Table61215192729335162731027262[[#This Row],[Athletes]],Table41013172512475452986841[SALDO 34]))</f>
        <v>0</v>
      </c>
      <c r="F28" s="19">
        <f>SUM(SUMIF(Table41013172512475452986841[ATHLETE 1],Table61215192729335162731027262[[#This Row],[Athletes]],Table41013172512475452986841[PM 12]),SUMIF(Table41013172512475452986841[ATHLETE 2],Table61215192729335162731027262[[#This Row],[Athletes]],Table41013172512475452986841[PM 12]),SUMIF(Table41013172512475452986841[ATHLETE 3],Table61215192729335162731027262[[#This Row],[Athletes]],Table41013172512475452986841[PM 34]),SUMIF(Table41013172512475452986841[ATHLETE 4],Table61215192729335162731027262[[#This Row],[Athletes]],Table41013172512475452986841[PM 34]))</f>
        <v>0</v>
      </c>
      <c r="G28" s="69" t="str">
        <f>IF(COUNTBLANK(Table41013172512475452986841[[SCORE 1]:[SCORE 2]])=0,IF(RANK(H28,$H$26:$H$29)=1,RANK(H28,$H$26:$H$29)&amp;"st",IF(RANK(H28,$H$26:$H$29)=2,RANK(H28,$H$26:$H$29)&amp;"nd",RANK(H28,$H$26:$H$29)&amp;"th")),"")</f>
        <v/>
      </c>
      <c r="H28" s="51">
        <f>Table61215192729335162731027262[[#This Row],[WIN]]*1000000+Table61215192729335162731027262[[#This Row],[Saldo]]*1000+Table61215192729335162731027262[[#This Row],[PM]]</f>
        <v>0</v>
      </c>
      <c r="I28" s="2"/>
      <c r="J28" s="2"/>
      <c r="K28" s="2"/>
      <c r="L28" s="2" t="str">
        <f t="shared" si="3"/>
        <v/>
      </c>
    </row>
    <row r="29" spans="1:21">
      <c r="A29" s="430" t="s">
        <v>217</v>
      </c>
      <c r="B29" s="118" t="s">
        <v>217</v>
      </c>
      <c r="C29" s="14">
        <f>SUM(COUNTIFS(Table41013172512475452986841[ATHLETE 1],Table61215192729335162731027262[[#This Row],[Athletes]],Table41013172512475452986841[RESULT 12],Table361114182630485553996943[[#Headers],[WIN]]),COUNTIFS(Table41013172512475452986841[ATHLETE 2],Table61215192729335162731027262[[#This Row],[Athletes]],Table41013172512475452986841[RESULT 12],Table361114182630485553996943[[#Headers],[WIN]]),COUNTIFS(Table41013172512475452986841[ATHLETE 3],Table61215192729335162731027262[[#This Row],[Athletes]],Table41013172512475452986841[RESULT 34],Table361114182630485553996943[[#Headers],[WIN]]),COUNTIFS(Table41013172512475452986841[ATHLETE 4],Table61215192729335162731027262[[#This Row],[Athletes]],Table41013172512475452986841[RESULT 34],Table361114182630485553996943[[#Headers],[WIN]]))</f>
        <v>0</v>
      </c>
      <c r="D29" s="12">
        <f>SUM(COUNTIFS(Table41013172512475452986841[ATHLETE 1],Table61215192729335162731027262[[#This Row],[Athletes]],Table41013172512475452986841[RESULT 12],Table361114182630485553996943[[#Headers],[LOSE]]),COUNTIFS(Table41013172512475452986841[ATHLETE 2],Table61215192729335162731027262[[#This Row],[Athletes]],Table41013172512475452986841[RESULT 12],Table361114182630485553996943[[#Headers],[LOSE]]),COUNTIFS(Table41013172512475452986841[ATHLETE 3],Table61215192729335162731027262[[#This Row],[Athletes]],Table41013172512475452986841[RESULT 34],Table361114182630485553996943[[#Headers],[LOSE]]),COUNTIFS(Table41013172512475452986841[ATHLETE 4],Table61215192729335162731027262[[#This Row],[Athletes]],Table41013172512475452986841[RESULT 34],Table361114182630485553996943[[#Headers],[LOSE]]))</f>
        <v>0</v>
      </c>
      <c r="E29" s="19">
        <f>SUM(SUMIF(Table41013172512475452986841[ATHLETE 1],Table61215192729335162731027262[[#This Row],[Athletes]],Table41013172512475452986841[SALDO 12]),SUMIF(Table41013172512475452986841[ATHLETE 2],Table61215192729335162731027262[[#This Row],[Athletes]],Table41013172512475452986841[SALDO 12]),SUMIF(Table41013172512475452986841[ATHLETE 3],Table61215192729335162731027262[[#This Row],[Athletes]],Table41013172512475452986841[SALDO 34]),SUMIF(Table41013172512475452986841[ATHLETE 4],Table61215192729335162731027262[[#This Row],[Athletes]],Table41013172512475452986841[SALDO 34]))</f>
        <v>0</v>
      </c>
      <c r="F29" s="19">
        <f>SUM(SUMIF(Table41013172512475452986841[ATHLETE 1],Table61215192729335162731027262[[#This Row],[Athletes]],Table41013172512475452986841[PM 12]),SUMIF(Table41013172512475452986841[ATHLETE 2],Table61215192729335162731027262[[#This Row],[Athletes]],Table41013172512475452986841[PM 12]),SUMIF(Table41013172512475452986841[ATHLETE 3],Table61215192729335162731027262[[#This Row],[Athletes]],Table41013172512475452986841[PM 34]),SUMIF(Table41013172512475452986841[ATHLETE 4],Table61215192729335162731027262[[#This Row],[Athletes]],Table41013172512475452986841[PM 34]))</f>
        <v>0</v>
      </c>
      <c r="G29" s="69" t="str">
        <f>IF(COUNTBLANK(Table41013172512475452986841[[SCORE 1]:[SCORE 2]])=0,IF(RANK(H29,$H$26:$H$29)=1,RANK(H29,$H$26:$H$29)&amp;"st",IF(RANK(H29,$H$26:$H$29)=2,RANK(H29,$H$26:$H$29)&amp;"nd",RANK(H29,$H$26:$H$29)&amp;"th")),"")</f>
        <v/>
      </c>
      <c r="H29" s="51">
        <f>Table61215192729335162731027262[[#This Row],[WIN]]*1000000+Table61215192729335162731027262[[#This Row],[Saldo]]*1000+Table61215192729335162731027262[[#This Row],[PM]]</f>
        <v>0</v>
      </c>
      <c r="I29" s="2"/>
      <c r="J29" s="2"/>
      <c r="K29" s="2"/>
      <c r="L29" s="2" t="str">
        <f t="shared" si="3"/>
        <v/>
      </c>
    </row>
    <row r="30" spans="1:21" ht="30" thickBot="1">
      <c r="M30" s="548" t="s">
        <v>200</v>
      </c>
      <c r="N30" s="549"/>
      <c r="O30" s="549"/>
      <c r="P30" s="549"/>
      <c r="Q30" s="549"/>
      <c r="R30" s="549"/>
    </row>
    <row r="31" spans="1:21" ht="15.95" thickBot="1">
      <c r="A31" s="123" t="s">
        <v>218</v>
      </c>
      <c r="B31" s="124">
        <v>45814</v>
      </c>
      <c r="M31" s="418" t="s">
        <v>193</v>
      </c>
      <c r="N31" s="418" t="s">
        <v>194</v>
      </c>
      <c r="O31" s="542" t="s">
        <v>195</v>
      </c>
      <c r="P31" s="543"/>
      <c r="Q31" s="418" t="s">
        <v>196</v>
      </c>
      <c r="R31" s="418" t="s">
        <v>197</v>
      </c>
    </row>
    <row r="32" spans="1:21">
      <c r="M32" s="432" t="str">
        <f>IF(OR($O$25="",$P$25=""),"",IF($O$26="WIN",$M$25,$Q$25))</f>
        <v/>
      </c>
      <c r="N32" s="65"/>
      <c r="O32" s="149"/>
      <c r="P32" s="149"/>
      <c r="Q32" s="432" t="str">
        <f>IF(OR($O$25="",$P$25=""),"",IF($O$26="WIN",$N$25,$R$25))</f>
        <v/>
      </c>
      <c r="R32" s="28"/>
    </row>
    <row r="33" spans="13:17">
      <c r="M33" s="18" t="str">
        <f>IF(OR($O$32="",$P$32=""),"",IF($O$33="win",$U$3,$U$4))</f>
        <v/>
      </c>
      <c r="O33" s="2" t="str">
        <f>IF(OR(O32="",P32=""),"",IF((O32&gt;P32),"WIN","LOSE"))</f>
        <v/>
      </c>
      <c r="P33" s="2" t="str">
        <f>IF(OR(O32="",P32=""),"",IF((O32&lt;P32),"WIN","LOSE"))</f>
        <v/>
      </c>
      <c r="Q33" s="18" t="str">
        <f>IF(OR($O$32="",$P$32=""),"",IF($P$33="win",$U$3,$U$4))</f>
        <v/>
      </c>
    </row>
  </sheetData>
  <sheetProtection algorithmName="SHA-512" hashValue="rexq5aebggod+VfZ7R2Qd6t74eo3KBX1q57eHdlFq4fQrd0PkLGIkvH/NaKM4SWQZd4gckSU1ThCXP/IQobzxg==" saltValue="Zmibj/CBEybhycvUgX/9KA==" spinCount="100000" sheet="1" objects="1" scenarios="1"/>
  <mergeCells count="10">
    <mergeCell ref="T1:U1"/>
    <mergeCell ref="A12:G12"/>
    <mergeCell ref="M12:R12"/>
    <mergeCell ref="O13:P13"/>
    <mergeCell ref="O18:P18"/>
    <mergeCell ref="M23:R23"/>
    <mergeCell ref="O24:P24"/>
    <mergeCell ref="M30:R30"/>
    <mergeCell ref="O31:P31"/>
    <mergeCell ref="A1:A10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481C-3BEB-5940-8DF7-6AEA044DFD8A}">
  <sheetPr codeName="Sheet28"/>
  <dimension ref="A1:T39"/>
  <sheetViews>
    <sheetView workbookViewId="0">
      <selection sqref="A1:A16"/>
    </sheetView>
    <sheetView workbookViewId="1">
      <selection sqref="A1:A16"/>
    </sheetView>
  </sheetViews>
  <sheetFormatPr defaultColWidth="8.85546875" defaultRowHeight="15"/>
  <cols>
    <col min="1" max="1" width="9.7109375" customWidth="1"/>
    <col min="2" max="4" width="20" customWidth="1"/>
    <col min="5" max="6" width="9.7109375" customWidth="1"/>
    <col min="7" max="7" width="20" customWidth="1"/>
    <col min="8" max="8" width="11.42578125" hidden="1" customWidth="1"/>
    <col min="9" max="9" width="12" hidden="1" customWidth="1"/>
    <col min="10" max="10" width="8" hidden="1" customWidth="1"/>
    <col min="11" max="11" width="20" customWidth="1"/>
    <col min="12" max="12" width="13.42578125" bestFit="1" customWidth="1"/>
    <col min="13" max="14" width="14.140625" bestFit="1" customWidth="1"/>
    <col min="15" max="16" width="10.42578125" bestFit="1" customWidth="1"/>
    <col min="17" max="18" width="14.85546875" bestFit="1" customWidth="1"/>
    <col min="19" max="19" width="14" bestFit="1" customWidth="1"/>
    <col min="20" max="21" width="9.7109375" bestFit="1" customWidth="1"/>
  </cols>
  <sheetData>
    <row r="1" spans="1:20" ht="15" customHeight="1">
      <c r="A1" s="550" t="s">
        <v>322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170</v>
      </c>
      <c r="L1" s="7" t="s">
        <v>171</v>
      </c>
      <c r="M1" s="7" t="s">
        <v>172</v>
      </c>
      <c r="N1" s="7" t="s">
        <v>173</v>
      </c>
      <c r="O1" s="7" t="s">
        <v>174</v>
      </c>
      <c r="P1" s="7" t="s">
        <v>175</v>
      </c>
      <c r="Q1" s="7" t="s">
        <v>176</v>
      </c>
      <c r="S1" s="544" t="s">
        <v>323</v>
      </c>
      <c r="T1" s="545"/>
    </row>
    <row r="2" spans="1:20" ht="15" customHeight="1">
      <c r="A2" s="550"/>
      <c r="B2" s="13" t="s">
        <v>178</v>
      </c>
      <c r="C2" s="433" t="str">
        <f>B20</f>
        <v>A1</v>
      </c>
      <c r="D2" s="25" t="str">
        <f>B23</f>
        <v>A4</v>
      </c>
      <c r="E2" s="26"/>
      <c r="F2" s="27"/>
      <c r="G2" s="15" t="str">
        <f>B21</f>
        <v>A2</v>
      </c>
      <c r="H2" s="15"/>
      <c r="I2" s="15"/>
      <c r="J2" s="15"/>
      <c r="K2" s="16" t="str">
        <f>B22</f>
        <v>A3</v>
      </c>
      <c r="L2" s="13" t="str">
        <f>IF(OR(Games_1117[[#This Row],[SCORE 1]]="",Games_1117[[#This Row],[SCORE 2]]=""),"",Games_1117[[#This Row],[SCORE 1]]-Games_1117[[#This Row],[SCORE 2]])</f>
        <v/>
      </c>
      <c r="M2" s="13" t="str">
        <f>IF(OR(Games_1117[[#This Row],[SCORE 1]]="",Games_1117[[#This Row],[SCORE 2]]=""),"",Games_1117[[#This Row],[SCORE 2]]-Games_1117[[#This Row],[SCORE 1]])</f>
        <v/>
      </c>
      <c r="N2" s="13" t="str">
        <f>IF(Games_1117[[#This Row],[SCORE 1]]="","",Games_1117[[#This Row],[SCORE 1]])</f>
        <v/>
      </c>
      <c r="O2" s="13" t="str">
        <f>IF(Games_1117[[#This Row],[SCORE 2]]="","",Games_1117[[#This Row],[SCORE 2]])</f>
        <v/>
      </c>
      <c r="P2" s="13" t="str">
        <f>IF(OR(Games_1117[[#This Row],[SCORE 1]]="",Games_1117[[#This Row],[SCORE 2]]=""),"",IF(Games_1117[[#This Row],[SALDO 12]]&gt;0, "WIN","LOSE"))</f>
        <v/>
      </c>
      <c r="Q2" s="13" t="str">
        <f>IF(OR(Games_1117[[#This Row],[SCORE 1]]="",Games_1117[[#This Row],[SCORE 2]]=""),"",IF(Games_1117[[#This Row],[SALDO 34]]&gt;0, "WIN","LOSE"))</f>
        <v/>
      </c>
      <c r="S2" s="21" t="s">
        <v>179</v>
      </c>
      <c r="T2" s="21" t="s">
        <v>8</v>
      </c>
    </row>
    <row r="3" spans="1:20">
      <c r="A3" s="550"/>
      <c r="B3" s="13" t="s">
        <v>180</v>
      </c>
      <c r="C3" s="433" t="str">
        <f>B27</f>
        <v>B1</v>
      </c>
      <c r="D3" s="25" t="str">
        <f>B30</f>
        <v>B4</v>
      </c>
      <c r="E3" s="26"/>
      <c r="F3" s="27"/>
      <c r="G3" s="15" t="str">
        <f>B28</f>
        <v>B2</v>
      </c>
      <c r="H3" s="15"/>
      <c r="I3" s="15"/>
      <c r="J3" s="15"/>
      <c r="K3" s="16" t="str">
        <f>B29</f>
        <v>B3</v>
      </c>
      <c r="L3" s="13" t="str">
        <f>IF(OR(Games_1117[[#This Row],[SCORE 1]]="",Games_1117[[#This Row],[SCORE 2]]=""),"",Games_1117[[#This Row],[SCORE 1]]-Games_1117[[#This Row],[SCORE 2]])</f>
        <v/>
      </c>
      <c r="M3" s="13" t="str">
        <f>IF(OR(Games_1117[[#This Row],[SCORE 1]]="",Games_1117[[#This Row],[SCORE 2]]=""),"",Games_1117[[#This Row],[SCORE 2]]-Games_1117[[#This Row],[SCORE 1]])</f>
        <v/>
      </c>
      <c r="N3" s="13" t="str">
        <f>IF(Games_1117[[#This Row],[SCORE 1]]="","",Games_1117[[#This Row],[SCORE 1]])</f>
        <v/>
      </c>
      <c r="O3" s="13" t="str">
        <f>IF(Games_1117[[#This Row],[SCORE 2]]="","",Games_1117[[#This Row],[SCORE 2]])</f>
        <v/>
      </c>
      <c r="P3" s="13" t="str">
        <f>IF(OR(Games_1117[[#This Row],[SCORE 1]]="",Games_1117[[#This Row],[SCORE 2]]=""),"",IF(Games_1117[[#This Row],[SALDO 12]]&gt;0, "WIN","LOSE"))</f>
        <v/>
      </c>
      <c r="Q3" s="13" t="str">
        <f>IF(OR(Games_1117[[#This Row],[SCORE 1]]="",Games_1117[[#This Row],[SCORE 2]]=""),"",IF(Games_1117[[#This Row],[SALDO 34]]&gt;0, "WIN","LOSE"))</f>
        <v/>
      </c>
      <c r="S3" s="2" t="str">
        <f>IFERROR(_xlfn.XLOOKUP(Table1572235446678468111248[[#This Row],[Rank]],$L$39:$Q$39,$L$38:$Q$38),"")</f>
        <v/>
      </c>
      <c r="T3" s="2" t="s">
        <v>19</v>
      </c>
    </row>
    <row r="4" spans="1:20">
      <c r="A4" s="550"/>
      <c r="B4" s="13" t="s">
        <v>181</v>
      </c>
      <c r="C4" s="433" t="str">
        <f>B34</f>
        <v>C1</v>
      </c>
      <c r="D4" s="25" t="str">
        <f>B37</f>
        <v>C4</v>
      </c>
      <c r="E4" s="26"/>
      <c r="F4" s="27"/>
      <c r="G4" s="15" t="str">
        <f>B35</f>
        <v>C2</v>
      </c>
      <c r="H4" s="15"/>
      <c r="I4" s="15"/>
      <c r="J4" s="15"/>
      <c r="K4" s="16" t="str">
        <f>B36</f>
        <v>C3</v>
      </c>
      <c r="L4" s="13" t="str">
        <f>IF(OR(Games_1117[[#This Row],[SCORE 1]]="",Games_1117[[#This Row],[SCORE 2]]=""),"",Games_1117[[#This Row],[SCORE 1]]-Games_1117[[#This Row],[SCORE 2]])</f>
        <v/>
      </c>
      <c r="M4" s="13" t="str">
        <f>IF(OR(Games_1117[[#This Row],[SCORE 1]]="",Games_1117[[#This Row],[SCORE 2]]=""),"",Games_1117[[#This Row],[SCORE 2]]-Games_1117[[#This Row],[SCORE 1]])</f>
        <v/>
      </c>
      <c r="N4" s="13" t="str">
        <f>IF(Games_1117[[#This Row],[SCORE 1]]="","",Games_1117[[#This Row],[SCORE 1]])</f>
        <v/>
      </c>
      <c r="O4" s="13" t="str">
        <f>IF(Games_1117[[#This Row],[SCORE 2]]="","",Games_1117[[#This Row],[SCORE 2]])</f>
        <v/>
      </c>
      <c r="P4" s="13" t="str">
        <f>IF(OR(Games_1117[[#This Row],[SCORE 1]]="",Games_1117[[#This Row],[SCORE 2]]=""),"",IF(Games_1117[[#This Row],[SALDO 12]]&gt;0, "WIN","LOSE"))</f>
        <v/>
      </c>
      <c r="Q4" s="13" t="str">
        <f>IF(OR(Games_1117[[#This Row],[SCORE 1]]="",Games_1117[[#This Row],[SCORE 2]]=""),"",IF(Games_1117[[#This Row],[SALDO 34]]&gt;0, "WIN","LOSE"))</f>
        <v/>
      </c>
      <c r="S4" s="2" t="str">
        <f>IFERROR(_xlfn.XLOOKUP(Table1572235446678468111248[[#This Row],[Rank]],$L$39:$Q$39,$L$38:$Q$38),"")</f>
        <v/>
      </c>
      <c r="T4" s="2" t="s">
        <v>22</v>
      </c>
    </row>
    <row r="5" spans="1:20">
      <c r="A5" s="550"/>
      <c r="B5" s="13" t="s">
        <v>178</v>
      </c>
      <c r="C5" s="433" t="str">
        <f>B20</f>
        <v>A1</v>
      </c>
      <c r="D5" s="25" t="str">
        <f>B22</f>
        <v>A3</v>
      </c>
      <c r="E5" s="26"/>
      <c r="F5" s="27"/>
      <c r="G5" s="15" t="str">
        <f>B21</f>
        <v>A2</v>
      </c>
      <c r="H5" s="15"/>
      <c r="I5" s="15"/>
      <c r="J5" s="15"/>
      <c r="K5" s="16" t="str">
        <f>B24</f>
        <v>A5</v>
      </c>
      <c r="L5" s="13" t="str">
        <f>IF(OR(Games_1117[[#This Row],[SCORE 1]]="",Games_1117[[#This Row],[SCORE 2]]=""),"",Games_1117[[#This Row],[SCORE 1]]-Games_1117[[#This Row],[SCORE 2]])</f>
        <v/>
      </c>
      <c r="M5" s="13" t="str">
        <f>IF(OR(Games_1117[[#This Row],[SCORE 1]]="",Games_1117[[#This Row],[SCORE 2]]=""),"",Games_1117[[#This Row],[SCORE 2]]-Games_1117[[#This Row],[SCORE 1]])</f>
        <v/>
      </c>
      <c r="N5" s="13" t="str">
        <f>IF(Games_1117[[#This Row],[SCORE 1]]="","",Games_1117[[#This Row],[SCORE 1]])</f>
        <v/>
      </c>
      <c r="O5" s="13" t="str">
        <f>IF(Games_1117[[#This Row],[SCORE 2]]="","",Games_1117[[#This Row],[SCORE 2]])</f>
        <v/>
      </c>
      <c r="P5" s="13" t="str">
        <f>IF(OR(Games_1117[[#This Row],[SCORE 1]]="",Games_1117[[#This Row],[SCORE 2]]=""),"",IF(Games_1117[[#This Row],[SALDO 12]]&gt;0, "WIN","LOSE"))</f>
        <v/>
      </c>
      <c r="Q5" s="13" t="str">
        <f>IF(OR(Games_1117[[#This Row],[SCORE 1]]="",Games_1117[[#This Row],[SCORE 2]]=""),"",IF(Games_1117[[#This Row],[SALDO 34]]&gt;0, "WIN","LOSE"))</f>
        <v/>
      </c>
      <c r="S5" s="2" t="str">
        <f>IFERROR(_xlfn.XLOOKUP(Table1572235446678468111248[[#This Row],[Rank]],$L$32:$Q$32,$L$31:$Q$31),"")</f>
        <v/>
      </c>
      <c r="T5" s="2" t="s">
        <v>25</v>
      </c>
    </row>
    <row r="6" spans="1:20">
      <c r="A6" s="550"/>
      <c r="B6" s="13" t="s">
        <v>180</v>
      </c>
      <c r="C6" s="433" t="str">
        <f>B27</f>
        <v>B1</v>
      </c>
      <c r="D6" s="25" t="str">
        <f>B29</f>
        <v>B3</v>
      </c>
      <c r="E6" s="26"/>
      <c r="F6" s="27"/>
      <c r="G6" s="15" t="str">
        <f>B28</f>
        <v>B2</v>
      </c>
      <c r="H6" s="15"/>
      <c r="I6" s="15"/>
      <c r="J6" s="15"/>
      <c r="K6" s="16" t="str">
        <f>B31</f>
        <v>B5</v>
      </c>
      <c r="L6" s="13" t="str">
        <f>IF(OR(Games_1117[[#This Row],[SCORE 1]]="",Games_1117[[#This Row],[SCORE 2]]=""),"",Games_1117[[#This Row],[SCORE 1]]-Games_1117[[#This Row],[SCORE 2]])</f>
        <v/>
      </c>
      <c r="M6" s="13" t="str">
        <f>IF(OR(Games_1117[[#This Row],[SCORE 1]]="",Games_1117[[#This Row],[SCORE 2]]=""),"",Games_1117[[#This Row],[SCORE 2]]-Games_1117[[#This Row],[SCORE 1]])</f>
        <v/>
      </c>
      <c r="N6" s="13" t="str">
        <f>IF(Games_1117[[#This Row],[SCORE 1]]="","",Games_1117[[#This Row],[SCORE 1]])</f>
        <v/>
      </c>
      <c r="O6" s="13" t="str">
        <f>IF(Games_1117[[#This Row],[SCORE 2]]="","",Games_1117[[#This Row],[SCORE 2]])</f>
        <v/>
      </c>
      <c r="P6" s="13" t="str">
        <f>IF(OR(Games_1117[[#This Row],[SCORE 1]]="",Games_1117[[#This Row],[SCORE 2]]=""),"",IF(Games_1117[[#This Row],[SALDO 12]]&gt;0, "WIN","LOSE"))</f>
        <v/>
      </c>
      <c r="Q6" s="13" t="str">
        <f>IF(OR(Games_1117[[#This Row],[SCORE 1]]="",Games_1117[[#This Row],[SCORE 2]]=""),"",IF(Games_1117[[#This Row],[SALDO 34]]&gt;0, "WIN","LOSE"))</f>
        <v/>
      </c>
      <c r="S6" s="2" t="str">
        <f>IFERROR(_xlfn.XLOOKUP(Table1572235446678468111248[[#This Row],[Rank]],$L$32:$Q$32,$L$31:$Q$31),"")</f>
        <v/>
      </c>
      <c r="T6" s="2" t="s">
        <v>28</v>
      </c>
    </row>
    <row r="7" spans="1:20">
      <c r="A7" s="550"/>
      <c r="B7" s="13" t="s">
        <v>181</v>
      </c>
      <c r="C7" s="433" t="str">
        <f>B34</f>
        <v>C1</v>
      </c>
      <c r="D7" s="25" t="str">
        <f>B36</f>
        <v>C3</v>
      </c>
      <c r="E7" s="26"/>
      <c r="F7" s="27"/>
      <c r="G7" s="15" t="str">
        <f>B35</f>
        <v>C2</v>
      </c>
      <c r="H7" s="15"/>
      <c r="I7" s="15"/>
      <c r="J7" s="15"/>
      <c r="K7" s="16" t="str">
        <f>B38</f>
        <v>C5</v>
      </c>
      <c r="L7" s="13" t="str">
        <f>IF(OR(Games_1117[[#This Row],[SCORE 1]]="",Games_1117[[#This Row],[SCORE 2]]=""),"",Games_1117[[#This Row],[SCORE 1]]-Games_1117[[#This Row],[SCORE 2]])</f>
        <v/>
      </c>
      <c r="M7" s="13" t="str">
        <f>IF(OR(Games_1117[[#This Row],[SCORE 1]]="",Games_1117[[#This Row],[SCORE 2]]=""),"",Games_1117[[#This Row],[SCORE 2]]-Games_1117[[#This Row],[SCORE 1]])</f>
        <v/>
      </c>
      <c r="N7" s="13" t="str">
        <f>IF(Games_1117[[#This Row],[SCORE 1]]="","",Games_1117[[#This Row],[SCORE 1]])</f>
        <v/>
      </c>
      <c r="O7" s="13" t="str">
        <f>IF(Games_1117[[#This Row],[SCORE 2]]="","",Games_1117[[#This Row],[SCORE 2]])</f>
        <v/>
      </c>
      <c r="P7" s="13" t="str">
        <f>IF(OR(Games_1117[[#This Row],[SCORE 1]]="",Games_1117[[#This Row],[SCORE 2]]=""),"",IF(Games_1117[[#This Row],[SALDO 12]]&gt;0, "WIN","LOSE"))</f>
        <v/>
      </c>
      <c r="Q7" s="13" t="str">
        <f>IF(OR(Games_1117[[#This Row],[SCORE 1]]="",Games_1117[[#This Row],[SCORE 2]]=""),"",IF(Games_1117[[#This Row],[SALDO 34]]&gt;0, "WIN","LOSE"))</f>
        <v/>
      </c>
      <c r="S7" s="2" t="str">
        <f>IF($L$31="","",_xlfn.XLOOKUP(Table1572235446678468111248[[#This Row],[Rank]],$K$20:$K$38,$J$20:$J$38))</f>
        <v/>
      </c>
      <c r="T7" s="2" t="s">
        <v>31</v>
      </c>
    </row>
    <row r="8" spans="1:20">
      <c r="A8" s="550"/>
      <c r="B8" s="13" t="s">
        <v>178</v>
      </c>
      <c r="C8" s="433" t="str">
        <f>B20</f>
        <v>A1</v>
      </c>
      <c r="D8" s="25" t="str">
        <f>B21</f>
        <v>A2</v>
      </c>
      <c r="E8" s="26"/>
      <c r="F8" s="27"/>
      <c r="G8" s="15" t="str">
        <f>B23</f>
        <v>A4</v>
      </c>
      <c r="H8" s="15"/>
      <c r="I8" s="15"/>
      <c r="J8" s="15"/>
      <c r="K8" s="16" t="str">
        <f>B24</f>
        <v>A5</v>
      </c>
      <c r="L8" s="13" t="str">
        <f>IF(OR(Games_1117[[#This Row],[SCORE 1]]="",Games_1117[[#This Row],[SCORE 2]]=""),"",Games_1117[[#This Row],[SCORE 1]]-Games_1117[[#This Row],[SCORE 2]])</f>
        <v/>
      </c>
      <c r="M8" s="13" t="str">
        <f>IF(OR(Games_1117[[#This Row],[SCORE 1]]="",Games_1117[[#This Row],[SCORE 2]]=""),"",Games_1117[[#This Row],[SCORE 2]]-Games_1117[[#This Row],[SCORE 1]])</f>
        <v/>
      </c>
      <c r="N8" s="13" t="str">
        <f>IF(Games_1117[[#This Row],[SCORE 1]]="","",Games_1117[[#This Row],[SCORE 1]])</f>
        <v/>
      </c>
      <c r="O8" s="13" t="str">
        <f>IF(Games_1117[[#This Row],[SCORE 2]]="","",Games_1117[[#This Row],[SCORE 2]])</f>
        <v/>
      </c>
      <c r="P8" s="13" t="str">
        <f>IF(OR(Games_1117[[#This Row],[SCORE 1]]="",Games_1117[[#This Row],[SCORE 2]]=""),"",IF(Games_1117[[#This Row],[SALDO 12]]&gt;0, "WIN","LOSE"))</f>
        <v/>
      </c>
      <c r="Q8" s="13" t="str">
        <f>IF(OR(Games_1117[[#This Row],[SCORE 1]]="",Games_1117[[#This Row],[SCORE 2]]=""),"",IF(Games_1117[[#This Row],[SALDO 34]]&gt;0, "WIN","LOSE"))</f>
        <v/>
      </c>
      <c r="S8" s="2" t="str">
        <f>IF($L$31="","",_xlfn.XLOOKUP(Table1572235446678468111248[[#This Row],[Rank]],$K$20:$K$38,$J$20:$J$38))</f>
        <v/>
      </c>
      <c r="T8" s="2" t="s">
        <v>34</v>
      </c>
    </row>
    <row r="9" spans="1:20">
      <c r="A9" s="550"/>
      <c r="B9" s="13" t="s">
        <v>180</v>
      </c>
      <c r="C9" s="433" t="str">
        <f>B27</f>
        <v>B1</v>
      </c>
      <c r="D9" s="25" t="str">
        <f>B28</f>
        <v>B2</v>
      </c>
      <c r="E9" s="26"/>
      <c r="F9" s="27"/>
      <c r="G9" s="15" t="str">
        <f>B30</f>
        <v>B4</v>
      </c>
      <c r="H9" s="15"/>
      <c r="I9" s="15"/>
      <c r="J9" s="15"/>
      <c r="K9" s="16" t="str">
        <f>B31</f>
        <v>B5</v>
      </c>
      <c r="L9" s="13" t="str">
        <f>IF(OR(Games_1117[[#This Row],[SCORE 1]]="",Games_1117[[#This Row],[SCORE 2]]=""),"",Games_1117[[#This Row],[SCORE 1]]-Games_1117[[#This Row],[SCORE 2]])</f>
        <v/>
      </c>
      <c r="M9" s="13" t="str">
        <f>IF(OR(Games_1117[[#This Row],[SCORE 1]]="",Games_1117[[#This Row],[SCORE 2]]=""),"",Games_1117[[#This Row],[SCORE 2]]-Games_1117[[#This Row],[SCORE 1]])</f>
        <v/>
      </c>
      <c r="N9" s="13" t="str">
        <f>IF(Games_1117[[#This Row],[SCORE 1]]="","",Games_1117[[#This Row],[SCORE 1]])</f>
        <v/>
      </c>
      <c r="O9" s="13" t="str">
        <f>IF(Games_1117[[#This Row],[SCORE 2]]="","",Games_1117[[#This Row],[SCORE 2]])</f>
        <v/>
      </c>
      <c r="P9" s="13" t="str">
        <f>IF(OR(Games_1117[[#This Row],[SCORE 1]]="",Games_1117[[#This Row],[SCORE 2]]=""),"",IF(Games_1117[[#This Row],[SALDO 12]]&gt;0, "WIN","LOSE"))</f>
        <v/>
      </c>
      <c r="Q9" s="13" t="str">
        <f>IF(OR(Games_1117[[#This Row],[SCORE 1]]="",Games_1117[[#This Row],[SCORE 2]]=""),"",IF(Games_1117[[#This Row],[SALDO 34]]&gt;0, "WIN","LOSE"))</f>
        <v/>
      </c>
      <c r="S9" s="2" t="str">
        <f>IF($L$31="","",_xlfn.XLOOKUP(Table1572235446678468111248[[#This Row],[Rank]],$K$20:$K$38,$J$20:$J$38))</f>
        <v/>
      </c>
      <c r="T9" s="2" t="s">
        <v>37</v>
      </c>
    </row>
    <row r="10" spans="1:20">
      <c r="A10" s="550"/>
      <c r="B10" s="13" t="s">
        <v>181</v>
      </c>
      <c r="C10" s="433" t="str">
        <f>B34</f>
        <v>C1</v>
      </c>
      <c r="D10" s="25" t="str">
        <f>B35</f>
        <v>C2</v>
      </c>
      <c r="E10" s="26"/>
      <c r="F10" s="27"/>
      <c r="G10" s="15" t="str">
        <f>B37</f>
        <v>C4</v>
      </c>
      <c r="H10" s="15"/>
      <c r="I10" s="15"/>
      <c r="J10" s="15"/>
      <c r="K10" s="16" t="str">
        <f>B38</f>
        <v>C5</v>
      </c>
      <c r="L10" s="13" t="str">
        <f>IF(OR(Games_1117[[#This Row],[SCORE 1]]="",Games_1117[[#This Row],[SCORE 2]]=""),"",Games_1117[[#This Row],[SCORE 1]]-Games_1117[[#This Row],[SCORE 2]])</f>
        <v/>
      </c>
      <c r="M10" s="13" t="str">
        <f>IF(OR(Games_1117[[#This Row],[SCORE 1]]="",Games_1117[[#This Row],[SCORE 2]]=""),"",Games_1117[[#This Row],[SCORE 2]]-Games_1117[[#This Row],[SCORE 1]])</f>
        <v/>
      </c>
      <c r="N10" s="13" t="str">
        <f>IF(Games_1117[[#This Row],[SCORE 1]]="","",Games_1117[[#This Row],[SCORE 1]])</f>
        <v/>
      </c>
      <c r="O10" s="13" t="str">
        <f>IF(Games_1117[[#This Row],[SCORE 2]]="","",Games_1117[[#This Row],[SCORE 2]])</f>
        <v/>
      </c>
      <c r="P10" s="13" t="str">
        <f>IF(OR(Games_1117[[#This Row],[SCORE 1]]="",Games_1117[[#This Row],[SCORE 2]]=""),"",IF(Games_1117[[#This Row],[SALDO 12]]&gt;0, "WIN","LOSE"))</f>
        <v/>
      </c>
      <c r="Q10" s="13" t="str">
        <f>IF(OR(Games_1117[[#This Row],[SCORE 1]]="",Games_1117[[#This Row],[SCORE 2]]=""),"",IF(Games_1117[[#This Row],[SALDO 34]]&gt;0, "WIN","LOSE"))</f>
        <v/>
      </c>
      <c r="S10" s="2" t="str">
        <f>IF($L$31="","",_xlfn.XLOOKUP(Table1572235446678468111248[[#This Row],[Rank]],$K$20:$K$38,$J$20:$J$38))</f>
        <v/>
      </c>
      <c r="T10" s="2" t="s">
        <v>41</v>
      </c>
    </row>
    <row r="11" spans="1:20">
      <c r="A11" s="550"/>
      <c r="B11" s="13" t="s">
        <v>178</v>
      </c>
      <c r="C11" s="433" t="str">
        <f>B20</f>
        <v>A1</v>
      </c>
      <c r="D11" s="25" t="str">
        <f>B24</f>
        <v>A5</v>
      </c>
      <c r="E11" s="26"/>
      <c r="F11" s="27"/>
      <c r="G11" s="15" t="str">
        <f>B22</f>
        <v>A3</v>
      </c>
      <c r="H11" s="15"/>
      <c r="I11" s="15"/>
      <c r="J11" s="15"/>
      <c r="K11" s="16" t="str">
        <f>B23</f>
        <v>A4</v>
      </c>
      <c r="L11" s="13" t="str">
        <f>IF(OR(Games_1117[[#This Row],[SCORE 1]]="",Games_1117[[#This Row],[SCORE 2]]=""),"",Games_1117[[#This Row],[SCORE 1]]-Games_1117[[#This Row],[SCORE 2]])</f>
        <v/>
      </c>
      <c r="M11" s="13" t="str">
        <f>IF(OR(Games_1117[[#This Row],[SCORE 1]]="",Games_1117[[#This Row],[SCORE 2]]=""),"",Games_1117[[#This Row],[SCORE 2]]-Games_1117[[#This Row],[SCORE 1]])</f>
        <v/>
      </c>
      <c r="N11" s="13" t="str">
        <f>IF(Games_1117[[#This Row],[SCORE 1]]="","",Games_1117[[#This Row],[SCORE 1]])</f>
        <v/>
      </c>
      <c r="O11" s="13" t="str">
        <f>IF(Games_1117[[#This Row],[SCORE 2]]="","",Games_1117[[#This Row],[SCORE 2]])</f>
        <v/>
      </c>
      <c r="P11" s="13" t="str">
        <f>IF(OR(Games_1117[[#This Row],[SCORE 1]]="",Games_1117[[#This Row],[SCORE 2]]=""),"",IF(Games_1117[[#This Row],[SALDO 12]]&gt;0, "WIN","LOSE"))</f>
        <v/>
      </c>
      <c r="Q11" s="13" t="str">
        <f>IF(OR(Games_1117[[#This Row],[SCORE 1]]="",Games_1117[[#This Row],[SCORE 2]]=""),"",IF(Games_1117[[#This Row],[SALDO 34]]&gt;0, "WIN","LOSE"))</f>
        <v/>
      </c>
      <c r="S11" s="2" t="str" cm="1">
        <f t="array" ref="S11">IF(COUNTBLANK(Games_1117[[SCORE 1]:[SCORE 2]])=0,_xlfn.TEXTJOIN(", ", TRUE, _xlfn._xlws.FILTER($J$20:$J$38, $K$20:$K$38=T11, "")),"")</f>
        <v/>
      </c>
      <c r="T11" s="2" t="s">
        <v>44</v>
      </c>
    </row>
    <row r="12" spans="1:20">
      <c r="A12" s="550"/>
      <c r="B12" s="13" t="s">
        <v>180</v>
      </c>
      <c r="C12" s="433" t="str">
        <f>B27</f>
        <v>B1</v>
      </c>
      <c r="D12" s="25" t="str">
        <f>B31</f>
        <v>B5</v>
      </c>
      <c r="E12" s="26"/>
      <c r="F12" s="27"/>
      <c r="G12" s="15" t="str">
        <f>B29</f>
        <v>B3</v>
      </c>
      <c r="H12" s="15"/>
      <c r="I12" s="15"/>
      <c r="J12" s="15"/>
      <c r="K12" s="16" t="str">
        <f>B30</f>
        <v>B4</v>
      </c>
      <c r="L12" s="13" t="str">
        <f>IF(OR(Games_1117[[#This Row],[SCORE 1]]="",Games_1117[[#This Row],[SCORE 2]]=""),"",Games_1117[[#This Row],[SCORE 1]]-Games_1117[[#This Row],[SCORE 2]])</f>
        <v/>
      </c>
      <c r="M12" s="13" t="str">
        <f>IF(OR(Games_1117[[#This Row],[SCORE 1]]="",Games_1117[[#This Row],[SCORE 2]]=""),"",Games_1117[[#This Row],[SCORE 2]]-Games_1117[[#This Row],[SCORE 1]])</f>
        <v/>
      </c>
      <c r="N12" s="13" t="str">
        <f>IF(Games_1117[[#This Row],[SCORE 1]]="","",Games_1117[[#This Row],[SCORE 1]])</f>
        <v/>
      </c>
      <c r="O12" s="13" t="str">
        <f>IF(Games_1117[[#This Row],[SCORE 2]]="","",Games_1117[[#This Row],[SCORE 2]])</f>
        <v/>
      </c>
      <c r="P12" s="13" t="str">
        <f>IF(OR(Games_1117[[#This Row],[SCORE 1]]="",Games_1117[[#This Row],[SCORE 2]]=""),"",IF(Games_1117[[#This Row],[SALDO 12]]&gt;0, "WIN","LOSE"))</f>
        <v/>
      </c>
      <c r="Q12" s="13" t="str">
        <f>IF(OR(Games_1117[[#This Row],[SCORE 1]]="",Games_1117[[#This Row],[SCORE 2]]=""),"",IF(Games_1117[[#This Row],[SALDO 34]]&gt;0, "WIN","LOSE"))</f>
        <v/>
      </c>
      <c r="S12" s="2" t="str" cm="1">
        <f t="array" ref="S12">IF(COUNTBLANK(Games_1117[[SCORE 1]:[SCORE 2]])=0,_xlfn.TEXTJOIN(", ", TRUE, _xlfn._xlws.FILTER($J$20:$J$38, $K$20:$K$38=T12, "")),"")</f>
        <v/>
      </c>
      <c r="T12" s="2" t="s">
        <v>39</v>
      </c>
    </row>
    <row r="13" spans="1:20">
      <c r="A13" s="550"/>
      <c r="B13" s="13" t="s">
        <v>181</v>
      </c>
      <c r="C13" s="433" t="str">
        <f>B34</f>
        <v>C1</v>
      </c>
      <c r="D13" s="25" t="str">
        <f>B38</f>
        <v>C5</v>
      </c>
      <c r="E13" s="26"/>
      <c r="F13" s="27"/>
      <c r="G13" s="15" t="str">
        <f>B36</f>
        <v>C3</v>
      </c>
      <c r="H13" s="15"/>
      <c r="I13" s="15"/>
      <c r="J13" s="15"/>
      <c r="K13" s="16" t="str">
        <f>B37</f>
        <v>C4</v>
      </c>
      <c r="L13" s="13" t="str">
        <f>IF(OR(Games_1117[[#This Row],[SCORE 1]]="",Games_1117[[#This Row],[SCORE 2]]=""),"",Games_1117[[#This Row],[SCORE 1]]-Games_1117[[#This Row],[SCORE 2]])</f>
        <v/>
      </c>
      <c r="M13" s="13" t="str">
        <f>IF(OR(Games_1117[[#This Row],[SCORE 1]]="",Games_1117[[#This Row],[SCORE 2]]=""),"",Games_1117[[#This Row],[SCORE 2]]-Games_1117[[#This Row],[SCORE 1]])</f>
        <v/>
      </c>
      <c r="N13" s="13" t="str">
        <f>IF(Games_1117[[#This Row],[SCORE 1]]="","",Games_1117[[#This Row],[SCORE 1]])</f>
        <v/>
      </c>
      <c r="O13" s="13" t="str">
        <f>IF(Games_1117[[#This Row],[SCORE 2]]="","",Games_1117[[#This Row],[SCORE 2]])</f>
        <v/>
      </c>
      <c r="P13" s="13" t="str">
        <f>IF(OR(Games_1117[[#This Row],[SCORE 1]]="",Games_1117[[#This Row],[SCORE 2]]=""),"",IF(Games_1117[[#This Row],[SALDO 12]]&gt;0, "WIN","LOSE"))</f>
        <v/>
      </c>
      <c r="Q13" s="13" t="str">
        <f>IF(OR(Games_1117[[#This Row],[SCORE 1]]="",Games_1117[[#This Row],[SCORE 2]]=""),"",IF(Games_1117[[#This Row],[SALDO 34]]&gt;0, "WIN","LOSE"))</f>
        <v/>
      </c>
      <c r="S13" s="2" t="str" cm="1">
        <f t="array" ref="S13">IF(COUNTBLANK(Games_1117[[SCORE 1]:[SCORE 2]])=0,_xlfn.TEXTJOIN(", ", TRUE, _xlfn._xlws.FILTER($J$20:$J$38, $K$20:$K$38=T13, "")),"")</f>
        <v/>
      </c>
      <c r="T13" s="2" t="s">
        <v>49</v>
      </c>
    </row>
    <row r="14" spans="1:20">
      <c r="A14" s="550"/>
      <c r="B14" s="13" t="s">
        <v>178</v>
      </c>
      <c r="C14" s="433" t="str">
        <f>B22</f>
        <v>A3</v>
      </c>
      <c r="D14" s="25" t="str">
        <f>B24</f>
        <v>A5</v>
      </c>
      <c r="E14" s="26"/>
      <c r="F14" s="27"/>
      <c r="G14" s="15" t="str">
        <f>B21</f>
        <v>A2</v>
      </c>
      <c r="H14" s="15"/>
      <c r="I14" s="15"/>
      <c r="J14" s="15"/>
      <c r="K14" s="16" t="str">
        <f>B23</f>
        <v>A4</v>
      </c>
      <c r="L14" s="13" t="str">
        <f>IF(OR(Games_1117[[#This Row],[SCORE 1]]="",Games_1117[[#This Row],[SCORE 2]]=""),"",Games_1117[[#This Row],[SCORE 1]]-Games_1117[[#This Row],[SCORE 2]])</f>
        <v/>
      </c>
      <c r="M14" s="13" t="str">
        <f>IF(OR(Games_1117[[#This Row],[SCORE 1]]="",Games_1117[[#This Row],[SCORE 2]]=""),"",Games_1117[[#This Row],[SCORE 2]]-Games_1117[[#This Row],[SCORE 1]])</f>
        <v/>
      </c>
      <c r="N14" s="13" t="str">
        <f>IF(Games_1117[[#This Row],[SCORE 1]]="","",Games_1117[[#This Row],[SCORE 1]])</f>
        <v/>
      </c>
      <c r="O14" s="13" t="str">
        <f>IF(Games_1117[[#This Row],[SCORE 2]]="","",Games_1117[[#This Row],[SCORE 2]])</f>
        <v/>
      </c>
      <c r="P14" s="13" t="str">
        <f>IF(OR(Games_1117[[#This Row],[SCORE 1]]="",Games_1117[[#This Row],[SCORE 2]]=""),"",IF(Games_1117[[#This Row],[SALDO 12]]&gt;0, "WIN","LOSE"))</f>
        <v/>
      </c>
      <c r="Q14" s="13" t="str">
        <f>IF(OR(Games_1117[[#This Row],[SCORE 1]]="",Games_1117[[#This Row],[SCORE 2]]=""),"",IF(Games_1117[[#This Row],[SALDO 34]]&gt;0, "WIN","LOSE"))</f>
        <v/>
      </c>
      <c r="S14" s="2" t="str" cm="1">
        <f t="array" ref="S14">IF(COUNTBLANK(Games_1117[[SCORE 1]:[SCORE 2]])=0,_xlfn.TEXTJOIN(", ", TRUE, _xlfn._xlws.FILTER($J$20:$J$38, $K$20:$K$38=T14, "")),"")</f>
        <v/>
      </c>
      <c r="T14" s="2" t="s">
        <v>51</v>
      </c>
    </row>
    <row r="15" spans="1:20">
      <c r="A15" s="550"/>
      <c r="B15" s="13" t="s">
        <v>180</v>
      </c>
      <c r="C15" s="433" t="str">
        <f>B29</f>
        <v>B3</v>
      </c>
      <c r="D15" s="25" t="str">
        <f>B31</f>
        <v>B5</v>
      </c>
      <c r="E15" s="26"/>
      <c r="F15" s="27"/>
      <c r="G15" s="15" t="str">
        <f>B28</f>
        <v>B2</v>
      </c>
      <c r="H15" s="15"/>
      <c r="I15" s="15"/>
      <c r="J15" s="15"/>
      <c r="K15" s="16" t="str">
        <f>B30</f>
        <v>B4</v>
      </c>
      <c r="L15" s="13" t="str">
        <f>IF(OR(Games_1117[[#This Row],[SCORE 1]]="",Games_1117[[#This Row],[SCORE 2]]=""),"",Games_1117[[#This Row],[SCORE 1]]-Games_1117[[#This Row],[SCORE 2]])</f>
        <v/>
      </c>
      <c r="M15" s="13" t="str">
        <f>IF(OR(Games_1117[[#This Row],[SCORE 1]]="",Games_1117[[#This Row],[SCORE 2]]=""),"",Games_1117[[#This Row],[SCORE 2]]-Games_1117[[#This Row],[SCORE 1]])</f>
        <v/>
      </c>
      <c r="N15" s="13" t="str">
        <f>IF(Games_1117[[#This Row],[SCORE 1]]="","",Games_1117[[#This Row],[SCORE 1]])</f>
        <v/>
      </c>
      <c r="O15" s="13" t="str">
        <f>IF(Games_1117[[#This Row],[SCORE 2]]="","",Games_1117[[#This Row],[SCORE 2]])</f>
        <v/>
      </c>
      <c r="P15" s="13" t="str">
        <f>IF(OR(Games_1117[[#This Row],[SCORE 1]]="",Games_1117[[#This Row],[SCORE 2]]=""),"",IF(Games_1117[[#This Row],[SALDO 12]]&gt;0, "WIN","LOSE"))</f>
        <v/>
      </c>
      <c r="Q15" s="13" t="str">
        <f>IF(OR(Games_1117[[#This Row],[SCORE 1]]="",Games_1117[[#This Row],[SCORE 2]]=""),"",IF(Games_1117[[#This Row],[SALDO 34]]&gt;0, "WIN","LOSE"))</f>
        <v/>
      </c>
      <c r="S15" s="2" t="str" cm="1">
        <f t="array" ref="S15">IF(COUNTBLANK(Games_1117[[SCORE 1]:[SCORE 2]])=0,_xlfn.TEXTJOIN(", ", TRUE, _xlfn._xlws.FILTER($J$20:$J$38, $K$20:$K$38=T15, "")),"")</f>
        <v/>
      </c>
      <c r="T15" s="2" t="s">
        <v>47</v>
      </c>
    </row>
    <row r="16" spans="1:20">
      <c r="A16" s="550"/>
      <c r="B16" s="429" t="s">
        <v>181</v>
      </c>
      <c r="C16" s="433" t="str">
        <f>B36</f>
        <v>C3</v>
      </c>
      <c r="D16" s="25" t="str">
        <f>B38</f>
        <v>C5</v>
      </c>
      <c r="E16" s="82"/>
      <c r="F16" s="83"/>
      <c r="G16" s="84" t="str">
        <f>B35</f>
        <v>C2</v>
      </c>
      <c r="H16" s="84"/>
      <c r="I16" s="84"/>
      <c r="J16" s="84"/>
      <c r="K16" s="22" t="str">
        <f>B37</f>
        <v>C4</v>
      </c>
      <c r="L16" s="429" t="str">
        <f>IF(OR(Games_1117[[#This Row],[SCORE 1]]="",Games_1117[[#This Row],[SCORE 2]]=""),"",Games_1117[[#This Row],[SCORE 1]]-Games_1117[[#This Row],[SCORE 2]])</f>
        <v/>
      </c>
      <c r="M16" s="429" t="str">
        <f>IF(OR(Games_1117[[#This Row],[SCORE 1]]="",Games_1117[[#This Row],[SCORE 2]]=""),"",Games_1117[[#This Row],[SCORE 2]]-Games_1117[[#This Row],[SCORE 1]])</f>
        <v/>
      </c>
      <c r="N16" s="429" t="str">
        <f>IF(Games_1117[[#This Row],[SCORE 1]]="","",Games_1117[[#This Row],[SCORE 1]])</f>
        <v/>
      </c>
      <c r="O16" s="429" t="str">
        <f>IF(Games_1117[[#This Row],[SCORE 2]]="","",Games_1117[[#This Row],[SCORE 2]])</f>
        <v/>
      </c>
      <c r="P16" s="429" t="str">
        <f>IF(OR(Games_1117[[#This Row],[SCORE 1]]="",Games_1117[[#This Row],[SCORE 2]]=""),"",IF(Games_1117[[#This Row],[SALDO 12]]&gt;0, "WIN","LOSE"))</f>
        <v/>
      </c>
      <c r="Q16" s="429" t="str">
        <f>IF(OR(Games_1117[[#This Row],[SCORE 1]]="",Games_1117[[#This Row],[SCORE 2]]=""),"",IF(Games_1117[[#This Row],[SALDO 34]]&gt;0, "WIN","LOSE"))</f>
        <v/>
      </c>
      <c r="S16" s="2" t="str" cm="1">
        <f t="array" ref="S16">IF(COUNTBLANK(Games_1117[[SCORE 1]:[SCORE 2]])=0,_xlfn.TEXTJOIN(", ", TRUE, _xlfn._xlws.FILTER($J$20:$J$38, $K$20:$K$38=T16, "")),"")</f>
        <v/>
      </c>
      <c r="T16" s="2" t="s">
        <v>57</v>
      </c>
    </row>
    <row r="17" spans="1:20" ht="30" customHeight="1">
      <c r="S17" s="2" t="str" cm="1">
        <f t="array" ref="S17">IF(COUNTBLANK(Games_1117[[SCORE 1]:[SCORE 2]])=0,_xlfn.TEXTJOIN(", ", TRUE, _xlfn._xlws.FILTER($J$20:$J$38, $K$20:$K$38=T17, "")),"")</f>
        <v/>
      </c>
      <c r="T17" s="2" t="s">
        <v>60</v>
      </c>
    </row>
    <row r="18" spans="1:20" ht="30" customHeight="1">
      <c r="A18" s="546" t="s">
        <v>182</v>
      </c>
      <c r="B18" s="547"/>
      <c r="C18" s="547"/>
      <c r="D18" s="547"/>
      <c r="E18" s="547"/>
      <c r="F18" s="547"/>
      <c r="G18" s="547"/>
      <c r="H18" s="420"/>
      <c r="I18" s="420"/>
      <c r="J18" s="420"/>
      <c r="L18" s="548" t="s">
        <v>183</v>
      </c>
      <c r="M18" s="549"/>
      <c r="N18" s="549"/>
      <c r="O18" s="549"/>
      <c r="P18" s="549"/>
      <c r="Q18" s="549"/>
    </row>
    <row r="19" spans="1:20" ht="15.95">
      <c r="A19" s="6" t="s">
        <v>184</v>
      </c>
      <c r="B19" s="7" t="s">
        <v>185</v>
      </c>
      <c r="C19" s="7" t="s">
        <v>186</v>
      </c>
      <c r="D19" s="7" t="s">
        <v>187</v>
      </c>
      <c r="E19" s="7" t="s">
        <v>188</v>
      </c>
      <c r="F19" s="7" t="s">
        <v>189</v>
      </c>
      <c r="G19" s="7" t="s">
        <v>8</v>
      </c>
      <c r="H19" s="80" t="s">
        <v>190</v>
      </c>
      <c r="I19" s="20" t="s">
        <v>191</v>
      </c>
      <c r="J19" s="20" t="s">
        <v>1</v>
      </c>
      <c r="K19" s="20" t="s">
        <v>192</v>
      </c>
      <c r="L19" s="418" t="s">
        <v>193</v>
      </c>
      <c r="M19" s="418" t="s">
        <v>194</v>
      </c>
      <c r="N19" s="542" t="s">
        <v>195</v>
      </c>
      <c r="O19" s="543"/>
      <c r="P19" s="418" t="s">
        <v>196</v>
      </c>
      <c r="Q19" s="418" t="s">
        <v>197</v>
      </c>
    </row>
    <row r="20" spans="1:20">
      <c r="A20" s="4" t="s">
        <v>178</v>
      </c>
      <c r="B20" s="29" t="s">
        <v>205</v>
      </c>
      <c r="C20" s="14">
        <f>SUM(COUNTIFS(Games_1117[ATHLETE 1],Analysis_2224[[#This Row],[Atheletes ]],Games_1117[RESULT 12],"win"),COUNTIFS(Games_1117[ATHLETE 2],Analysis_2224[[#This Row],[Atheletes ]],Games_1117[RESULT 12],"win"),COUNTIFS(Games_1117[ATHLETE 3],Analysis_2224[[#This Row],[Atheletes ]],Games_1117[RESULT 34],"win"),COUNTIFS(Games_1117[ATHLETE 4],Analysis_2224[[#This Row],[Atheletes ]],Games_1117[RESULT 34],"win"))</f>
        <v>0</v>
      </c>
      <c r="D20" s="14">
        <f>SUM(COUNTIFS(Games_1117[ATHLETE 1],Analysis_2224[[#This Row],[Atheletes ]],Games_1117[RESULT 12],"lose"),COUNTIFS(Games_1117[ATHLETE 2],Analysis_2224[[#This Row],[Atheletes ]],Games_1117[RESULT 12],"lose"),COUNTIFS(Games_1117[ATHLETE 3],Analysis_2224[[#This Row],[Atheletes ]],Games_1117[RESULT 34],"lose"),COUNTIFS(Games_1117[ATHLETE 4],Analysis_2224[[#This Row],[Atheletes ]],Games_1117[RESULT 34],"lose"))</f>
        <v>0</v>
      </c>
      <c r="E20" s="19">
        <f>SUM(SUMIF(Games_1117[ATHLETE 1],Analysis_2224[[#This Row],[Atheletes ]],Games_1117[SALDO 12]),SUMIF(Games_1117[ATHLETE 2],Analysis_2224[[#This Row],[Atheletes ]],Games_1117[SALDO 12]),SUMIF(Games_1117[ATHLETE 3],Analysis_2224[[#This Row],[Atheletes ]],Games_1117[SALDO 34]),SUMIF(Games_1117[ATHLETE 4],Analysis_2224[[#This Row],[Atheletes ]],Games_1117[SALDO 34]))</f>
        <v>0</v>
      </c>
      <c r="F20" s="19">
        <f>SUM(SUMIF(Games_1117[ATHLETE 1],Analysis_2224[[#This Row],[Atheletes ]],Games_1117[PM 12]),SUMIF(Games_1117[ATHLETE 2],Analysis_2224[[#This Row],[Atheletes ]],Games_1117[PM 12]),SUMIF(Games_1117[ATHLETE 3],Analysis_2224[[#This Row],[Atheletes ]],Games_1117[PM 34]),SUMIF(Games_1117[ATHLETE 4],Analysis_2224[[#This Row],[Atheletes ]],Games_1117[PM 34]))</f>
        <v>0</v>
      </c>
      <c r="G20" s="14" t="str">
        <f>IF(COUNTBLANK(Games_1117[[SCORE 1]:[SCORE 2]])=0,IF(RANK(H20,$H$20:$H$24)=1,RANK(H20,$H$20:$H$24)&amp;"st",IF(RANK(H20,$H$20:$H$24)=2,RANK(H20,$H$20:$H$24)&amp;"nd",IF(RANK(H20,$H$20:$H$24)=3,RANK(H20,$H$20:$H$24)&amp;"rd",RANK(H20,$H$20:$H$24)&amp;"th"))),"")</f>
        <v/>
      </c>
      <c r="H20" s="51">
        <f>Analysis_2224[[#This Row],[WIN]]*1000000+Analysis_2224[[#This Row],[Saldo]]*1000+Analysis_2224[[#This Row],[PM]]</f>
        <v>0</v>
      </c>
      <c r="I20" s="56">
        <f>H20</f>
        <v>0</v>
      </c>
      <c r="J20" s="56" t="str">
        <f>Analysis_2224[[#This Row],[Atheletes ]]</f>
        <v>A1</v>
      </c>
      <c r="K20" s="56" t="str">
        <f>IF(RANK(I20,$I$20:$I$38)=1,RANK(I20,$I$20:$I$38)&amp;"st",IF(RANK(I20,$I$20:$I$38)=2,RANK(I20,$I$20:$I$38)&amp;"nd",IF(RANK(I20,$I$20:$I$38)=3,RANK(I20,$I$20:$I$38)&amp;"rd",RANK(I20,$I$20:$I$38)&amp;"th")))</f>
        <v>1st</v>
      </c>
      <c r="L20" s="8" t="str" cm="1">
        <f t="array" ref="L20">IF(COUNTBLANK(Games_1117[[SCORE 1]:[SCORE 2]])=0,_xlfn.TEXTJOIN(", ", TRUE, _xlfn._xlws.FILTER($J$20:$J$38, $K$20:$K$38=T3,"")),"")</f>
        <v/>
      </c>
      <c r="M20" s="131" t="str">
        <f>IF(COUNTBLANK(Games_1117[[SCORE 1]:[SCORE 2]])=0,IFERROR(_xlfn.XLOOKUP(#REF!,$K$20:$K$38,$J$20:$J$38),""),"")</f>
        <v/>
      </c>
      <c r="N20" s="98"/>
      <c r="O20" s="132"/>
      <c r="P20" s="131" t="str">
        <f>IF(COUNTBLANK(Games_1117[[SCORE 1]:[SCORE 2]])=0,IFERROR(_xlfn.XLOOKUP(#REF!,$K$20:$K$38,$J$20:$J$38),""),"")</f>
        <v/>
      </c>
      <c r="Q20" s="131" t="str">
        <f>IF(COUNTBLANK(Games_1117[[SCORE 1]:[SCORE 2]])=0,IFERROR(_xlfn.XLOOKUP(#REF!,$K$20:$K$38,$J$20:$J$38),""),"")</f>
        <v/>
      </c>
    </row>
    <row r="21" spans="1:20">
      <c r="A21" s="3" t="s">
        <v>178</v>
      </c>
      <c r="B21" s="29" t="s">
        <v>206</v>
      </c>
      <c r="C21" s="14">
        <f>SUM(COUNTIFS(Games_1117[ATHLETE 1],Analysis_2224[[#This Row],[Atheletes ]],Games_1117[RESULT 12],"win"),COUNTIFS(Games_1117[ATHLETE 2],Analysis_2224[[#This Row],[Atheletes ]],Games_1117[RESULT 12],"win"),COUNTIFS(Games_1117[ATHLETE 3],Analysis_2224[[#This Row],[Atheletes ]],Games_1117[RESULT 34],"win"),COUNTIFS(Games_1117[ATHLETE 4],Analysis_2224[[#This Row],[Atheletes ]],Games_1117[RESULT 34],"win"))</f>
        <v>0</v>
      </c>
      <c r="D21" s="14">
        <f>SUM(COUNTIFS(Games_1117[ATHLETE 1],Analysis_2224[[#This Row],[Atheletes ]],Games_1117[RESULT 12],"lose"),COUNTIFS(Games_1117[ATHLETE 2],Analysis_2224[[#This Row],[Atheletes ]],Games_1117[RESULT 12],"lose"),COUNTIFS(Games_1117[ATHLETE 3],Analysis_2224[[#This Row],[Atheletes ]],Games_1117[RESULT 34],"lose"),COUNTIFS(Games_1117[ATHLETE 4],Analysis_2224[[#This Row],[Atheletes ]],Games_1117[RESULT 34],"lose"))</f>
        <v>0</v>
      </c>
      <c r="E21" s="19">
        <f>SUM(SUMIF(Games_1117[ATHLETE 1],Analysis_2224[[#This Row],[Atheletes ]],Games_1117[SALDO 12]),SUMIF(Games_1117[ATHLETE 2],Analysis_2224[[#This Row],[Atheletes ]],Games_1117[SALDO 12]),SUMIF(Games_1117[ATHLETE 3],Analysis_2224[[#This Row],[Atheletes ]],Games_1117[SALDO 34]),SUMIF(Games_1117[ATHLETE 4],Analysis_2224[[#This Row],[Atheletes ]],Games_1117[SALDO 34]))</f>
        <v>0</v>
      </c>
      <c r="F21" s="19">
        <f>SUM(SUMIF(Games_1117[ATHLETE 1],Analysis_2224[[#This Row],[Atheletes ]],Games_1117[PM 12]),SUMIF(Games_1117[ATHLETE 2],Analysis_2224[[#This Row],[Atheletes ]],Games_1117[PM 12]),SUMIF(Games_1117[ATHLETE 3],Analysis_2224[[#This Row],[Atheletes ]],Games_1117[PM 34]),SUMIF(Games_1117[ATHLETE 4],Analysis_2224[[#This Row],[Atheletes ]],Games_1117[PM 34]))</f>
        <v>0</v>
      </c>
      <c r="G21" s="14" t="str">
        <f>IF(COUNTBLANK(Games_1117[[SCORE 1]:[SCORE 2]])=0,IF(RANK(H21,$H$20:$H$24)=1,RANK(H21,$H$20:$H$24)&amp;"st",IF(RANK(H21,$H$20:$H$24)=2,RANK(H21,$H$20:$H$24)&amp;"nd",IF(RANK(H21,$H$20:$H$24)=3,RANK(H21,$H$20:$H$24)&amp;"rd",RANK(H21,$H$20:$H$24)&amp;"th"))),"")</f>
        <v/>
      </c>
      <c r="H21" s="51">
        <f>Analysis_2224[[#This Row],[WIN]]*1000000+Analysis_2224[[#This Row],[Saldo]]*1000+Analysis_2224[[#This Row],[PM]]</f>
        <v>0</v>
      </c>
      <c r="I21" s="56">
        <f t="shared" ref="I21:I24" si="0">H21</f>
        <v>0</v>
      </c>
      <c r="J21" s="56" t="str">
        <f>Analysis_2224[[#This Row],[Atheletes ]]</f>
        <v>A2</v>
      </c>
      <c r="K21" s="56" t="str">
        <f>IF(RANK(I21,$I$20:$I$38)=1,RANK(I21,$I$20:$I$38)&amp;"st",IF(RANK(I21,$I$20:$I$38)=2,RANK(I21,$I$20:$I$38)&amp;"nd",IF(RANK(I21,$I$20:$I$38)=3,RANK(I21,$I$20:$I$38)&amp;"rd",RANK(I21,$I$20:$I$38)&amp;"th")))</f>
        <v>1st</v>
      </c>
      <c r="R21" s="17"/>
    </row>
    <row r="22" spans="1:20">
      <c r="A22" s="3" t="s">
        <v>178</v>
      </c>
      <c r="B22" s="29" t="s">
        <v>207</v>
      </c>
      <c r="C22" s="14">
        <f>SUM(COUNTIFS(Games_1117[ATHLETE 1],Analysis_2224[[#This Row],[Atheletes ]],Games_1117[RESULT 12],"win"),COUNTIFS(Games_1117[ATHLETE 2],Analysis_2224[[#This Row],[Atheletes ]],Games_1117[RESULT 12],"win"),COUNTIFS(Games_1117[ATHLETE 3],Analysis_2224[[#This Row],[Atheletes ]],Games_1117[RESULT 34],"win"),COUNTIFS(Games_1117[ATHLETE 4],Analysis_2224[[#This Row],[Atheletes ]],Games_1117[RESULT 34],"win"))</f>
        <v>0</v>
      </c>
      <c r="D22" s="14">
        <f>SUM(COUNTIFS(Games_1117[ATHLETE 1],Analysis_2224[[#This Row],[Atheletes ]],Games_1117[RESULT 12],"lose"),COUNTIFS(Games_1117[ATHLETE 2],Analysis_2224[[#This Row],[Atheletes ]],Games_1117[RESULT 12],"lose"),COUNTIFS(Games_1117[ATHLETE 3],Analysis_2224[[#This Row],[Atheletes ]],Games_1117[RESULT 34],"lose"),COUNTIFS(Games_1117[ATHLETE 4],Analysis_2224[[#This Row],[Atheletes ]],Games_1117[RESULT 34],"lose"))</f>
        <v>0</v>
      </c>
      <c r="E22" s="19">
        <f>SUM(SUMIF(Games_1117[ATHLETE 1],Analysis_2224[[#This Row],[Atheletes ]],Games_1117[SALDO 12]),SUMIF(Games_1117[ATHLETE 2],Analysis_2224[[#This Row],[Atheletes ]],Games_1117[SALDO 12]),SUMIF(Games_1117[ATHLETE 3],Analysis_2224[[#This Row],[Atheletes ]],Games_1117[SALDO 34]),SUMIF(Games_1117[ATHLETE 4],Analysis_2224[[#This Row],[Atheletes ]],Games_1117[SALDO 34]))</f>
        <v>0</v>
      </c>
      <c r="F22" s="19">
        <f>SUM(SUMIF(Games_1117[ATHLETE 1],Analysis_2224[[#This Row],[Atheletes ]],Games_1117[PM 12]),SUMIF(Games_1117[ATHLETE 2],Analysis_2224[[#This Row],[Atheletes ]],Games_1117[PM 12]),SUMIF(Games_1117[ATHLETE 3],Analysis_2224[[#This Row],[Atheletes ]],Games_1117[PM 34]),SUMIF(Games_1117[ATHLETE 4],Analysis_2224[[#This Row],[Atheletes ]],Games_1117[PM 34]))</f>
        <v>0</v>
      </c>
      <c r="G22" s="14" t="str">
        <f>IF(COUNTBLANK(Games_1117[[SCORE 1]:[SCORE 2]])=0,IF(RANK(H22,$H$20:$H$24)=1,RANK(H22,$H$20:$H$24)&amp;"st",IF(RANK(H22,$H$20:$H$24)=2,RANK(H22,$H$20:$H$24)&amp;"nd",IF(RANK(H22,$H$20:$H$24)=3,RANK(H22,$H$20:$H$24)&amp;"rd",RANK(H22,$H$20:$H$24)&amp;"th"))),"")</f>
        <v/>
      </c>
      <c r="H22" s="51">
        <f>Analysis_2224[[#This Row],[WIN]]*1000000+Analysis_2224[[#This Row],[Saldo]]*1000+Analysis_2224[[#This Row],[PM]]</f>
        <v>0</v>
      </c>
      <c r="I22" s="56">
        <f t="shared" si="0"/>
        <v>0</v>
      </c>
      <c r="J22" s="56" t="str">
        <f>Analysis_2224[[#This Row],[Atheletes ]]</f>
        <v>A3</v>
      </c>
      <c r="K22" s="56" t="str">
        <f>IF(RANK(I22,$I$20:$I$38)=1,RANK(I22,$I$20:$I$38)&amp;"st",IF(RANK(I22,$I$20:$I$38)=2,RANK(I22,$I$20:$I$38)&amp;"nd",IF(RANK(I22,$I$20:$I$38)=3,RANK(I22,$I$20:$I$38)&amp;"rd",RANK(I22,$I$20:$I$38)&amp;"th")))</f>
        <v>1st</v>
      </c>
    </row>
    <row r="23" spans="1:20" ht="15.95">
      <c r="A23" s="5" t="s">
        <v>178</v>
      </c>
      <c r="B23" s="29" t="s">
        <v>208</v>
      </c>
      <c r="C23" s="14">
        <f>SUM(COUNTIFS(Games_1117[ATHLETE 1],Analysis_2224[[#This Row],[Atheletes ]],Games_1117[RESULT 12],"win"),COUNTIFS(Games_1117[ATHLETE 2],Analysis_2224[[#This Row],[Atheletes ]],Games_1117[RESULT 12],"win"),COUNTIFS(Games_1117[ATHLETE 3],Analysis_2224[[#This Row],[Atheletes ]],Games_1117[RESULT 34],"win"),COUNTIFS(Games_1117[ATHLETE 4],Analysis_2224[[#This Row],[Atheletes ]],Games_1117[RESULT 34],"win"))</f>
        <v>0</v>
      </c>
      <c r="D23" s="14">
        <f>SUM(COUNTIFS(Games_1117[ATHLETE 1],Analysis_2224[[#This Row],[Atheletes ]],Games_1117[RESULT 12],"lose"),COUNTIFS(Games_1117[ATHLETE 2],Analysis_2224[[#This Row],[Atheletes ]],Games_1117[RESULT 12],"lose"),COUNTIFS(Games_1117[ATHLETE 3],Analysis_2224[[#This Row],[Atheletes ]],Games_1117[RESULT 34],"lose"),COUNTIFS(Games_1117[ATHLETE 4],Analysis_2224[[#This Row],[Atheletes ]],Games_1117[RESULT 34],"lose"))</f>
        <v>0</v>
      </c>
      <c r="E23" s="19">
        <f>SUM(SUMIF(Games_1117[ATHLETE 1],Analysis_2224[[#This Row],[Atheletes ]],Games_1117[SALDO 12]),SUMIF(Games_1117[ATHLETE 2],Analysis_2224[[#This Row],[Atheletes ]],Games_1117[SALDO 12]),SUMIF(Games_1117[ATHLETE 3],Analysis_2224[[#This Row],[Atheletes ]],Games_1117[SALDO 34]),SUMIF(Games_1117[ATHLETE 4],Analysis_2224[[#This Row],[Atheletes ]],Games_1117[SALDO 34]))</f>
        <v>0</v>
      </c>
      <c r="F23" s="19">
        <f>SUM(SUMIF(Games_1117[ATHLETE 1],Analysis_2224[[#This Row],[Atheletes ]],Games_1117[PM 12]),SUMIF(Games_1117[ATHLETE 2],Analysis_2224[[#This Row],[Atheletes ]],Games_1117[PM 12]),SUMIF(Games_1117[ATHLETE 3],Analysis_2224[[#This Row],[Atheletes ]],Games_1117[PM 34]),SUMIF(Games_1117[ATHLETE 4],Analysis_2224[[#This Row],[Atheletes ]],Games_1117[PM 34]))</f>
        <v>0</v>
      </c>
      <c r="G23" s="14" t="str">
        <f>IF(COUNTBLANK(Games_1117[[SCORE 1]:[SCORE 2]])=0,IF(RANK(H23,$H$20:$H$24)=1,RANK(H23,$H$20:$H$24)&amp;"st",IF(RANK(H23,$H$20:$H$24)=2,RANK(H23,$H$20:$H$24)&amp;"nd",IF(RANK(H23,$H$20:$H$24)=3,RANK(H23,$H$20:$H$24)&amp;"rd",RANK(H23,$H$20:$H$24)&amp;"th"))),"")</f>
        <v/>
      </c>
      <c r="H23" s="51">
        <f>Analysis_2224[[#This Row],[WIN]]*1000000+Analysis_2224[[#This Row],[Saldo]]*1000+Analysis_2224[[#This Row],[PM]]</f>
        <v>0</v>
      </c>
      <c r="I23" s="56">
        <f t="shared" si="0"/>
        <v>0</v>
      </c>
      <c r="J23" s="56" t="str">
        <f>Analysis_2224[[#This Row],[Atheletes ]]</f>
        <v>A4</v>
      </c>
      <c r="K23" s="56" t="str">
        <f>IF(RANK(I23,$I$20:$I$38)=1,RANK(I23,$I$20:$I$38)&amp;"st",IF(RANK(I23,$I$20:$I$38)=2,RANK(I23,$I$20:$I$38)&amp;"nd",IF(RANK(I23,$I$20:$I$38)=3,RANK(I23,$I$20:$I$38)&amp;"rd",RANK(I23,$I$20:$I$38)&amp;"th")))</f>
        <v>1st</v>
      </c>
    </row>
    <row r="24" spans="1:20">
      <c r="A24" s="3" t="s">
        <v>178</v>
      </c>
      <c r="B24" s="29" t="s">
        <v>230</v>
      </c>
      <c r="C24" s="14">
        <f>SUM(COUNTIFS(Games_1117[ATHLETE 1],Analysis_2224[[#This Row],[Atheletes ]],Games_1117[RESULT 12],"win"),COUNTIFS(Games_1117[ATHLETE 2],Analysis_2224[[#This Row],[Atheletes ]],Games_1117[RESULT 12],"win"),COUNTIFS(Games_1117[ATHLETE 3],Analysis_2224[[#This Row],[Atheletes ]],Games_1117[RESULT 34],"win"),COUNTIFS(Games_1117[ATHLETE 4],Analysis_2224[[#This Row],[Atheletes ]],Games_1117[RESULT 34],"win"))</f>
        <v>0</v>
      </c>
      <c r="D24" s="14">
        <f>SUM(COUNTIFS(Games_1117[ATHLETE 1],Analysis_2224[[#This Row],[Atheletes ]],Games_1117[RESULT 12],"lose"),COUNTIFS(Games_1117[ATHLETE 2],Analysis_2224[[#This Row],[Atheletes ]],Games_1117[RESULT 12],"lose"),COUNTIFS(Games_1117[ATHLETE 3],Analysis_2224[[#This Row],[Atheletes ]],Games_1117[RESULT 34],"lose"),COUNTIFS(Games_1117[ATHLETE 4],Analysis_2224[[#This Row],[Atheletes ]],Games_1117[RESULT 34],"lose"))</f>
        <v>0</v>
      </c>
      <c r="E24" s="19">
        <f>SUM(SUMIF(Games_1117[ATHLETE 1],Analysis_2224[[#This Row],[Atheletes ]],Games_1117[SALDO 12]),SUMIF(Games_1117[ATHLETE 2],Analysis_2224[[#This Row],[Atheletes ]],Games_1117[SALDO 12]),SUMIF(Games_1117[ATHLETE 3],Analysis_2224[[#This Row],[Atheletes ]],Games_1117[SALDO 34]),SUMIF(Games_1117[ATHLETE 4],Analysis_2224[[#This Row],[Atheletes ]],Games_1117[SALDO 34]))</f>
        <v>0</v>
      </c>
      <c r="F24" s="19">
        <f>SUM(SUMIF(Games_1117[ATHLETE 1],Analysis_2224[[#This Row],[Atheletes ]],Games_1117[PM 12]),SUMIF(Games_1117[ATHLETE 2],Analysis_2224[[#This Row],[Atheletes ]],Games_1117[PM 12]),SUMIF(Games_1117[ATHLETE 3],Analysis_2224[[#This Row],[Atheletes ]],Games_1117[PM 34]),SUMIF(Games_1117[ATHLETE 4],Analysis_2224[[#This Row],[Atheletes ]],Games_1117[PM 34]))</f>
        <v>0</v>
      </c>
      <c r="G24" s="14" t="str">
        <f>IF(COUNTBLANK(Games_1117[[SCORE 1]:[SCORE 2]])=0,IF(RANK(H24,$H$20:$H$24)=1,RANK(H24,$H$20:$H$24)&amp;"st",IF(RANK(H24,$H$20:$H$24)=2,RANK(H24,$H$20:$H$24)&amp;"nd",IF(RANK(H24,$H$20:$H$24)=3,RANK(H24,$H$20:$H$24)&amp;"rd",RANK(H24,$H$20:$H$24)&amp;"th"))),"")</f>
        <v/>
      </c>
      <c r="H24" s="51">
        <f>Analysis_2224[[#This Row],[WIN]]*1000000+Analysis_2224[[#This Row],[Saldo]]*1000+Analysis_2224[[#This Row],[PM]]</f>
        <v>0</v>
      </c>
      <c r="I24" s="56">
        <f t="shared" si="0"/>
        <v>0</v>
      </c>
      <c r="J24" s="56" t="str">
        <f>Analysis_2224[[#This Row],[Atheletes ]]</f>
        <v>A5</v>
      </c>
      <c r="K24" s="56" t="str">
        <f>IF(RANK(I24,$I$20:$I$38)=1,RANK(I24,$I$20:$I$38)&amp;"st",IF(RANK(I24,$I$20:$I$38)=2,RANK(I24,$I$20:$I$38)&amp;"nd",IF(RANK(I24,$I$20:$I$38)=3,RANK(I24,$I$20:$I$38)&amp;"rd",RANK(I24,$I$20:$I$38)&amp;"th")))</f>
        <v>1st</v>
      </c>
      <c r="L24" s="418" t="s">
        <v>193</v>
      </c>
      <c r="M24" s="418" t="s">
        <v>194</v>
      </c>
      <c r="N24" s="542" t="s">
        <v>195</v>
      </c>
      <c r="O24" s="543"/>
      <c r="P24" s="418" t="s">
        <v>196</v>
      </c>
      <c r="Q24" s="418" t="s">
        <v>197</v>
      </c>
      <c r="S24" s="90" t="s">
        <v>198</v>
      </c>
    </row>
    <row r="25" spans="1:20" ht="28.5" customHeight="1">
      <c r="L25" s="131" t="str">
        <f>IF(COUNTBLANK(Games_1117[[SCORE 1]:[SCORE 2]])=0,IFERROR(_xlfn.XLOOKUP(#REF!,$K$20:$K$38,$J$20:$J$38),""),"")</f>
        <v/>
      </c>
      <c r="M25" s="131" t="str">
        <f>IF(COUNTBLANK(Games_1117[[SCORE 1]:[SCORE 2]])=0,IFERROR(_xlfn.XLOOKUP(#REF!,$K$20:$K$38,$J$20:$J$38),""),"")</f>
        <v/>
      </c>
      <c r="N25" s="98"/>
      <c r="O25" s="132"/>
      <c r="P25" s="131" t="str">
        <f>IF(COUNTBLANK(Games_1117[[SCORE 1]:[SCORE 2]])=0,IFERROR(_xlfn.XLOOKUP(#REF!,$K$20:$K$38,$J$20:$J$38),""),"")</f>
        <v/>
      </c>
      <c r="Q25" s="131" t="str">
        <f>IF(COUNTBLANK(Games_1117[[SCORE 1]:[SCORE 2]])=0,IFERROR(_xlfn.XLOOKUP(#REF!,$K$20:$K$38,$J$20:$J$38),""),"")</f>
        <v/>
      </c>
    </row>
    <row r="26" spans="1:20" ht="15.95">
      <c r="A26" s="9" t="s">
        <v>184</v>
      </c>
      <c r="B26" s="10" t="s">
        <v>185</v>
      </c>
      <c r="C26" s="10" t="s">
        <v>186</v>
      </c>
      <c r="D26" s="10" t="s">
        <v>187</v>
      </c>
      <c r="E26" s="10" t="s">
        <v>188</v>
      </c>
      <c r="F26" s="10" t="s">
        <v>189</v>
      </c>
      <c r="G26" s="7" t="s">
        <v>8</v>
      </c>
      <c r="H26" s="78" t="s">
        <v>190</v>
      </c>
    </row>
    <row r="27" spans="1:20">
      <c r="A27" s="430" t="s">
        <v>180</v>
      </c>
      <c r="B27" s="29" t="s">
        <v>209</v>
      </c>
      <c r="C27" s="14">
        <f>SUM(COUNTIFS(Games_1117[ATHLETE 1],Analsyis_2325[[#This Row],[Atheletes ]],Games_1117[RESULT 12],"win"),COUNTIFS(Games_1117[ATHLETE 2],Analsyis_2325[[#This Row],[Atheletes ]],Games_1117[RESULT 12],"win"),COUNTIFS(Games_1117[ATHLETE 3],Analsyis_2325[[#This Row],[Atheletes ]],Games_1117[RESULT 34],"win"),COUNTIFS(Games_1117[ATHLETE 4],Analsyis_2325[[#This Row],[Atheletes ]],Games_1117[RESULT 34],"win"))</f>
        <v>0</v>
      </c>
      <c r="D27" s="14">
        <f>SUM(COUNTIFS(Games_1117[ATHLETE 1],Analsyis_2325[[#This Row],[Atheletes ]],Games_1117[RESULT 12],"lose"),COUNTIFS(Games_1117[ATHLETE 2],Analsyis_2325[[#This Row],[Atheletes ]],Games_1117[RESULT 12],"lose"),COUNTIFS(Games_1117[ATHLETE 3],Analsyis_2325[[#This Row],[Atheletes ]],Games_1117[RESULT 34],"lose"),COUNTIFS(Games_1117[ATHLETE 4],Analsyis_2325[[#This Row],[Atheletes ]],Games_1117[RESULT 34],"lose"))</f>
        <v>0</v>
      </c>
      <c r="E27" s="19">
        <f>SUM(SUMIF(Games_1117[ATHLETE 1],Analsyis_2325[[#This Row],[Atheletes ]],Games_1117[SALDO 12]),SUMIF(Games_1117[ATHLETE 2],Analsyis_2325[[#This Row],[Atheletes ]],Games_1117[SALDO 12]),SUMIF(Games_1117[ATHLETE 3],Analsyis_2325[[#This Row],[Atheletes ]],Games_1117[SALDO 34]),SUMIF(Games_1117[ATHLETE 4],Analsyis_2325[[#This Row],[Atheletes ]],Games_1117[SALDO 34]))</f>
        <v>0</v>
      </c>
      <c r="F27" s="19">
        <f>SUM(SUMIF(Games_1117[ATHLETE 1],Analsyis_2325[[#This Row],[Atheletes ]],Games_1117[PM 12]),SUMIF(Games_1117[ATHLETE 2],Analsyis_2325[[#This Row],[Atheletes ]],Games_1117[PM 12]),SUMIF(Games_1117[ATHLETE 3],Analsyis_2325[[#This Row],[Atheletes ]],Games_1117[PM 34]),SUMIF(Games_1117[ATHLETE 4],Analsyis_2325[[#This Row],[Atheletes ]],Games_1117[PM 34]))</f>
        <v>0</v>
      </c>
      <c r="G27" s="14" t="str">
        <f>IF(COUNTBLANK(Games_1117[[SCORE 1]:[SCORE 2]])=0,IF(RANK(H27,$H$27:$H$31)=1,RANK(H27,$H$27:$H$31)&amp;"st",IF(RANK(H27,$H$27:$H$31)=2,RANK(H27,$H$27:$H$31)&amp;"nd",IF(RANK(H27,$H$27:$H$31)=3,RANK(H27,$H$27:$H$31)&amp;"rd",RANK(H27,$H$27:$H$31)&amp;"th"))),"")</f>
        <v/>
      </c>
      <c r="H27" s="51">
        <f>Analsyis_2325[[#This Row],[WIN]]*1000000+Analsyis_2325[[#This Row],[Saldo]]*1000+Analsyis_2325[[#This Row],[PM]]</f>
        <v>0</v>
      </c>
      <c r="I27" s="59">
        <f>H27</f>
        <v>0</v>
      </c>
      <c r="J27" s="59" t="str">
        <f>B27</f>
        <v>B1</v>
      </c>
      <c r="K27" s="56" t="str">
        <f>IF(RANK(I27,$I$20:$I$38)=1,RANK(I27,$I$20:$I$38)&amp;"st",IF(RANK(I27,$I$20:$I$38)=2,RANK(I27,$I$20:$I$38)&amp;"nd",IF(RANK(I27,$I$20:$I$38)=3,RANK(I27,$I$20:$I$38)&amp;"rd",RANK(I27,$I$20:$I$38)&amp;"th")))</f>
        <v>1st</v>
      </c>
    </row>
    <row r="28" spans="1:20">
      <c r="A28" s="430" t="s">
        <v>180</v>
      </c>
      <c r="B28" s="29" t="s">
        <v>210</v>
      </c>
      <c r="C28" s="14">
        <f>SUM(COUNTIFS(Games_1117[ATHLETE 1],Analsyis_2325[[#This Row],[Atheletes ]],Games_1117[RESULT 12],"win"),COUNTIFS(Games_1117[ATHLETE 2],Analsyis_2325[[#This Row],[Atheletes ]],Games_1117[RESULT 12],"win"),COUNTIFS(Games_1117[ATHLETE 3],Analsyis_2325[[#This Row],[Atheletes ]],Games_1117[RESULT 34],"win"),COUNTIFS(Games_1117[ATHLETE 4],Analsyis_2325[[#This Row],[Atheletes ]],Games_1117[RESULT 34],"win"))</f>
        <v>0</v>
      </c>
      <c r="D28" s="14">
        <f>SUM(COUNTIFS(Games_1117[ATHLETE 1],Analsyis_2325[[#This Row],[Atheletes ]],Games_1117[RESULT 12],"lose"),COUNTIFS(Games_1117[ATHLETE 2],Analsyis_2325[[#This Row],[Atheletes ]],Games_1117[RESULT 12],"lose"),COUNTIFS(Games_1117[ATHLETE 3],Analsyis_2325[[#This Row],[Atheletes ]],Games_1117[RESULT 34],"lose"),COUNTIFS(Games_1117[ATHLETE 4],Analsyis_2325[[#This Row],[Atheletes ]],Games_1117[RESULT 34],"lose"))</f>
        <v>0</v>
      </c>
      <c r="E28" s="19">
        <f>SUM(SUMIF(Games_1117[ATHLETE 1],Analsyis_2325[[#This Row],[Atheletes ]],Games_1117[SALDO 12]),SUMIF(Games_1117[ATHLETE 2],Analsyis_2325[[#This Row],[Atheletes ]],Games_1117[SALDO 12]),SUMIF(Games_1117[ATHLETE 3],Analsyis_2325[[#This Row],[Atheletes ]],Games_1117[SALDO 34]),SUMIF(Games_1117[ATHLETE 4],Analsyis_2325[[#This Row],[Atheletes ]],Games_1117[SALDO 34]))</f>
        <v>0</v>
      </c>
      <c r="F28" s="19">
        <f>SUM(SUMIF(Games_1117[ATHLETE 1],Analsyis_2325[[#This Row],[Atheletes ]],Games_1117[PM 12]),SUMIF(Games_1117[ATHLETE 2],Analsyis_2325[[#This Row],[Atheletes ]],Games_1117[PM 12]),SUMIF(Games_1117[ATHLETE 3],Analsyis_2325[[#This Row],[Atheletes ]],Games_1117[PM 34]),SUMIF(Games_1117[ATHLETE 4],Analsyis_2325[[#This Row],[Atheletes ]],Games_1117[PM 34]))</f>
        <v>0</v>
      </c>
      <c r="G28" s="14" t="str">
        <f>IF(COUNTBLANK(Games_1117[[SCORE 1]:[SCORE 2]])=0,IF(RANK(H28,$H$27:$H$31)=1,RANK(H28,$H$27:$H$31)&amp;"st",IF(RANK(H28,$H$27:$H$31)=2,RANK(H28,$H$27:$H$31)&amp;"nd",IF(RANK(H28,$H$27:$H$31)=3,RANK(H28,$H$27:$H$31)&amp;"rd",RANK(H28,$H$27:$H$31)&amp;"th"))),"")</f>
        <v/>
      </c>
      <c r="H28" s="51">
        <f>Analsyis_2325[[#This Row],[WIN]]*1000000+Analsyis_2325[[#This Row],[Saldo]]*1000+Analsyis_2325[[#This Row],[PM]]</f>
        <v>0</v>
      </c>
      <c r="I28" s="59">
        <f>H28</f>
        <v>0</v>
      </c>
      <c r="J28" s="59" t="str">
        <f>B28</f>
        <v>B2</v>
      </c>
      <c r="K28" s="56" t="str">
        <f>IF(RANK(I28,$I$20:$I$38)=1,RANK(I28,$I$20:$I$38)&amp;"st",IF(RANK(I28,$I$20:$I$38)=2,RANK(I28,$I$20:$I$38)&amp;"nd",IF(RANK(I28,$I$20:$I$38)=3,RANK(I28,$I$20:$I$38)&amp;"rd",RANK(I28,$I$20:$I$38)&amp;"th")))</f>
        <v>1st</v>
      </c>
    </row>
    <row r="29" spans="1:20" ht="29.1">
      <c r="A29" s="430" t="s">
        <v>180</v>
      </c>
      <c r="B29" s="29" t="s">
        <v>211</v>
      </c>
      <c r="C29" s="14">
        <f>SUM(COUNTIFS(Games_1117[ATHLETE 1],Analsyis_2325[[#This Row],[Atheletes ]],Games_1117[RESULT 12],"win"),COUNTIFS(Games_1117[ATHLETE 2],Analsyis_2325[[#This Row],[Atheletes ]],Games_1117[RESULT 12],"win"),COUNTIFS(Games_1117[ATHLETE 3],Analsyis_2325[[#This Row],[Atheletes ]],Games_1117[RESULT 34],"win"),COUNTIFS(Games_1117[ATHLETE 4],Analsyis_2325[[#This Row],[Atheletes ]],Games_1117[RESULT 34],"win"))</f>
        <v>0</v>
      </c>
      <c r="D29" s="14">
        <f>SUM(COUNTIFS(Games_1117[ATHLETE 1],Analsyis_2325[[#This Row],[Atheletes ]],Games_1117[RESULT 12],"lose"),COUNTIFS(Games_1117[ATHLETE 2],Analsyis_2325[[#This Row],[Atheletes ]],Games_1117[RESULT 12],"lose"),COUNTIFS(Games_1117[ATHLETE 3],Analsyis_2325[[#This Row],[Atheletes ]],Games_1117[RESULT 34],"lose"),COUNTIFS(Games_1117[ATHLETE 4],Analsyis_2325[[#This Row],[Atheletes ]],Games_1117[RESULT 34],"lose"))</f>
        <v>0</v>
      </c>
      <c r="E29" s="19">
        <f>SUM(SUMIF(Games_1117[ATHLETE 1],Analsyis_2325[[#This Row],[Atheletes ]],Games_1117[SALDO 12]),SUMIF(Games_1117[ATHLETE 2],Analsyis_2325[[#This Row],[Atheletes ]],Games_1117[SALDO 12]),SUMIF(Games_1117[ATHLETE 3],Analsyis_2325[[#This Row],[Atheletes ]],Games_1117[SALDO 34]),SUMIF(Games_1117[ATHLETE 4],Analsyis_2325[[#This Row],[Atheletes ]],Games_1117[SALDO 34]))</f>
        <v>0</v>
      </c>
      <c r="F29" s="19">
        <f>SUM(SUMIF(Games_1117[ATHLETE 1],Analsyis_2325[[#This Row],[Atheletes ]],Games_1117[PM 12]),SUMIF(Games_1117[ATHLETE 2],Analsyis_2325[[#This Row],[Atheletes ]],Games_1117[PM 12]),SUMIF(Games_1117[ATHLETE 3],Analsyis_2325[[#This Row],[Atheletes ]],Games_1117[PM 34]),SUMIF(Games_1117[ATHLETE 4],Analsyis_2325[[#This Row],[Atheletes ]],Games_1117[PM 34]))</f>
        <v>0</v>
      </c>
      <c r="G29" s="14" t="str">
        <f>IF(COUNTBLANK(Games_1117[[SCORE 1]:[SCORE 2]])=0,IF(RANK(H29,$H$27:$H$31)=1,RANK(H29,$H$27:$H$31)&amp;"st",IF(RANK(H29,$H$27:$H$31)=2,RANK(H29,$H$27:$H$31)&amp;"nd",IF(RANK(H29,$H$27:$H$31)=3,RANK(H29,$H$27:$H$31)&amp;"rd",RANK(H29,$H$27:$H$31)&amp;"th"))),"")</f>
        <v/>
      </c>
      <c r="H29" s="51">
        <f>Analsyis_2325[[#This Row],[WIN]]*1000000+Analsyis_2325[[#This Row],[Saldo]]*1000+Analsyis_2325[[#This Row],[PM]]</f>
        <v>0</v>
      </c>
      <c r="I29" s="59">
        <f>H29</f>
        <v>0</v>
      </c>
      <c r="J29" s="59" t="str">
        <f>B29</f>
        <v>B3</v>
      </c>
      <c r="K29" s="56" t="str">
        <f>IF(RANK(I29,$I$20:$I$38)=1,RANK(I29,$I$20:$I$38)&amp;"st",IF(RANK(I29,$I$20:$I$38)=2,RANK(I29,$I$20:$I$38)&amp;"nd",IF(RANK(I29,$I$20:$I$38)=3,RANK(I29,$I$20:$I$38)&amp;"rd",RANK(I29,$I$20:$I$38)&amp;"th")))</f>
        <v>1st</v>
      </c>
      <c r="L29" s="548" t="s">
        <v>199</v>
      </c>
      <c r="M29" s="549"/>
      <c r="N29" s="549"/>
      <c r="O29" s="549"/>
      <c r="P29" s="549"/>
      <c r="Q29" s="549"/>
    </row>
    <row r="30" spans="1:20">
      <c r="A30" s="430" t="s">
        <v>180</v>
      </c>
      <c r="B30" s="29" t="s">
        <v>212</v>
      </c>
      <c r="C30" s="14">
        <f>SUM(COUNTIFS(Games_1117[ATHLETE 1],Analsyis_2325[[#This Row],[Atheletes ]],Games_1117[RESULT 12],"win"),COUNTIFS(Games_1117[ATHLETE 2],Analsyis_2325[[#This Row],[Atheletes ]],Games_1117[RESULT 12],"win"),COUNTIFS(Games_1117[ATHLETE 3],Analsyis_2325[[#This Row],[Atheletes ]],Games_1117[RESULT 34],"win"),COUNTIFS(Games_1117[ATHLETE 4],Analsyis_2325[[#This Row],[Atheletes ]],Games_1117[RESULT 34],"win"))</f>
        <v>0</v>
      </c>
      <c r="D30" s="14">
        <f>SUM(COUNTIFS(Games_1117[ATHLETE 1],Analsyis_2325[[#This Row],[Atheletes ]],Games_1117[RESULT 12],"lose"),COUNTIFS(Games_1117[ATHLETE 2],Analsyis_2325[[#This Row],[Atheletes ]],Games_1117[RESULT 12],"lose"),COUNTIFS(Games_1117[ATHLETE 3],Analsyis_2325[[#This Row],[Atheletes ]],Games_1117[RESULT 34],"lose"),COUNTIFS(Games_1117[ATHLETE 4],Analsyis_2325[[#This Row],[Atheletes ]],Games_1117[RESULT 34],"lose"))</f>
        <v>0</v>
      </c>
      <c r="E30" s="19">
        <f>SUM(SUMIF(Games_1117[ATHLETE 1],Analsyis_2325[[#This Row],[Atheletes ]],Games_1117[SALDO 12]),SUMIF(Games_1117[ATHLETE 2],Analsyis_2325[[#This Row],[Atheletes ]],Games_1117[SALDO 12]),SUMIF(Games_1117[ATHLETE 3],Analsyis_2325[[#This Row],[Atheletes ]],Games_1117[SALDO 34]),SUMIF(Games_1117[ATHLETE 4],Analsyis_2325[[#This Row],[Atheletes ]],Games_1117[SALDO 34]))</f>
        <v>0</v>
      </c>
      <c r="F30" s="19">
        <f>SUM(SUMIF(Games_1117[ATHLETE 1],Analsyis_2325[[#This Row],[Atheletes ]],Games_1117[PM 12]),SUMIF(Games_1117[ATHLETE 2],Analsyis_2325[[#This Row],[Atheletes ]],Games_1117[PM 12]),SUMIF(Games_1117[ATHLETE 3],Analsyis_2325[[#This Row],[Atheletes ]],Games_1117[PM 34]),SUMIF(Games_1117[ATHLETE 4],Analsyis_2325[[#This Row],[Atheletes ]],Games_1117[PM 34]))</f>
        <v>0</v>
      </c>
      <c r="G30" s="14" t="str">
        <f>IF(COUNTBLANK(Games_1117[[SCORE 1]:[SCORE 2]])=0,IF(RANK(H30,$H$27:$H$31)=1,RANK(H30,$H$27:$H$31)&amp;"st",IF(RANK(H30,$H$27:$H$31)=2,RANK(H30,$H$27:$H$31)&amp;"nd",IF(RANK(H30,$H$27:$H$31)=3,RANK(H30,$H$27:$H$31)&amp;"rd",RANK(H30,$H$27:$H$31)&amp;"th"))),"")</f>
        <v/>
      </c>
      <c r="H30" s="51">
        <f>Analsyis_2325[[#This Row],[WIN]]*1000000+Analsyis_2325[[#This Row],[Saldo]]*1000+Analsyis_2325[[#This Row],[PM]]</f>
        <v>0</v>
      </c>
      <c r="I30" s="59">
        <f>H30</f>
        <v>0</v>
      </c>
      <c r="J30" s="59" t="str">
        <f>B30</f>
        <v>B4</v>
      </c>
      <c r="K30" s="56" t="str">
        <f>IF(RANK(I30,$I$20:$I$38)=1,RANK(I30,$I$20:$I$38)&amp;"st",IF(RANK(I30,$I$20:$I$38)=2,RANK(I30,$I$20:$I$38)&amp;"nd",IF(RANK(I30,$I$20:$I$38)=3,RANK(I30,$I$20:$I$38)&amp;"rd",RANK(I30,$I$20:$I$38)&amp;"th")))</f>
        <v>1st</v>
      </c>
      <c r="L30" s="418" t="s">
        <v>193</v>
      </c>
      <c r="M30" s="418" t="s">
        <v>194</v>
      </c>
      <c r="N30" s="542" t="s">
        <v>195</v>
      </c>
      <c r="O30" s="543"/>
      <c r="P30" s="418" t="s">
        <v>196</v>
      </c>
      <c r="Q30" s="418" t="s">
        <v>197</v>
      </c>
    </row>
    <row r="31" spans="1:20">
      <c r="A31" s="11" t="s">
        <v>180</v>
      </c>
      <c r="B31" s="29" t="s">
        <v>231</v>
      </c>
      <c r="C31" s="14">
        <f>SUM(COUNTIFS(Games_1117[ATHLETE 1],Analsyis_2325[[#This Row],[Atheletes ]],Games_1117[RESULT 12],"win"),COUNTIFS(Games_1117[ATHLETE 2],Analsyis_2325[[#This Row],[Atheletes ]],Games_1117[RESULT 12],"win"),COUNTIFS(Games_1117[ATHLETE 3],Analsyis_2325[[#This Row],[Atheletes ]],Games_1117[RESULT 34],"win"),COUNTIFS(Games_1117[ATHLETE 4],Analsyis_2325[[#This Row],[Atheletes ]],Games_1117[RESULT 34],"win"))</f>
        <v>0</v>
      </c>
      <c r="D31" s="14">
        <f>SUM(COUNTIFS(Games_1117[ATHLETE 1],Analsyis_2325[[#This Row],[Atheletes ]],Games_1117[RESULT 12],"lose"),COUNTIFS(Games_1117[ATHLETE 2],Analsyis_2325[[#This Row],[Atheletes ]],Games_1117[RESULT 12],"lose"),COUNTIFS(Games_1117[ATHLETE 3],Analsyis_2325[[#This Row],[Atheletes ]],Games_1117[RESULT 34],"lose"),COUNTIFS(Games_1117[ATHLETE 4],Analsyis_2325[[#This Row],[Atheletes ]],Games_1117[RESULT 34],"lose"))</f>
        <v>0</v>
      </c>
      <c r="E31" s="19">
        <f>SUM(SUMIF(Games_1117[ATHLETE 1],Analsyis_2325[[#This Row],[Atheletes ]],Games_1117[SALDO 12]),SUMIF(Games_1117[ATHLETE 2],Analsyis_2325[[#This Row],[Atheletes ]],Games_1117[SALDO 12]),SUMIF(Games_1117[ATHLETE 3],Analsyis_2325[[#This Row],[Atheletes ]],Games_1117[SALDO 34]),SUMIF(Games_1117[ATHLETE 4],Analsyis_2325[[#This Row],[Atheletes ]],Games_1117[SALDO 34]))</f>
        <v>0</v>
      </c>
      <c r="F31" s="19">
        <f>SUM(SUMIF(Games_1117[ATHLETE 1],Analsyis_2325[[#This Row],[Atheletes ]],Games_1117[PM 12]),SUMIF(Games_1117[ATHLETE 2],Analsyis_2325[[#This Row],[Atheletes ]],Games_1117[PM 12]),SUMIF(Games_1117[ATHLETE 3],Analsyis_2325[[#This Row],[Atheletes ]],Games_1117[PM 34]),SUMIF(Games_1117[ATHLETE 4],Analsyis_2325[[#This Row],[Atheletes ]],Games_1117[PM 34]))</f>
        <v>0</v>
      </c>
      <c r="G31" s="14" t="str">
        <f>IF(COUNTBLANK(Games_1117[[SCORE 1]:[SCORE 2]])=0,IF(RANK(H31,$H$27:$H$31)=1,RANK(H31,$H$27:$H$31)&amp;"st",IF(RANK(H31,$H$27:$H$31)=2,RANK(H31,$H$27:$H$31)&amp;"nd",IF(RANK(H31,$H$27:$H$31)=3,RANK(H31,$H$27:$H$31)&amp;"rd",RANK(H31,$H$27:$H$31)&amp;"th"))),"")</f>
        <v/>
      </c>
      <c r="H31" s="51">
        <f>Analsyis_2325[[#This Row],[WIN]]*1000000+Analsyis_2325[[#This Row],[Saldo]]*1000+Analsyis_2325[[#This Row],[PM]]</f>
        <v>0</v>
      </c>
      <c r="I31" s="59">
        <f>H31</f>
        <v>0</v>
      </c>
      <c r="J31" s="59" t="str">
        <f>B31</f>
        <v>B5</v>
      </c>
      <c r="K31" s="56" t="str">
        <f>IF(RANK(I31,$I$20:$I$38)=1,RANK(I31,$I$20:$I$38)&amp;"st",IF(RANK(I31,$I$20:$I$38)=2,RANK(I31,$I$20:$I$38)&amp;"nd",IF(RANK(I31,$I$20:$I$38)=3,RANK(I31,$I$20:$I$38)&amp;"rd",RANK(I31,$I$20:$I$38)&amp;"th")))</f>
        <v>1st</v>
      </c>
      <c r="L31" s="8"/>
      <c r="M31" s="8"/>
      <c r="N31" s="86"/>
      <c r="O31" s="87"/>
      <c r="P31" s="8"/>
      <c r="Q31" s="8"/>
    </row>
    <row r="32" spans="1:20">
      <c r="L32" s="62" t="str">
        <f>IF(OR($N$32="WIN",$N$31="",$O$31=""),"",IF(L33&gt;M33,$T$5,$T$6))</f>
        <v/>
      </c>
      <c r="M32" s="62" t="str">
        <f>IF(OR($N$31="",$O$31="",$N$32="WIN"),"",IF(L33&lt;M33,$T$5,$T$6))</f>
        <v/>
      </c>
      <c r="N32" s="433" t="str">
        <f>IF(OR($N$31="",$O$31=""),"",IF(($N$31&gt;$O$31),"WIN","LOSE"))</f>
        <v/>
      </c>
      <c r="O32" s="433" t="str">
        <f>IF(OR($N$31="",$O$31=""),"",IF(($N$31&lt;$O$31),"WIN","LOSE"))</f>
        <v/>
      </c>
      <c r="P32" s="62" t="str">
        <f>IF(OR($O$32="WIN",$N$31="",$O$31=""),"",IF(P33&gt;Q33,$T$5,$T$6))</f>
        <v/>
      </c>
      <c r="Q32" s="62" t="str">
        <f>IF(OR($N$31="",$O$31="",$O$32="WIN"),"",IF(P33&lt;Q33,$T$5,$T$6))</f>
        <v/>
      </c>
    </row>
    <row r="33" spans="1:17" ht="15.95">
      <c r="A33" s="9" t="s">
        <v>184</v>
      </c>
      <c r="B33" s="10" t="s">
        <v>185</v>
      </c>
      <c r="C33" s="10" t="s">
        <v>186</v>
      </c>
      <c r="D33" s="10" t="s">
        <v>187</v>
      </c>
      <c r="E33" s="10" t="s">
        <v>188</v>
      </c>
      <c r="F33" s="10" t="s">
        <v>189</v>
      </c>
      <c r="G33" s="7" t="s">
        <v>8</v>
      </c>
      <c r="H33" s="78" t="s">
        <v>190</v>
      </c>
      <c r="L33" s="61">
        <f>_xlfn.XLOOKUP(L31,$J$20:$J$38,$I$20:$I$38)</f>
        <v>0</v>
      </c>
      <c r="M33" s="61">
        <f>_xlfn.XLOOKUP(M31,$J$20:$J$38,$I$20:$I$38)</f>
        <v>0</v>
      </c>
      <c r="N33" s="61"/>
      <c r="O33" s="61"/>
      <c r="P33" s="61">
        <f>_xlfn.XLOOKUP(P31,$J$20:$J$38,$I$20:$I$38)</f>
        <v>0</v>
      </c>
      <c r="Q33" s="61">
        <f>_xlfn.XLOOKUP(Q31,$J$20:$J$38,$I$20:$I$38)</f>
        <v>0</v>
      </c>
    </row>
    <row r="34" spans="1:17">
      <c r="A34" s="430" t="s">
        <v>181</v>
      </c>
      <c r="B34" s="29" t="s">
        <v>213</v>
      </c>
      <c r="C34" s="14">
        <f>SUM(COUNTIFS(Games_1117[ATHLETE 1],Analysis_2449[[#This Row],[Atheletes ]],Games_1117[RESULT 12],"win"),COUNTIFS(Games_1117[ATHLETE 2],Analysis_2449[[#This Row],[Atheletes ]],Games_1117[RESULT 12],"win"),COUNTIFS(Games_1117[ATHLETE 3],Analysis_2449[[#This Row],[Atheletes ]],Games_1117[RESULT 34],"win"),COUNTIFS(Games_1117[ATHLETE 4],Analysis_2449[[#This Row],[Atheletes ]],Games_1117[RESULT 34],"win"))</f>
        <v>0</v>
      </c>
      <c r="D34" s="14">
        <f>SUM(COUNTIFS(Games_1117[ATHLETE 1],Analysis_2449[[#This Row],[Atheletes ]],Games_1117[RESULT 12],"lose"),COUNTIFS(Games_1117[ATHLETE 2],Analysis_2449[[#This Row],[Atheletes ]],Games_1117[RESULT 12],"lose"),COUNTIFS(Games_1117[ATHLETE 3],Analysis_2449[[#This Row],[Atheletes ]],Games_1117[RESULT 34],"lose"),COUNTIFS(Games_1117[ATHLETE 4],Analysis_2449[[#This Row],[Atheletes ]],Games_1117[RESULT 34],"lose"))</f>
        <v>0</v>
      </c>
      <c r="E34" s="19">
        <f>SUM(SUMIF(Games_1117[ATHLETE 1],Analysis_2449[[#This Row],[Atheletes ]],Games_1117[SALDO 12]),SUMIF(Games_1117[ATHLETE 2],Analysis_2449[[#This Row],[Atheletes ]],Games_1117[SALDO 12]),SUMIF(Games_1117[ATHLETE 3],Analysis_2449[[#This Row],[Atheletes ]],Games_1117[SALDO 34]),SUMIF(Games_1117[ATHLETE 4],Analysis_2449[[#This Row],[Atheletes ]],Games_1117[SALDO 34]))</f>
        <v>0</v>
      </c>
      <c r="F34" s="19">
        <f>SUM(SUMIF(Games_1117[ATHLETE 1],Analysis_2449[[#This Row],[Atheletes ]],Games_1117[PM 12]),SUMIF(Games_1117[ATHLETE 2],Analysis_2449[[#This Row],[Atheletes ]],Games_1117[PM 12]),SUMIF(Games_1117[ATHLETE 3],Analysis_2449[[#This Row],[Atheletes ]],Games_1117[PM 34]),SUMIF(Games_1117[ATHLETE 4],Analysis_2449[[#This Row],[Atheletes ]],Games_1117[PM 34]))</f>
        <v>0</v>
      </c>
      <c r="G34" s="14" t="str">
        <f>IF(COUNTBLANK(Games_1117[[SCORE 1]:[SCORE 2]])=0,IF(RANK(H34,$H$34:$H$38)=1,RANK(H34,$H$34:$H$38)&amp;"st",IF(RANK(H34,$H$34:$H$38)=2,RANK(H34,$H$34:$H$38)&amp;"nd",IF(RANK(H34,$H$34:$H$38)=3,RANK(H34,$H$34:$H$38)&amp;"rd",RANK(H34,$H$34:$H$38)&amp;"th"))),"")</f>
        <v/>
      </c>
      <c r="H34" s="85">
        <f>Analysis_2449[[#This Row],[WIN]]*1000000+Analysis_2449[[#This Row],[Saldo]]*1000+Analysis_2449[[#This Row],[PM]]</f>
        <v>0</v>
      </c>
      <c r="I34" s="57">
        <f>H34</f>
        <v>0</v>
      </c>
      <c r="J34" s="57" t="str">
        <f>B34</f>
        <v>C1</v>
      </c>
      <c r="K34" s="56" t="str">
        <f>IF(RANK(I34,$I$20:$I$38)=1,RANK(I34,$I$20:$I$38)&amp;"st",IF(RANK(I34,$I$20:$I$38)=2,RANK(I34,$I$20:$I$38)&amp;"nd",IF(RANK(I34,$I$20:$I$38)=3,RANK(I34,$I$20:$I$38)&amp;"rd",RANK(I34,$I$20:$I$38)&amp;"th")))</f>
        <v>1st</v>
      </c>
    </row>
    <row r="35" spans="1:17">
      <c r="A35" s="430" t="s">
        <v>181</v>
      </c>
      <c r="B35" s="29" t="s">
        <v>214</v>
      </c>
      <c r="C35" s="14">
        <f>SUM(COUNTIFS(Games_1117[ATHLETE 1],Analysis_2449[[#This Row],[Atheletes ]],Games_1117[RESULT 12],"win"),COUNTIFS(Games_1117[ATHLETE 2],Analysis_2449[[#This Row],[Atheletes ]],Games_1117[RESULT 12],"win"),COUNTIFS(Games_1117[ATHLETE 3],Analysis_2449[[#This Row],[Atheletes ]],Games_1117[RESULT 34],"win"),COUNTIFS(Games_1117[ATHLETE 4],Analysis_2449[[#This Row],[Atheletes ]],Games_1117[RESULT 34],"win"))</f>
        <v>0</v>
      </c>
      <c r="D35" s="14">
        <f>SUM(COUNTIFS(Games_1117[ATHLETE 1],Analysis_2449[[#This Row],[Atheletes ]],Games_1117[RESULT 12],"lose"),COUNTIFS(Games_1117[ATHLETE 2],Analysis_2449[[#This Row],[Atheletes ]],Games_1117[RESULT 12],"lose"),COUNTIFS(Games_1117[ATHLETE 3],Analysis_2449[[#This Row],[Atheletes ]],Games_1117[RESULT 34],"lose"),COUNTIFS(Games_1117[ATHLETE 4],Analysis_2449[[#This Row],[Atheletes ]],Games_1117[RESULT 34],"lose"))</f>
        <v>0</v>
      </c>
      <c r="E35" s="19">
        <f>SUM(SUMIF(Games_1117[ATHLETE 1],Analysis_2449[[#This Row],[Atheletes ]],Games_1117[SALDO 12]),SUMIF(Games_1117[ATHLETE 2],Analysis_2449[[#This Row],[Atheletes ]],Games_1117[SALDO 12]),SUMIF(Games_1117[ATHLETE 3],Analysis_2449[[#This Row],[Atheletes ]],Games_1117[SALDO 34]),SUMIF(Games_1117[ATHLETE 4],Analysis_2449[[#This Row],[Atheletes ]],Games_1117[SALDO 34]))</f>
        <v>0</v>
      </c>
      <c r="F35" s="19">
        <f>SUM(SUMIF(Games_1117[ATHLETE 1],Analysis_2449[[#This Row],[Atheletes ]],Games_1117[PM 12]),SUMIF(Games_1117[ATHLETE 2],Analysis_2449[[#This Row],[Atheletes ]],Games_1117[PM 12]),SUMIF(Games_1117[ATHLETE 3],Analysis_2449[[#This Row],[Atheletes ]],Games_1117[PM 34]),SUMIF(Games_1117[ATHLETE 4],Analysis_2449[[#This Row],[Atheletes ]],Games_1117[PM 34]))</f>
        <v>0</v>
      </c>
      <c r="G35" s="14" t="str">
        <f>IF(COUNTBLANK(Games_1117[[SCORE 1]:[SCORE 2]])=0,IF(RANK(H35,$H$34:$H$38)=1,RANK(H35,$H$34:$H$38)&amp;"st",IF(RANK(H35,$H$34:$H$38)=2,RANK(H35,$H$34:$H$38)&amp;"nd",IF(RANK(H35,$H$34:$H$38)=3,RANK(H35,$H$34:$H$38)&amp;"rd",RANK(H35,$H$34:$H$38)&amp;"th"))),"")</f>
        <v/>
      </c>
      <c r="H35" s="85">
        <f>Analysis_2449[[#This Row],[WIN]]*1000000+Analysis_2449[[#This Row],[Saldo]]*1000+Analysis_2449[[#This Row],[PM]]</f>
        <v>0</v>
      </c>
      <c r="I35" s="57">
        <f>H35</f>
        <v>0</v>
      </c>
      <c r="J35" s="57" t="str">
        <f>B35</f>
        <v>C2</v>
      </c>
      <c r="K35" s="56" t="str">
        <f>IF(RANK(I35,$I$20:$I$38)=1,RANK(I35,$I$20:$I$38)&amp;"st",IF(RANK(I35,$I$20:$I$38)=2,RANK(I35,$I$20:$I$38)&amp;"nd",IF(RANK(I35,$I$20:$I$38)=3,RANK(I35,$I$20:$I$38)&amp;"rd",RANK(I35,$I$20:$I$38)&amp;"th")))</f>
        <v>1st</v>
      </c>
    </row>
    <row r="36" spans="1:17" ht="29.1">
      <c r="A36" s="430" t="s">
        <v>181</v>
      </c>
      <c r="B36" s="29" t="s">
        <v>216</v>
      </c>
      <c r="C36" s="14">
        <f>SUM(COUNTIFS(Games_1117[ATHLETE 1],Analysis_2449[[#This Row],[Atheletes ]],Games_1117[RESULT 12],"win"),COUNTIFS(Games_1117[ATHLETE 2],Analysis_2449[[#This Row],[Atheletes ]],Games_1117[RESULT 12],"win"),COUNTIFS(Games_1117[ATHLETE 3],Analysis_2449[[#This Row],[Atheletes ]],Games_1117[RESULT 34],"win"),COUNTIFS(Games_1117[ATHLETE 4],Analysis_2449[[#This Row],[Atheletes ]],Games_1117[RESULT 34],"win"))</f>
        <v>0</v>
      </c>
      <c r="D36" s="14">
        <f>SUM(COUNTIFS(Games_1117[ATHLETE 1],Analysis_2449[[#This Row],[Atheletes ]],Games_1117[RESULT 12],"lose"),COUNTIFS(Games_1117[ATHLETE 2],Analysis_2449[[#This Row],[Atheletes ]],Games_1117[RESULT 12],"lose"),COUNTIFS(Games_1117[ATHLETE 3],Analysis_2449[[#This Row],[Atheletes ]],Games_1117[RESULT 34],"lose"),COUNTIFS(Games_1117[ATHLETE 4],Analysis_2449[[#This Row],[Atheletes ]],Games_1117[RESULT 34],"lose"))</f>
        <v>0</v>
      </c>
      <c r="E36" s="19">
        <f>SUM(SUMIF(Games_1117[ATHLETE 1],Analysis_2449[[#This Row],[Atheletes ]],Games_1117[SALDO 12]),SUMIF(Games_1117[ATHLETE 2],Analysis_2449[[#This Row],[Atheletes ]],Games_1117[SALDO 12]),SUMIF(Games_1117[ATHLETE 3],Analysis_2449[[#This Row],[Atheletes ]],Games_1117[SALDO 34]),SUMIF(Games_1117[ATHLETE 4],Analysis_2449[[#This Row],[Atheletes ]],Games_1117[SALDO 34]))</f>
        <v>0</v>
      </c>
      <c r="F36" s="19">
        <f>SUM(SUMIF(Games_1117[ATHLETE 1],Analysis_2449[[#This Row],[Atheletes ]],Games_1117[PM 12]),SUMIF(Games_1117[ATHLETE 2],Analysis_2449[[#This Row],[Atheletes ]],Games_1117[PM 12]),SUMIF(Games_1117[ATHLETE 3],Analysis_2449[[#This Row],[Atheletes ]],Games_1117[PM 34]),SUMIF(Games_1117[ATHLETE 4],Analysis_2449[[#This Row],[Atheletes ]],Games_1117[PM 34]))</f>
        <v>0</v>
      </c>
      <c r="G36" s="14" t="str">
        <f>IF(COUNTBLANK(Games_1117[[SCORE 1]:[SCORE 2]])=0,IF(RANK(H36,$H$34:$H$38)=1,RANK(H36,$H$34:$H$38)&amp;"st",IF(RANK(H36,$H$34:$H$38)=2,RANK(H36,$H$34:$H$38)&amp;"nd",IF(RANK(H36,$H$34:$H$38)=3,RANK(H36,$H$34:$H$38)&amp;"rd",RANK(H36,$H$34:$H$38)&amp;"th"))),"")</f>
        <v/>
      </c>
      <c r="H36" s="85">
        <f>Analysis_2449[[#This Row],[WIN]]*1000000+Analysis_2449[[#This Row],[Saldo]]*1000+Analysis_2449[[#This Row],[PM]]</f>
        <v>0</v>
      </c>
      <c r="I36" s="57">
        <f>H36</f>
        <v>0</v>
      </c>
      <c r="J36" s="57" t="str">
        <f>B36</f>
        <v>C3</v>
      </c>
      <c r="K36" s="56" t="str">
        <f>IF(RANK(I36,$I$20:$I$38)=1,RANK(I36,$I$20:$I$38)&amp;"st",IF(RANK(I36,$I$20:$I$38)=2,RANK(I36,$I$20:$I$38)&amp;"nd",IF(RANK(I36,$I$20:$I$38)=3,RANK(I36,$I$20:$I$38)&amp;"rd",RANK(I36,$I$20:$I$38)&amp;"th")))</f>
        <v>1st</v>
      </c>
      <c r="L36" s="548" t="s">
        <v>200</v>
      </c>
      <c r="M36" s="549"/>
      <c r="N36" s="549"/>
      <c r="O36" s="549"/>
      <c r="P36" s="549"/>
      <c r="Q36" s="549"/>
    </row>
    <row r="37" spans="1:17">
      <c r="A37" s="430" t="s">
        <v>181</v>
      </c>
      <c r="B37" s="29" t="s">
        <v>217</v>
      </c>
      <c r="C37" s="14">
        <f>SUM(COUNTIFS(Games_1117[ATHLETE 1],Analysis_2449[[#This Row],[Atheletes ]],Games_1117[RESULT 12],"win"),COUNTIFS(Games_1117[ATHLETE 2],Analysis_2449[[#This Row],[Atheletes ]],Games_1117[RESULT 12],"win"),COUNTIFS(Games_1117[ATHLETE 3],Analysis_2449[[#This Row],[Atheletes ]],Games_1117[RESULT 34],"win"),COUNTIFS(Games_1117[ATHLETE 4],Analysis_2449[[#This Row],[Atheletes ]],Games_1117[RESULT 34],"win"))</f>
        <v>0</v>
      </c>
      <c r="D37" s="14">
        <f>SUM(COUNTIFS(Games_1117[ATHLETE 1],Analysis_2449[[#This Row],[Atheletes ]],Games_1117[RESULT 12],"lose"),COUNTIFS(Games_1117[ATHLETE 2],Analysis_2449[[#This Row],[Atheletes ]],Games_1117[RESULT 12],"lose"),COUNTIFS(Games_1117[ATHLETE 3],Analysis_2449[[#This Row],[Atheletes ]],Games_1117[RESULT 34],"lose"),COUNTIFS(Games_1117[ATHLETE 4],Analysis_2449[[#This Row],[Atheletes ]],Games_1117[RESULT 34],"lose"))</f>
        <v>0</v>
      </c>
      <c r="E37" s="19">
        <f>SUM(SUMIF(Games_1117[ATHLETE 1],Analysis_2449[[#This Row],[Atheletes ]],Games_1117[SALDO 12]),SUMIF(Games_1117[ATHLETE 2],Analysis_2449[[#This Row],[Atheletes ]],Games_1117[SALDO 12]),SUMIF(Games_1117[ATHLETE 3],Analysis_2449[[#This Row],[Atheletes ]],Games_1117[SALDO 34]),SUMIF(Games_1117[ATHLETE 4],Analysis_2449[[#This Row],[Atheletes ]],Games_1117[SALDO 34]))</f>
        <v>0</v>
      </c>
      <c r="F37" s="19">
        <f>SUM(SUMIF(Games_1117[ATHLETE 1],Analysis_2449[[#This Row],[Atheletes ]],Games_1117[PM 12]),SUMIF(Games_1117[ATHLETE 2],Analysis_2449[[#This Row],[Atheletes ]],Games_1117[PM 12]),SUMIF(Games_1117[ATHLETE 3],Analysis_2449[[#This Row],[Atheletes ]],Games_1117[PM 34]),SUMIF(Games_1117[ATHLETE 4],Analysis_2449[[#This Row],[Atheletes ]],Games_1117[PM 34]))</f>
        <v>0</v>
      </c>
      <c r="G37" s="14" t="str">
        <f>IF(COUNTBLANK(Games_1117[[SCORE 1]:[SCORE 2]])=0,IF(RANK(H37,$H$34:$H$38)=1,RANK(H37,$H$34:$H$38)&amp;"st",IF(RANK(H37,$H$34:$H$38)=2,RANK(H37,$H$34:$H$38)&amp;"nd",IF(RANK(H37,$H$34:$H$38)=3,RANK(H37,$H$34:$H$38)&amp;"rd",RANK(H37,$H$34:$H$38)&amp;"th"))),"")</f>
        <v/>
      </c>
      <c r="H37" s="85">
        <f>Analysis_2449[[#This Row],[WIN]]*1000000+Analysis_2449[[#This Row],[Saldo]]*1000+Analysis_2449[[#This Row],[PM]]</f>
        <v>0</v>
      </c>
      <c r="I37" s="57">
        <f>H37</f>
        <v>0</v>
      </c>
      <c r="J37" s="57" t="str">
        <f>B37</f>
        <v>C4</v>
      </c>
      <c r="K37" s="56" t="str">
        <f>IF(RANK(I37,$I$20:$I$38)=1,RANK(I37,$I$20:$I$38)&amp;"st",IF(RANK(I37,$I$20:$I$38)=2,RANK(I37,$I$20:$I$38)&amp;"nd",IF(RANK(I37,$I$20:$I$38)=3,RANK(I37,$I$20:$I$38)&amp;"rd",RANK(I37,$I$20:$I$38)&amp;"th")))</f>
        <v>1st</v>
      </c>
      <c r="L37" s="418" t="s">
        <v>193</v>
      </c>
      <c r="M37" s="418" t="s">
        <v>194</v>
      </c>
      <c r="N37" s="542" t="s">
        <v>195</v>
      </c>
      <c r="O37" s="543"/>
      <c r="P37" s="418" t="s">
        <v>196</v>
      </c>
      <c r="Q37" s="418" t="s">
        <v>197</v>
      </c>
    </row>
    <row r="38" spans="1:17">
      <c r="A38" s="11" t="s">
        <v>181</v>
      </c>
      <c r="B38" s="29" t="s">
        <v>232</v>
      </c>
      <c r="C38" s="14">
        <f>SUM(COUNTIFS(Games_1117[ATHLETE 1],Analysis_2449[[#This Row],[Atheletes ]],Games_1117[RESULT 12],"win"),COUNTIFS(Games_1117[ATHLETE 2],Analysis_2449[[#This Row],[Atheletes ]],Games_1117[RESULT 12],"win"),COUNTIFS(Games_1117[ATHLETE 3],Analysis_2449[[#This Row],[Atheletes ]],Games_1117[RESULT 34],"win"),COUNTIFS(Games_1117[ATHLETE 4],Analysis_2449[[#This Row],[Atheletes ]],Games_1117[RESULT 34],"win"))</f>
        <v>0</v>
      </c>
      <c r="D38" s="14">
        <f>SUM(COUNTIFS(Games_1117[ATHLETE 1],Analysis_2449[[#This Row],[Atheletes ]],Games_1117[RESULT 12],"lose"),COUNTIFS(Games_1117[ATHLETE 2],Analysis_2449[[#This Row],[Atheletes ]],Games_1117[RESULT 12],"lose"),COUNTIFS(Games_1117[ATHLETE 3],Analysis_2449[[#This Row],[Atheletes ]],Games_1117[RESULT 34],"lose"),COUNTIFS(Games_1117[ATHLETE 4],Analysis_2449[[#This Row],[Atheletes ]],Games_1117[RESULT 34],"lose"))</f>
        <v>0</v>
      </c>
      <c r="E38" s="19">
        <f>SUM(SUMIF(Games_1117[ATHLETE 1],Analysis_2449[[#This Row],[Atheletes ]],Games_1117[SALDO 12]),SUMIF(Games_1117[ATHLETE 2],Analysis_2449[[#This Row],[Atheletes ]],Games_1117[SALDO 12]),SUMIF(Games_1117[ATHLETE 3],Analysis_2449[[#This Row],[Atheletes ]],Games_1117[SALDO 34]),SUMIF(Games_1117[ATHLETE 4],Analysis_2449[[#This Row],[Atheletes ]],Games_1117[SALDO 34]))</f>
        <v>0</v>
      </c>
      <c r="F38" s="19">
        <f>SUM(SUMIF(Games_1117[ATHLETE 1],Analysis_2449[[#This Row],[Atheletes ]],Games_1117[PM 12]),SUMIF(Games_1117[ATHLETE 2],Analysis_2449[[#This Row],[Atheletes ]],Games_1117[PM 12]),SUMIF(Games_1117[ATHLETE 3],Analysis_2449[[#This Row],[Atheletes ]],Games_1117[PM 34]),SUMIF(Games_1117[ATHLETE 4],Analysis_2449[[#This Row],[Atheletes ]],Games_1117[PM 34]))</f>
        <v>0</v>
      </c>
      <c r="G38" s="14" t="str">
        <f>IF(COUNTBLANK(Games_1117[[SCORE 1]:[SCORE 2]])=0,IF(RANK(H38,$H$34:$H$38)=1,RANK(H38,$H$34:$H$38)&amp;"st",IF(RANK(H38,$H$34:$H$38)=2,RANK(H38,$H$34:$H$38)&amp;"nd",IF(RANK(H38,$H$34:$H$38)=3,RANK(H38,$H$34:$H$38)&amp;"rd",RANK(H38,$H$34:$H$38)&amp;"th"))),"")</f>
        <v/>
      </c>
      <c r="H38" s="85">
        <f>Analysis_2449[[#This Row],[WIN]]*1000000+Analysis_2449[[#This Row],[Saldo]]*1000+Analysis_2449[[#This Row],[PM]]</f>
        <v>0</v>
      </c>
      <c r="I38" s="57">
        <f>H38</f>
        <v>0</v>
      </c>
      <c r="J38" s="57" t="str">
        <f>B38</f>
        <v>C5</v>
      </c>
      <c r="K38" s="56" t="str">
        <f>IF(RANK(I38,$I$20:$I$38)=1,RANK(I38,$I$20:$I$38)&amp;"st",IF(RANK(I38,$I$20:$I$38)=2,RANK(I38,$I$20:$I$38)&amp;"nd",IF(RANK(I38,$I$20:$I$38)=3,RANK(I38,$I$20:$I$38)&amp;"rd",RANK(I38,$I$20:$I$38)&amp;"th")))</f>
        <v>1st</v>
      </c>
      <c r="L38" s="432" t="str">
        <f>IF(OR($N$31="",$O$31=""),"",IF($N$32="WIN",$L$31,$P$31))</f>
        <v/>
      </c>
      <c r="M38" s="30"/>
      <c r="N38" s="86"/>
      <c r="O38" s="86"/>
      <c r="P38" s="432" t="str">
        <f>IF(OR($N$31="",$O$31=""),"",IF($N$32="WIN",$M$31,$Q$31))</f>
        <v/>
      </c>
      <c r="Q38" s="30"/>
    </row>
    <row r="39" spans="1:17">
      <c r="L39" s="18" t="str">
        <f>IF(OR($N$38="",O38=""),"",IF($N$39="win","1st","2nd"))</f>
        <v/>
      </c>
      <c r="N39" s="433" t="str">
        <f>IF(OR($N$38="",$O$38=""),"",IF(($N$38&gt;$O$38),"WIN","LOSE"))</f>
        <v/>
      </c>
      <c r="O39" s="433" t="str">
        <f>IF(OR($N$38="",$O$38=""),"",IF(($N$38&lt;$O$38),"WIN","LOSE"))</f>
        <v/>
      </c>
      <c r="P39" s="18" t="str">
        <f>IF(OR(N38="",O38=""),"",IF($O$39="win","1st","2nd"))</f>
        <v/>
      </c>
    </row>
  </sheetData>
  <sheetProtection algorithmName="SHA-512" hashValue="MeLYrZmFnjuerXIKESyK0cjL04JlwOsCazvV02U6QGjs3TExFAr9Ix61Qb1zWwcW0IvncVLJoTrKuPAnhijWMA==" saltValue="g54BHB8NgxdykjT4nhrBWQ==" spinCount="100000" sheet="1" objects="1" scenarios="1"/>
  <mergeCells count="10">
    <mergeCell ref="L29:Q29"/>
    <mergeCell ref="N30:O30"/>
    <mergeCell ref="L36:Q36"/>
    <mergeCell ref="N37:O37"/>
    <mergeCell ref="A1:A16"/>
    <mergeCell ref="S1:T1"/>
    <mergeCell ref="A18:G18"/>
    <mergeCell ref="L18:Q18"/>
    <mergeCell ref="N19:O19"/>
    <mergeCell ref="N24:O24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6772-5D12-B543-8DB2-C7CB0181BA40}">
  <sheetPr codeName="Sheet29"/>
  <dimension ref="A1:T40"/>
  <sheetViews>
    <sheetView workbookViewId="0">
      <selection sqref="A1:A16"/>
    </sheetView>
    <sheetView workbookViewId="1">
      <selection sqref="A1:A16"/>
    </sheetView>
  </sheetViews>
  <sheetFormatPr defaultColWidth="8.85546875" defaultRowHeight="15"/>
  <cols>
    <col min="1" max="1" width="9.7109375" customWidth="1"/>
    <col min="2" max="2" width="13" bestFit="1" customWidth="1"/>
    <col min="3" max="4" width="20" customWidth="1"/>
    <col min="5" max="6" width="9.7109375" customWidth="1"/>
    <col min="7" max="7" width="20" customWidth="1"/>
    <col min="8" max="8" width="20" hidden="1" customWidth="1"/>
    <col min="9" max="9" width="12" hidden="1" customWidth="1"/>
    <col min="10" max="10" width="8" hidden="1" customWidth="1"/>
    <col min="11" max="11" width="20" customWidth="1"/>
    <col min="12" max="12" width="13.42578125" bestFit="1" customWidth="1"/>
    <col min="13" max="14" width="14.140625" bestFit="1" customWidth="1"/>
    <col min="15" max="16" width="10.42578125" bestFit="1" customWidth="1"/>
    <col min="17" max="18" width="14.85546875" bestFit="1" customWidth="1"/>
    <col min="19" max="19" width="14" bestFit="1" customWidth="1"/>
    <col min="20" max="21" width="9.7109375" bestFit="1" customWidth="1"/>
  </cols>
  <sheetData>
    <row r="1" spans="1:20" ht="15" customHeight="1">
      <c r="A1" s="550" t="s">
        <v>322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170</v>
      </c>
      <c r="L1" s="7" t="s">
        <v>171</v>
      </c>
      <c r="M1" s="7" t="s">
        <v>172</v>
      </c>
      <c r="N1" s="7" t="s">
        <v>173</v>
      </c>
      <c r="O1" s="7" t="s">
        <v>174</v>
      </c>
      <c r="P1" s="7" t="s">
        <v>175</v>
      </c>
      <c r="Q1" s="7" t="s">
        <v>176</v>
      </c>
      <c r="S1" s="544" t="s">
        <v>323</v>
      </c>
      <c r="T1" s="545"/>
    </row>
    <row r="2" spans="1:20" ht="15" customHeight="1">
      <c r="A2" s="550"/>
      <c r="B2" s="13" t="s">
        <v>178</v>
      </c>
      <c r="C2" s="433" t="str">
        <f>B20</f>
        <v>A1</v>
      </c>
      <c r="D2" s="25" t="str">
        <f>B23</f>
        <v>A4</v>
      </c>
      <c r="E2" s="26">
        <v>18</v>
      </c>
      <c r="F2" s="27">
        <v>20</v>
      </c>
      <c r="G2" s="15" t="str">
        <f>B21</f>
        <v>A2</v>
      </c>
      <c r="H2" s="15"/>
      <c r="I2" s="15"/>
      <c r="J2" s="15"/>
      <c r="K2" s="16" t="str">
        <f>B22</f>
        <v>A3</v>
      </c>
      <c r="L2" s="13">
        <f>IF(OR(Games_1112[[#This Row],[SCORE 1]]="",Games_1112[[#This Row],[SCORE 2]]=""),"",Games_1112[[#This Row],[SCORE 1]]-Games_1112[[#This Row],[SCORE 2]])</f>
        <v>-2</v>
      </c>
      <c r="M2" s="13">
        <f>IF(OR(Games_1112[[#This Row],[SCORE 1]]="",Games_1112[[#This Row],[SCORE 2]]=""),"",Games_1112[[#This Row],[SCORE 2]]-Games_1112[[#This Row],[SCORE 1]])</f>
        <v>2</v>
      </c>
      <c r="N2" s="13">
        <f>IF(Games_1112[[#This Row],[SCORE 1]]="","",Games_1112[[#This Row],[SCORE 1]])</f>
        <v>18</v>
      </c>
      <c r="O2" s="13">
        <f>IF(Games_1112[[#This Row],[SCORE 2]]="","",Games_1112[[#This Row],[SCORE 2]])</f>
        <v>20</v>
      </c>
      <c r="P2" s="13" t="str">
        <f>IF(OR(Games_1112[[#This Row],[SCORE 1]]="",Games_1112[[#This Row],[SCORE 2]]=""),"",IF(Games_1112[[#This Row],[SALDO 12]]&gt;0, "WIN","LOSE"))</f>
        <v>LOSE</v>
      </c>
      <c r="Q2" s="13" t="str">
        <f>IF(OR(Games_1112[[#This Row],[SCORE 1]]="",Games_1112[[#This Row],[SCORE 2]]=""),"",IF(Games_1112[[#This Row],[SALDO 34]]&gt;0, "WIN","LOSE"))</f>
        <v>WIN</v>
      </c>
      <c r="S2" s="21" t="s">
        <v>179</v>
      </c>
      <c r="T2" s="21" t="s">
        <v>8</v>
      </c>
    </row>
    <row r="3" spans="1:20">
      <c r="A3" s="550"/>
      <c r="B3" s="13" t="s">
        <v>180</v>
      </c>
      <c r="C3" s="433" t="str">
        <f>B27</f>
        <v>B1</v>
      </c>
      <c r="D3" s="25" t="str">
        <f>B30</f>
        <v>B4</v>
      </c>
      <c r="E3" s="26">
        <v>15</v>
      </c>
      <c r="F3" s="27">
        <v>18</v>
      </c>
      <c r="G3" s="15" t="str">
        <f>B28</f>
        <v>B2</v>
      </c>
      <c r="H3" s="15"/>
      <c r="I3" s="15"/>
      <c r="J3" s="15"/>
      <c r="K3" s="16" t="str">
        <f>B29</f>
        <v>B3</v>
      </c>
      <c r="L3" s="13">
        <f>IF(OR(Games_1112[[#This Row],[SCORE 1]]="",Games_1112[[#This Row],[SCORE 2]]=""),"",Games_1112[[#This Row],[SCORE 1]]-Games_1112[[#This Row],[SCORE 2]])</f>
        <v>-3</v>
      </c>
      <c r="M3" s="13">
        <f>IF(OR(Games_1112[[#This Row],[SCORE 1]]="",Games_1112[[#This Row],[SCORE 2]]=""),"",Games_1112[[#This Row],[SCORE 2]]-Games_1112[[#This Row],[SCORE 1]])</f>
        <v>3</v>
      </c>
      <c r="N3" s="13">
        <f>IF(Games_1112[[#This Row],[SCORE 1]]="","",Games_1112[[#This Row],[SCORE 1]])</f>
        <v>15</v>
      </c>
      <c r="O3" s="13">
        <f>IF(Games_1112[[#This Row],[SCORE 2]]="","",Games_1112[[#This Row],[SCORE 2]])</f>
        <v>18</v>
      </c>
      <c r="P3" s="13" t="str">
        <f>IF(OR(Games_1112[[#This Row],[SCORE 1]]="",Games_1112[[#This Row],[SCORE 2]]=""),"",IF(Games_1112[[#This Row],[SALDO 12]]&gt;0, "WIN","LOSE"))</f>
        <v>LOSE</v>
      </c>
      <c r="Q3" s="13" t="str">
        <f>IF(OR(Games_1112[[#This Row],[SCORE 1]]="",Games_1112[[#This Row],[SCORE 2]]=""),"",IF(Games_1112[[#This Row],[SALDO 34]]&gt;0, "WIN","LOSE"))</f>
        <v>WIN</v>
      </c>
      <c r="S3" s="2" t="str">
        <f>IFERROR(_xlfn.XLOOKUP(Table1572235446678468111215[[#This Row],[Rank]],$L$28:$Q$28,$L$27:$Q$27),"")</f>
        <v/>
      </c>
      <c r="T3" s="2" t="s">
        <v>19</v>
      </c>
    </row>
    <row r="4" spans="1:20">
      <c r="A4" s="550"/>
      <c r="B4" s="13" t="s">
        <v>181</v>
      </c>
      <c r="C4" s="433" t="str">
        <f>B34</f>
        <v>C1</v>
      </c>
      <c r="D4" s="25" t="str">
        <f>B37</f>
        <v>C4</v>
      </c>
      <c r="E4" s="26">
        <v>16</v>
      </c>
      <c r="F4" s="27">
        <v>18</v>
      </c>
      <c r="G4" s="15" t="str">
        <f>B35</f>
        <v>C2</v>
      </c>
      <c r="H4" s="15"/>
      <c r="I4" s="15"/>
      <c r="J4" s="15"/>
      <c r="K4" s="16" t="str">
        <f>B36</f>
        <v>C3</v>
      </c>
      <c r="L4" s="13">
        <f>IF(OR(Games_1112[[#This Row],[SCORE 1]]="",Games_1112[[#This Row],[SCORE 2]]=""),"",Games_1112[[#This Row],[SCORE 1]]-Games_1112[[#This Row],[SCORE 2]])</f>
        <v>-2</v>
      </c>
      <c r="M4" s="13">
        <f>IF(OR(Games_1112[[#This Row],[SCORE 1]]="",Games_1112[[#This Row],[SCORE 2]]=""),"",Games_1112[[#This Row],[SCORE 2]]-Games_1112[[#This Row],[SCORE 1]])</f>
        <v>2</v>
      </c>
      <c r="N4" s="13">
        <f>IF(Games_1112[[#This Row],[SCORE 1]]="","",Games_1112[[#This Row],[SCORE 1]])</f>
        <v>16</v>
      </c>
      <c r="O4" s="13">
        <f>IF(Games_1112[[#This Row],[SCORE 2]]="","",Games_1112[[#This Row],[SCORE 2]])</f>
        <v>18</v>
      </c>
      <c r="P4" s="13" t="str">
        <f>IF(OR(Games_1112[[#This Row],[SCORE 1]]="",Games_1112[[#This Row],[SCORE 2]]=""),"",IF(Games_1112[[#This Row],[SALDO 12]]&gt;0, "WIN","LOSE"))</f>
        <v>LOSE</v>
      </c>
      <c r="Q4" s="13" t="str">
        <f>IF(OR(Games_1112[[#This Row],[SCORE 1]]="",Games_1112[[#This Row],[SCORE 2]]=""),"",IF(Games_1112[[#This Row],[SALDO 34]]&gt;0, "WIN","LOSE"))</f>
        <v>WIN</v>
      </c>
      <c r="S4" s="2" t="str">
        <f>IFERROR(_xlfn.XLOOKUP(Table1572235446678468111215[[#This Row],[Rank]],$L$28:$Q$28,$L$27:$Q$27),"")</f>
        <v/>
      </c>
      <c r="T4" s="2" t="s">
        <v>22</v>
      </c>
    </row>
    <row r="5" spans="1:20">
      <c r="A5" s="550"/>
      <c r="B5" s="13" t="s">
        <v>178</v>
      </c>
      <c r="C5" s="433" t="str">
        <f>B20</f>
        <v>A1</v>
      </c>
      <c r="D5" s="25" t="str">
        <f>B22</f>
        <v>A3</v>
      </c>
      <c r="E5" s="26">
        <v>20</v>
      </c>
      <c r="F5" s="27">
        <v>18</v>
      </c>
      <c r="G5" s="15" t="str">
        <f>B21</f>
        <v>A2</v>
      </c>
      <c r="H5" s="15"/>
      <c r="I5" s="15"/>
      <c r="J5" s="15"/>
      <c r="K5" s="16" t="str">
        <f>B24</f>
        <v>A5</v>
      </c>
      <c r="L5" s="13">
        <f>IF(OR(Games_1112[[#This Row],[SCORE 1]]="",Games_1112[[#This Row],[SCORE 2]]=""),"",Games_1112[[#This Row],[SCORE 1]]-Games_1112[[#This Row],[SCORE 2]])</f>
        <v>2</v>
      </c>
      <c r="M5" s="13">
        <f>IF(OR(Games_1112[[#This Row],[SCORE 1]]="",Games_1112[[#This Row],[SCORE 2]]=""),"",Games_1112[[#This Row],[SCORE 2]]-Games_1112[[#This Row],[SCORE 1]])</f>
        <v>-2</v>
      </c>
      <c r="N5" s="13">
        <f>IF(Games_1112[[#This Row],[SCORE 1]]="","",Games_1112[[#This Row],[SCORE 1]])</f>
        <v>20</v>
      </c>
      <c r="O5" s="13">
        <f>IF(Games_1112[[#This Row],[SCORE 2]]="","",Games_1112[[#This Row],[SCORE 2]])</f>
        <v>18</v>
      </c>
      <c r="P5" s="13" t="str">
        <f>IF(OR(Games_1112[[#This Row],[SCORE 1]]="",Games_1112[[#This Row],[SCORE 2]]=""),"",IF(Games_1112[[#This Row],[SALDO 12]]&gt;0, "WIN","LOSE"))</f>
        <v>WIN</v>
      </c>
      <c r="Q5" s="13" t="str">
        <f>IF(OR(Games_1112[[#This Row],[SCORE 1]]="",Games_1112[[#This Row],[SCORE 2]]=""),"",IF(Games_1112[[#This Row],[SALDO 34]]&gt;0, "WIN","LOSE"))</f>
        <v>LOSE</v>
      </c>
      <c r="S5" s="2" t="str">
        <f>IFERROR(_xlfn.XLOOKUP(Table1572235446678468111215[[#This Row],[Rank]],$L$21:$Q$21,$L$20:$Q$20),"")</f>
        <v/>
      </c>
      <c r="T5" s="2" t="s">
        <v>25</v>
      </c>
    </row>
    <row r="6" spans="1:20">
      <c r="A6" s="550"/>
      <c r="B6" s="13" t="s">
        <v>180</v>
      </c>
      <c r="C6" s="433" t="str">
        <f>B27</f>
        <v>B1</v>
      </c>
      <c r="D6" s="25" t="str">
        <f>B29</f>
        <v>B3</v>
      </c>
      <c r="E6" s="26">
        <v>16</v>
      </c>
      <c r="F6" s="27">
        <v>18</v>
      </c>
      <c r="G6" s="15" t="str">
        <f>B28</f>
        <v>B2</v>
      </c>
      <c r="H6" s="15"/>
      <c r="I6" s="15"/>
      <c r="J6" s="15"/>
      <c r="K6" s="16" t="str">
        <f>B31</f>
        <v>B5</v>
      </c>
      <c r="L6" s="13">
        <f>IF(OR(Games_1112[[#This Row],[SCORE 1]]="",Games_1112[[#This Row],[SCORE 2]]=""),"",Games_1112[[#This Row],[SCORE 1]]-Games_1112[[#This Row],[SCORE 2]])</f>
        <v>-2</v>
      </c>
      <c r="M6" s="13">
        <f>IF(OR(Games_1112[[#This Row],[SCORE 1]]="",Games_1112[[#This Row],[SCORE 2]]=""),"",Games_1112[[#This Row],[SCORE 2]]-Games_1112[[#This Row],[SCORE 1]])</f>
        <v>2</v>
      </c>
      <c r="N6" s="13">
        <f>IF(Games_1112[[#This Row],[SCORE 1]]="","",Games_1112[[#This Row],[SCORE 1]])</f>
        <v>16</v>
      </c>
      <c r="O6" s="13">
        <f>IF(Games_1112[[#This Row],[SCORE 2]]="","",Games_1112[[#This Row],[SCORE 2]])</f>
        <v>18</v>
      </c>
      <c r="P6" s="13" t="str">
        <f>IF(OR(Games_1112[[#This Row],[SCORE 1]]="",Games_1112[[#This Row],[SCORE 2]]=""),"",IF(Games_1112[[#This Row],[SALDO 12]]&gt;0, "WIN","LOSE"))</f>
        <v>LOSE</v>
      </c>
      <c r="Q6" s="13" t="str">
        <f>IF(OR(Games_1112[[#This Row],[SCORE 1]]="",Games_1112[[#This Row],[SCORE 2]]=""),"",IF(Games_1112[[#This Row],[SALDO 34]]&gt;0, "WIN","LOSE"))</f>
        <v>WIN</v>
      </c>
      <c r="S6" s="2" t="str">
        <f>IFERROR(_xlfn.XLOOKUP(Table1572235446678468111215[[#This Row],[Rank]],$L$21:$Q$21,$L$20:$Q$20),"")</f>
        <v/>
      </c>
      <c r="T6" s="2" t="s">
        <v>28</v>
      </c>
    </row>
    <row r="7" spans="1:20">
      <c r="A7" s="550"/>
      <c r="B7" s="13" t="s">
        <v>181</v>
      </c>
      <c r="C7" s="433" t="str">
        <f>B34</f>
        <v>C1</v>
      </c>
      <c r="D7" s="25" t="str">
        <f>B36</f>
        <v>C3</v>
      </c>
      <c r="E7" s="26">
        <v>15</v>
      </c>
      <c r="F7" s="27">
        <v>18</v>
      </c>
      <c r="G7" s="15" t="str">
        <f>B35</f>
        <v>C2</v>
      </c>
      <c r="H7" s="15"/>
      <c r="I7" s="15"/>
      <c r="J7" s="15"/>
      <c r="K7" s="16" t="str">
        <f>B38</f>
        <v>C5</v>
      </c>
      <c r="L7" s="13">
        <f>IF(OR(Games_1112[[#This Row],[SCORE 1]]="",Games_1112[[#This Row],[SCORE 2]]=""),"",Games_1112[[#This Row],[SCORE 1]]-Games_1112[[#This Row],[SCORE 2]])</f>
        <v>-3</v>
      </c>
      <c r="M7" s="13">
        <f>IF(OR(Games_1112[[#This Row],[SCORE 1]]="",Games_1112[[#This Row],[SCORE 2]]=""),"",Games_1112[[#This Row],[SCORE 2]]-Games_1112[[#This Row],[SCORE 1]])</f>
        <v>3</v>
      </c>
      <c r="N7" s="13">
        <f>IF(Games_1112[[#This Row],[SCORE 1]]="","",Games_1112[[#This Row],[SCORE 1]])</f>
        <v>15</v>
      </c>
      <c r="O7" s="13">
        <f>IF(Games_1112[[#This Row],[SCORE 2]]="","",Games_1112[[#This Row],[SCORE 2]])</f>
        <v>18</v>
      </c>
      <c r="P7" s="13" t="str">
        <f>IF(OR(Games_1112[[#This Row],[SCORE 1]]="",Games_1112[[#This Row],[SCORE 2]]=""),"",IF(Games_1112[[#This Row],[SALDO 12]]&gt;0, "WIN","LOSE"))</f>
        <v>LOSE</v>
      </c>
      <c r="Q7" s="13" t="str">
        <f>IF(OR(Games_1112[[#This Row],[SCORE 1]]="",Games_1112[[#This Row],[SCORE 2]]=""),"",IF(Games_1112[[#This Row],[SALDO 34]]&gt;0, "WIN","LOSE"))</f>
        <v>WIN</v>
      </c>
      <c r="S7" s="2" t="str">
        <f>IF($L$20="","",_xlfn.XLOOKUP(Table1572235446678468111215[[#This Row],[Rank]],$K$20:$K$34,$J$20:$J$34))</f>
        <v>A3</v>
      </c>
      <c r="T7" s="2" t="s">
        <v>31</v>
      </c>
    </row>
    <row r="8" spans="1:20">
      <c r="A8" s="550"/>
      <c r="B8" s="13" t="s">
        <v>178</v>
      </c>
      <c r="C8" s="433" t="str">
        <f>B20</f>
        <v>A1</v>
      </c>
      <c r="D8" s="25" t="str">
        <f>B21</f>
        <v>A2</v>
      </c>
      <c r="E8" s="26">
        <v>18</v>
      </c>
      <c r="F8" s="27">
        <v>14</v>
      </c>
      <c r="G8" s="15" t="str">
        <f>B23</f>
        <v>A4</v>
      </c>
      <c r="H8" s="15"/>
      <c r="I8" s="15"/>
      <c r="J8" s="15"/>
      <c r="K8" s="16" t="str">
        <f>B24</f>
        <v>A5</v>
      </c>
      <c r="L8" s="13">
        <f>IF(OR(Games_1112[[#This Row],[SCORE 1]]="",Games_1112[[#This Row],[SCORE 2]]=""),"",Games_1112[[#This Row],[SCORE 1]]-Games_1112[[#This Row],[SCORE 2]])</f>
        <v>4</v>
      </c>
      <c r="M8" s="13">
        <f>IF(OR(Games_1112[[#This Row],[SCORE 1]]="",Games_1112[[#This Row],[SCORE 2]]=""),"",Games_1112[[#This Row],[SCORE 2]]-Games_1112[[#This Row],[SCORE 1]])</f>
        <v>-4</v>
      </c>
      <c r="N8" s="13">
        <f>IF(Games_1112[[#This Row],[SCORE 1]]="","",Games_1112[[#This Row],[SCORE 1]])</f>
        <v>18</v>
      </c>
      <c r="O8" s="13">
        <f>IF(Games_1112[[#This Row],[SCORE 2]]="","",Games_1112[[#This Row],[SCORE 2]])</f>
        <v>14</v>
      </c>
      <c r="P8" s="13" t="str">
        <f>IF(OR(Games_1112[[#This Row],[SCORE 1]]="",Games_1112[[#This Row],[SCORE 2]]=""),"",IF(Games_1112[[#This Row],[SALDO 12]]&gt;0, "WIN","LOSE"))</f>
        <v>WIN</v>
      </c>
      <c r="Q8" s="13" t="str">
        <f>IF(OR(Games_1112[[#This Row],[SCORE 1]]="",Games_1112[[#This Row],[SCORE 2]]=""),"",IF(Games_1112[[#This Row],[SALDO 34]]&gt;0, "WIN","LOSE"))</f>
        <v>LOSE</v>
      </c>
      <c r="S8" s="2" t="str">
        <f>IF($L$20="","",_xlfn.XLOOKUP(Table1572235446678468111215[[#This Row],[Rank]],$K$20:$K$34,$J$20:$J$34))</f>
        <v>B1</v>
      </c>
      <c r="T8" s="2" t="s">
        <v>34</v>
      </c>
    </row>
    <row r="9" spans="1:20">
      <c r="A9" s="550"/>
      <c r="B9" s="13" t="s">
        <v>180</v>
      </c>
      <c r="C9" s="433" t="str">
        <f>B27</f>
        <v>B1</v>
      </c>
      <c r="D9" s="25" t="str">
        <f>B28</f>
        <v>B2</v>
      </c>
      <c r="E9" s="26">
        <v>18</v>
      </c>
      <c r="F9" s="27">
        <v>13</v>
      </c>
      <c r="G9" s="15" t="str">
        <f>B30</f>
        <v>B4</v>
      </c>
      <c r="H9" s="15"/>
      <c r="I9" s="15"/>
      <c r="J9" s="15"/>
      <c r="K9" s="16" t="str">
        <f>B31</f>
        <v>B5</v>
      </c>
      <c r="L9" s="13">
        <f>IF(OR(Games_1112[[#This Row],[SCORE 1]]="",Games_1112[[#This Row],[SCORE 2]]=""),"",Games_1112[[#This Row],[SCORE 1]]-Games_1112[[#This Row],[SCORE 2]])</f>
        <v>5</v>
      </c>
      <c r="M9" s="13">
        <f>IF(OR(Games_1112[[#This Row],[SCORE 1]]="",Games_1112[[#This Row],[SCORE 2]]=""),"",Games_1112[[#This Row],[SCORE 2]]-Games_1112[[#This Row],[SCORE 1]])</f>
        <v>-5</v>
      </c>
      <c r="N9" s="13">
        <f>IF(Games_1112[[#This Row],[SCORE 1]]="","",Games_1112[[#This Row],[SCORE 1]])</f>
        <v>18</v>
      </c>
      <c r="O9" s="13">
        <f>IF(Games_1112[[#This Row],[SCORE 2]]="","",Games_1112[[#This Row],[SCORE 2]])</f>
        <v>13</v>
      </c>
      <c r="P9" s="13" t="str">
        <f>IF(OR(Games_1112[[#This Row],[SCORE 1]]="",Games_1112[[#This Row],[SCORE 2]]=""),"",IF(Games_1112[[#This Row],[SALDO 12]]&gt;0, "WIN","LOSE"))</f>
        <v>WIN</v>
      </c>
      <c r="Q9" s="13" t="str">
        <f>IF(OR(Games_1112[[#This Row],[SCORE 1]]="",Games_1112[[#This Row],[SCORE 2]]=""),"",IF(Games_1112[[#This Row],[SALDO 34]]&gt;0, "WIN","LOSE"))</f>
        <v>LOSE</v>
      </c>
      <c r="S9" s="2" t="str">
        <f>IF($L$20="","",_xlfn.XLOOKUP(Table1572235446678468111215[[#This Row],[Rank]],$K$20:$K$34,$J$20:$J$34))</f>
        <v>A2</v>
      </c>
      <c r="T9" s="2" t="s">
        <v>37</v>
      </c>
    </row>
    <row r="10" spans="1:20">
      <c r="A10" s="550"/>
      <c r="B10" s="13" t="s">
        <v>181</v>
      </c>
      <c r="C10" s="433" t="str">
        <f>B34</f>
        <v>C1</v>
      </c>
      <c r="D10" s="25" t="str">
        <f>B35</f>
        <v>C2</v>
      </c>
      <c r="E10" s="26">
        <v>18</v>
      </c>
      <c r="F10" s="27">
        <v>20</v>
      </c>
      <c r="G10" s="15" t="str">
        <f>B37</f>
        <v>C4</v>
      </c>
      <c r="H10" s="15"/>
      <c r="I10" s="15"/>
      <c r="J10" s="15"/>
      <c r="K10" s="16" t="str">
        <f>B38</f>
        <v>C5</v>
      </c>
      <c r="L10" s="13">
        <f>IF(OR(Games_1112[[#This Row],[SCORE 1]]="",Games_1112[[#This Row],[SCORE 2]]=""),"",Games_1112[[#This Row],[SCORE 1]]-Games_1112[[#This Row],[SCORE 2]])</f>
        <v>-2</v>
      </c>
      <c r="M10" s="13">
        <f>IF(OR(Games_1112[[#This Row],[SCORE 1]]="",Games_1112[[#This Row],[SCORE 2]]=""),"",Games_1112[[#This Row],[SCORE 2]]-Games_1112[[#This Row],[SCORE 1]])</f>
        <v>2</v>
      </c>
      <c r="N10" s="13">
        <f>IF(Games_1112[[#This Row],[SCORE 1]]="","",Games_1112[[#This Row],[SCORE 1]])</f>
        <v>18</v>
      </c>
      <c r="O10" s="13">
        <f>IF(Games_1112[[#This Row],[SCORE 2]]="","",Games_1112[[#This Row],[SCORE 2]])</f>
        <v>20</v>
      </c>
      <c r="P10" s="13" t="str">
        <f>IF(OR(Games_1112[[#This Row],[SCORE 1]]="",Games_1112[[#This Row],[SCORE 2]]=""),"",IF(Games_1112[[#This Row],[SALDO 12]]&gt;0, "WIN","LOSE"))</f>
        <v>LOSE</v>
      </c>
      <c r="Q10" s="13" t="str">
        <f>IF(OR(Games_1112[[#This Row],[SCORE 1]]="",Games_1112[[#This Row],[SCORE 2]]=""),"",IF(Games_1112[[#This Row],[SALDO 34]]&gt;0, "WIN","LOSE"))</f>
        <v>WIN</v>
      </c>
      <c r="S10" s="2" t="str">
        <f>IF($L$20="","",_xlfn.XLOOKUP(Table1572235446678468111215[[#This Row],[Rank]],$K$20:$K$34,$J$20:$J$34))</f>
        <v>A5</v>
      </c>
      <c r="T10" s="2" t="s">
        <v>41</v>
      </c>
    </row>
    <row r="11" spans="1:20">
      <c r="A11" s="550"/>
      <c r="B11" s="13" t="s">
        <v>178</v>
      </c>
      <c r="C11" s="433" t="str">
        <f>B20</f>
        <v>A1</v>
      </c>
      <c r="D11" s="25" t="str">
        <f>B24</f>
        <v>A5</v>
      </c>
      <c r="E11" s="26">
        <v>18</v>
      </c>
      <c r="F11" s="27">
        <v>12</v>
      </c>
      <c r="G11" s="15" t="str">
        <f>B22</f>
        <v>A3</v>
      </c>
      <c r="H11" s="15"/>
      <c r="I11" s="15"/>
      <c r="J11" s="15"/>
      <c r="K11" s="16" t="str">
        <f>B23</f>
        <v>A4</v>
      </c>
      <c r="L11" s="13">
        <f>IF(OR(Games_1112[[#This Row],[SCORE 1]]="",Games_1112[[#This Row],[SCORE 2]]=""),"",Games_1112[[#This Row],[SCORE 1]]-Games_1112[[#This Row],[SCORE 2]])</f>
        <v>6</v>
      </c>
      <c r="M11" s="13">
        <f>IF(OR(Games_1112[[#This Row],[SCORE 1]]="",Games_1112[[#This Row],[SCORE 2]]=""),"",Games_1112[[#This Row],[SCORE 2]]-Games_1112[[#This Row],[SCORE 1]])</f>
        <v>-6</v>
      </c>
      <c r="N11" s="13">
        <f>IF(Games_1112[[#This Row],[SCORE 1]]="","",Games_1112[[#This Row],[SCORE 1]])</f>
        <v>18</v>
      </c>
      <c r="O11" s="13">
        <f>IF(Games_1112[[#This Row],[SCORE 2]]="","",Games_1112[[#This Row],[SCORE 2]])</f>
        <v>12</v>
      </c>
      <c r="P11" s="13" t="str">
        <f>IF(OR(Games_1112[[#This Row],[SCORE 1]]="",Games_1112[[#This Row],[SCORE 2]]=""),"",IF(Games_1112[[#This Row],[SALDO 12]]&gt;0, "WIN","LOSE"))</f>
        <v>WIN</v>
      </c>
      <c r="Q11" s="13" t="str">
        <f>IF(OR(Games_1112[[#This Row],[SCORE 1]]="",Games_1112[[#This Row],[SCORE 2]]=""),"",IF(Games_1112[[#This Row],[SALDO 34]]&gt;0, "WIN","LOSE"))</f>
        <v>LOSE</v>
      </c>
      <c r="S11" s="2" t="str" cm="1">
        <f t="array" ref="S11">IF(COUNTBLANK(Games_1112[[SCORE 1]:[SCORE 2]])=0,_xlfn.TEXTJOIN(", ", TRUE, _xlfn._xlws.FILTER($J$20:$J$34, $K$20:$K$34=T11, "")),"")</f>
        <v>C5</v>
      </c>
      <c r="T11" s="2" t="s">
        <v>44</v>
      </c>
    </row>
    <row r="12" spans="1:20">
      <c r="A12" s="550"/>
      <c r="B12" s="13" t="s">
        <v>180</v>
      </c>
      <c r="C12" s="433" t="str">
        <f>B27</f>
        <v>B1</v>
      </c>
      <c r="D12" s="25" t="str">
        <f>B31</f>
        <v>B5</v>
      </c>
      <c r="E12" s="26">
        <v>18</v>
      </c>
      <c r="F12" s="27">
        <v>15</v>
      </c>
      <c r="G12" s="15" t="str">
        <f>B29</f>
        <v>B3</v>
      </c>
      <c r="H12" s="15"/>
      <c r="I12" s="15"/>
      <c r="J12" s="15"/>
      <c r="K12" s="16" t="str">
        <f>B30</f>
        <v>B4</v>
      </c>
      <c r="L12" s="13">
        <f>IF(OR(Games_1112[[#This Row],[SCORE 1]]="",Games_1112[[#This Row],[SCORE 2]]=""),"",Games_1112[[#This Row],[SCORE 1]]-Games_1112[[#This Row],[SCORE 2]])</f>
        <v>3</v>
      </c>
      <c r="M12" s="13">
        <f>IF(OR(Games_1112[[#This Row],[SCORE 1]]="",Games_1112[[#This Row],[SCORE 2]]=""),"",Games_1112[[#This Row],[SCORE 2]]-Games_1112[[#This Row],[SCORE 1]])</f>
        <v>-3</v>
      </c>
      <c r="N12" s="13">
        <f>IF(Games_1112[[#This Row],[SCORE 1]]="","",Games_1112[[#This Row],[SCORE 1]])</f>
        <v>18</v>
      </c>
      <c r="O12" s="13">
        <f>IF(Games_1112[[#This Row],[SCORE 2]]="","",Games_1112[[#This Row],[SCORE 2]])</f>
        <v>15</v>
      </c>
      <c r="P12" s="13" t="str">
        <f>IF(OR(Games_1112[[#This Row],[SCORE 1]]="",Games_1112[[#This Row],[SCORE 2]]=""),"",IF(Games_1112[[#This Row],[SALDO 12]]&gt;0, "WIN","LOSE"))</f>
        <v>WIN</v>
      </c>
      <c r="Q12" s="13" t="str">
        <f>IF(OR(Games_1112[[#This Row],[SCORE 1]]="",Games_1112[[#This Row],[SCORE 2]]=""),"",IF(Games_1112[[#This Row],[SALDO 34]]&gt;0, "WIN","LOSE"))</f>
        <v>LOSE</v>
      </c>
      <c r="S12" s="2" t="str" cm="1">
        <f t="array" ref="S12">IF(COUNTBLANK(Games_1112[[SCORE 1]:[SCORE 2]])=0,_xlfn.TEXTJOIN(", ", TRUE, _xlfn._xlws.FILTER($J$20:$J$34, $K$20:$K$34=T12, "")),"")</f>
        <v>C3</v>
      </c>
      <c r="T12" s="2" t="s">
        <v>39</v>
      </c>
    </row>
    <row r="13" spans="1:20">
      <c r="A13" s="550"/>
      <c r="B13" s="13" t="s">
        <v>181</v>
      </c>
      <c r="C13" s="433" t="str">
        <f>B34</f>
        <v>C1</v>
      </c>
      <c r="D13" s="25" t="str">
        <f>B38</f>
        <v>C5</v>
      </c>
      <c r="E13" s="26">
        <v>18</v>
      </c>
      <c r="F13" s="27">
        <v>20</v>
      </c>
      <c r="G13" s="15" t="str">
        <f>B36</f>
        <v>C3</v>
      </c>
      <c r="H13" s="15"/>
      <c r="I13" s="15"/>
      <c r="J13" s="15"/>
      <c r="K13" s="16" t="str">
        <f>B37</f>
        <v>C4</v>
      </c>
      <c r="L13" s="13">
        <f>IF(OR(Games_1112[[#This Row],[SCORE 1]]="",Games_1112[[#This Row],[SCORE 2]]=""),"",Games_1112[[#This Row],[SCORE 1]]-Games_1112[[#This Row],[SCORE 2]])</f>
        <v>-2</v>
      </c>
      <c r="M13" s="13">
        <f>IF(OR(Games_1112[[#This Row],[SCORE 1]]="",Games_1112[[#This Row],[SCORE 2]]=""),"",Games_1112[[#This Row],[SCORE 2]]-Games_1112[[#This Row],[SCORE 1]])</f>
        <v>2</v>
      </c>
      <c r="N13" s="13">
        <f>IF(Games_1112[[#This Row],[SCORE 1]]="","",Games_1112[[#This Row],[SCORE 1]])</f>
        <v>18</v>
      </c>
      <c r="O13" s="13">
        <f>IF(Games_1112[[#This Row],[SCORE 2]]="","",Games_1112[[#This Row],[SCORE 2]])</f>
        <v>20</v>
      </c>
      <c r="P13" s="13" t="str">
        <f>IF(OR(Games_1112[[#This Row],[SCORE 1]]="",Games_1112[[#This Row],[SCORE 2]]=""),"",IF(Games_1112[[#This Row],[SALDO 12]]&gt;0, "WIN","LOSE"))</f>
        <v>LOSE</v>
      </c>
      <c r="Q13" s="13" t="str">
        <f>IF(OR(Games_1112[[#This Row],[SCORE 1]]="",Games_1112[[#This Row],[SCORE 2]]=""),"",IF(Games_1112[[#This Row],[SALDO 34]]&gt;0, "WIN","LOSE"))</f>
        <v>WIN</v>
      </c>
      <c r="S13" s="2" t="str" cm="1">
        <f t="array" ref="S13">IF(COUNTBLANK(Games_1112[[SCORE 1]:[SCORE 2]])=0,_xlfn.TEXTJOIN(", ", TRUE, _xlfn._xlws.FILTER($J$20:$J$34, $K$20:$K$34=T13, "")),"")</f>
        <v>B5</v>
      </c>
      <c r="T13" s="2" t="s">
        <v>49</v>
      </c>
    </row>
    <row r="14" spans="1:20">
      <c r="A14" s="550"/>
      <c r="B14" s="13" t="s">
        <v>178</v>
      </c>
      <c r="C14" s="433" t="str">
        <f>B22</f>
        <v>A3</v>
      </c>
      <c r="D14" s="25" t="str">
        <f>B24</f>
        <v>A5</v>
      </c>
      <c r="E14" s="26">
        <v>20</v>
      </c>
      <c r="F14" s="27">
        <v>18</v>
      </c>
      <c r="G14" s="15" t="str">
        <f>B21</f>
        <v>A2</v>
      </c>
      <c r="H14" s="15"/>
      <c r="I14" s="15"/>
      <c r="J14" s="15"/>
      <c r="K14" s="16" t="str">
        <f>B23</f>
        <v>A4</v>
      </c>
      <c r="L14" s="13">
        <f>IF(OR(Games_1112[[#This Row],[SCORE 1]]="",Games_1112[[#This Row],[SCORE 2]]=""),"",Games_1112[[#This Row],[SCORE 1]]-Games_1112[[#This Row],[SCORE 2]])</f>
        <v>2</v>
      </c>
      <c r="M14" s="13">
        <f>IF(OR(Games_1112[[#This Row],[SCORE 1]]="",Games_1112[[#This Row],[SCORE 2]]=""),"",Games_1112[[#This Row],[SCORE 2]]-Games_1112[[#This Row],[SCORE 1]])</f>
        <v>-2</v>
      </c>
      <c r="N14" s="13">
        <f>IF(Games_1112[[#This Row],[SCORE 1]]="","",Games_1112[[#This Row],[SCORE 1]])</f>
        <v>20</v>
      </c>
      <c r="O14" s="13">
        <f>IF(Games_1112[[#This Row],[SCORE 2]]="","",Games_1112[[#This Row],[SCORE 2]])</f>
        <v>18</v>
      </c>
      <c r="P14" s="13" t="str">
        <f>IF(OR(Games_1112[[#This Row],[SCORE 1]]="",Games_1112[[#This Row],[SCORE 2]]=""),"",IF(Games_1112[[#This Row],[SALDO 12]]&gt;0, "WIN","LOSE"))</f>
        <v>WIN</v>
      </c>
      <c r="Q14" s="13" t="str">
        <f>IF(OR(Games_1112[[#This Row],[SCORE 1]]="",Games_1112[[#This Row],[SCORE 2]]=""),"",IF(Games_1112[[#This Row],[SALDO 34]]&gt;0, "WIN","LOSE"))</f>
        <v>LOSE</v>
      </c>
      <c r="S14" s="2" t="str" cm="1">
        <f t="array" ref="S14">IF(COUNTBLANK(Games_1112[[SCORE 1]:[SCORE 2]])=0,_xlfn.TEXTJOIN(", ", TRUE, _xlfn._xlws.FILTER($J$20:$J$34, $K$20:$K$34=T14, "")),"")</f>
        <v>B3</v>
      </c>
      <c r="T14" s="2" t="s">
        <v>51</v>
      </c>
    </row>
    <row r="15" spans="1:20">
      <c r="A15" s="550"/>
      <c r="B15" s="13" t="s">
        <v>180</v>
      </c>
      <c r="C15" s="433" t="str">
        <f>B29</f>
        <v>B3</v>
      </c>
      <c r="D15" s="25" t="str">
        <f>B31</f>
        <v>B5</v>
      </c>
      <c r="E15" s="26">
        <v>14</v>
      </c>
      <c r="F15" s="27">
        <v>18</v>
      </c>
      <c r="G15" s="15" t="str">
        <f>B28</f>
        <v>B2</v>
      </c>
      <c r="H15" s="15"/>
      <c r="I15" s="15"/>
      <c r="J15" s="15"/>
      <c r="K15" s="16" t="str">
        <f>B30</f>
        <v>B4</v>
      </c>
      <c r="L15" s="13">
        <f>IF(OR(Games_1112[[#This Row],[SCORE 1]]="",Games_1112[[#This Row],[SCORE 2]]=""),"",Games_1112[[#This Row],[SCORE 1]]-Games_1112[[#This Row],[SCORE 2]])</f>
        <v>-4</v>
      </c>
      <c r="M15" s="13">
        <f>IF(OR(Games_1112[[#This Row],[SCORE 1]]="",Games_1112[[#This Row],[SCORE 2]]=""),"",Games_1112[[#This Row],[SCORE 2]]-Games_1112[[#This Row],[SCORE 1]])</f>
        <v>4</v>
      </c>
      <c r="N15" s="13">
        <f>IF(Games_1112[[#This Row],[SCORE 1]]="","",Games_1112[[#This Row],[SCORE 1]])</f>
        <v>14</v>
      </c>
      <c r="O15" s="13">
        <f>IF(Games_1112[[#This Row],[SCORE 2]]="","",Games_1112[[#This Row],[SCORE 2]])</f>
        <v>18</v>
      </c>
      <c r="P15" s="13" t="str">
        <f>IF(OR(Games_1112[[#This Row],[SCORE 1]]="",Games_1112[[#This Row],[SCORE 2]]=""),"",IF(Games_1112[[#This Row],[SALDO 12]]&gt;0, "WIN","LOSE"))</f>
        <v>LOSE</v>
      </c>
      <c r="Q15" s="13" t="str">
        <f>IF(OR(Games_1112[[#This Row],[SCORE 1]]="",Games_1112[[#This Row],[SCORE 2]]=""),"",IF(Games_1112[[#This Row],[SALDO 34]]&gt;0, "WIN","LOSE"))</f>
        <v>WIN</v>
      </c>
      <c r="S15" s="2" t="str" cm="1">
        <f t="array" ref="S15">IF(COUNTBLANK(Games_1112[[SCORE 1]:[SCORE 2]])=0,_xlfn.TEXTJOIN(", ", TRUE, _xlfn._xlws.FILTER($J$20:$J$34, $K$20:$K$34=T15, "")),"")</f>
        <v>B4</v>
      </c>
      <c r="T15" s="2" t="s">
        <v>47</v>
      </c>
    </row>
    <row r="16" spans="1:20">
      <c r="A16" s="550"/>
      <c r="B16" s="429" t="s">
        <v>181</v>
      </c>
      <c r="C16" s="433" t="str">
        <f>B36</f>
        <v>C3</v>
      </c>
      <c r="D16" s="25" t="str">
        <f>B38</f>
        <v>C5</v>
      </c>
      <c r="E16" s="82">
        <v>15</v>
      </c>
      <c r="F16" s="83">
        <v>18</v>
      </c>
      <c r="G16" s="84" t="str">
        <f>B35</f>
        <v>C2</v>
      </c>
      <c r="H16" s="84"/>
      <c r="I16" s="84"/>
      <c r="J16" s="84"/>
      <c r="K16" s="22" t="str">
        <f>B37</f>
        <v>C4</v>
      </c>
      <c r="L16" s="429">
        <f>IF(OR(Games_1112[[#This Row],[SCORE 1]]="",Games_1112[[#This Row],[SCORE 2]]=""),"",Games_1112[[#This Row],[SCORE 1]]-Games_1112[[#This Row],[SCORE 2]])</f>
        <v>-3</v>
      </c>
      <c r="M16" s="429">
        <f>IF(OR(Games_1112[[#This Row],[SCORE 1]]="",Games_1112[[#This Row],[SCORE 2]]=""),"",Games_1112[[#This Row],[SCORE 2]]-Games_1112[[#This Row],[SCORE 1]])</f>
        <v>3</v>
      </c>
      <c r="N16" s="429">
        <f>IF(Games_1112[[#This Row],[SCORE 1]]="","",Games_1112[[#This Row],[SCORE 1]])</f>
        <v>15</v>
      </c>
      <c r="O16" s="429">
        <f>IF(Games_1112[[#This Row],[SCORE 2]]="","",Games_1112[[#This Row],[SCORE 2]])</f>
        <v>18</v>
      </c>
      <c r="P16" s="429" t="str">
        <f>IF(OR(Games_1112[[#This Row],[SCORE 1]]="",Games_1112[[#This Row],[SCORE 2]]=""),"",IF(Games_1112[[#This Row],[SALDO 12]]&gt;0, "WIN","LOSE"))</f>
        <v>LOSE</v>
      </c>
      <c r="Q16" s="429" t="str">
        <f>IF(OR(Games_1112[[#This Row],[SCORE 1]]="",Games_1112[[#This Row],[SCORE 2]]=""),"",IF(Games_1112[[#This Row],[SALDO 34]]&gt;0, "WIN","LOSE"))</f>
        <v>WIN</v>
      </c>
      <c r="S16" s="2" t="str" cm="1">
        <f t="array" ref="S16">IF(COUNTBLANK(Games_1112[[SCORE 1]:[SCORE 2]])=0,_xlfn.TEXTJOIN(", ", TRUE, _xlfn._xlws.FILTER($J$20:$J$34, $K$20:$K$34=T16, "")),"")</f>
        <v>C1</v>
      </c>
      <c r="T16" s="2" t="s">
        <v>57</v>
      </c>
    </row>
    <row r="17" spans="1:20" ht="30" customHeight="1">
      <c r="S17" s="2" t="str" cm="1">
        <f t="array" ref="S17">IF(COUNTBLANK(Games_1112[[SCORE 1]:[SCORE 2]])=0,_xlfn.TEXTJOIN(", ", TRUE, _xlfn._xlws.FILTER($J$20:$J$34, $K$20:$K$34=T17, "")),"")</f>
        <v>A4</v>
      </c>
      <c r="T17" s="2" t="s">
        <v>60</v>
      </c>
    </row>
    <row r="18" spans="1:20" ht="30" customHeight="1">
      <c r="A18" s="546" t="s">
        <v>182</v>
      </c>
      <c r="B18" s="547"/>
      <c r="C18" s="547"/>
      <c r="D18" s="547"/>
      <c r="E18" s="547"/>
      <c r="F18" s="547"/>
      <c r="G18" s="547"/>
      <c r="H18" s="420"/>
      <c r="I18" s="420"/>
      <c r="J18" s="420"/>
      <c r="L18" s="548" t="s">
        <v>199</v>
      </c>
      <c r="M18" s="549"/>
      <c r="N18" s="549"/>
      <c r="O18" s="549"/>
      <c r="P18" s="549"/>
      <c r="Q18" s="549"/>
    </row>
    <row r="19" spans="1:20" ht="15.95">
      <c r="A19" s="6" t="s">
        <v>184</v>
      </c>
      <c r="B19" s="7" t="s">
        <v>185</v>
      </c>
      <c r="C19" s="7" t="s">
        <v>186</v>
      </c>
      <c r="D19" s="7" t="s">
        <v>187</v>
      </c>
      <c r="E19" s="7" t="s">
        <v>188</v>
      </c>
      <c r="F19" s="7" t="s">
        <v>189</v>
      </c>
      <c r="G19" s="7" t="s">
        <v>8</v>
      </c>
      <c r="H19" s="80" t="s">
        <v>190</v>
      </c>
      <c r="I19" s="20" t="s">
        <v>191</v>
      </c>
      <c r="J19" s="20" t="s">
        <v>1</v>
      </c>
      <c r="K19" s="20" t="s">
        <v>192</v>
      </c>
      <c r="L19" s="418" t="s">
        <v>193</v>
      </c>
      <c r="M19" s="418" t="s">
        <v>194</v>
      </c>
      <c r="N19" s="542" t="s">
        <v>195</v>
      </c>
      <c r="O19" s="543"/>
      <c r="P19" s="418" t="s">
        <v>196</v>
      </c>
      <c r="Q19" s="418" t="s">
        <v>197</v>
      </c>
    </row>
    <row r="20" spans="1:20">
      <c r="A20" s="4" t="s">
        <v>178</v>
      </c>
      <c r="B20" s="29" t="s">
        <v>205</v>
      </c>
      <c r="C20" s="14">
        <f>SUM(COUNTIFS(Games_1112[ATHLETE 1],Analysis_2213[[#This Row],[Atheletes ]],Games_1112[RESULT 12],"win"),COUNTIFS(Games_1112[ATHLETE 2],Analysis_2213[[#This Row],[Atheletes ]],Games_1112[RESULT 12],"win"),COUNTIFS(Games_1112[ATHLETE 3],Analysis_2213[[#This Row],[Atheletes ]],Games_1112[RESULT 34],"win"),COUNTIFS(Games_1112[ATHLETE 4],Analysis_2213[[#This Row],[Atheletes ]],Games_1112[RESULT 34],"win"))</f>
        <v>3</v>
      </c>
      <c r="D20" s="14">
        <f>SUM(COUNTIFS(Games_1112[ATHLETE 1],Analysis_2213[[#This Row],[Atheletes ]],Games_1112[RESULT 12],"lose"),COUNTIFS(Games_1112[ATHLETE 2],Analysis_2213[[#This Row],[Atheletes ]],Games_1112[RESULT 12],"lose"),COUNTIFS(Games_1112[ATHLETE 3],Analysis_2213[[#This Row],[Atheletes ]],Games_1112[RESULT 34],"lose"),COUNTIFS(Games_1112[ATHLETE 4],Analysis_2213[[#This Row],[Atheletes ]],Games_1112[RESULT 34],"lose"))</f>
        <v>1</v>
      </c>
      <c r="E20" s="19">
        <f>SUM(SUMIF(Games_1112[ATHLETE 1],Analysis_2213[[#This Row],[Atheletes ]],Games_1112[SALDO 12]),SUMIF(Games_1112[ATHLETE 2],Analysis_2213[[#This Row],[Atheletes ]],Games_1112[SALDO 12]),SUMIF(Games_1112[ATHLETE 3],Analysis_2213[[#This Row],[Atheletes ]],Games_1112[SALDO 34]),SUMIF(Games_1112[ATHLETE 4],Analysis_2213[[#This Row],[Atheletes ]],Games_1112[SALDO 34]))</f>
        <v>10</v>
      </c>
      <c r="F20" s="19">
        <f>SUM(SUMIF(Games_1112[ATHLETE 1],Analysis_2213[[#This Row],[Atheletes ]],Games_1112[PM 12]),SUMIF(Games_1112[ATHLETE 2],Analysis_2213[[#This Row],[Atheletes ]],Games_1112[PM 12]),SUMIF(Games_1112[ATHLETE 3],Analysis_2213[[#This Row],[Atheletes ]],Games_1112[PM 34]),SUMIF(Games_1112[ATHLETE 4],Analysis_2213[[#This Row],[Atheletes ]],Games_1112[PM 34]))</f>
        <v>74</v>
      </c>
      <c r="G20" s="14" t="str">
        <f>IF(COUNTBLANK(Games_1112[[SCORE 1]:[SCORE 2]])=0,IF(RANK(H20,$H$20:$H$24)=1,RANK(H20,$H$20:$H$24)&amp;"st",IF(RANK(H20,$H$20:$H$24)=2,RANK(H20,$H$20:$H$24)&amp;"nd",IF(RANK(H20,$H$20:$H$24)=3,RANK(H20,$H$20:$H$24)&amp;"rd",RANK(H20,$H$20:$H$24)&amp;"th"))),"")</f>
        <v>1st</v>
      </c>
      <c r="H20" s="51">
        <f>Analysis_2213[[#This Row],[WIN]]*1000000+Analysis_2213[[#This Row],[Saldo]]*1000+Analysis_2213[[#This Row],[PM]]</f>
        <v>3010074</v>
      </c>
      <c r="I20" s="56">
        <f>H20</f>
        <v>3010074</v>
      </c>
      <c r="J20" s="56" t="str">
        <f>Analysis_2213[[#This Row],[Atheletes ]]</f>
        <v>A1</v>
      </c>
      <c r="K20" s="56" t="str">
        <f t="shared" ref="K20:K34" si="0">IF(RANK(I20,$I$20:$I$34)=1,RANK(I20,$I$20:$I$34)&amp;"st",IF(RANK(I20,$I$20:$I$34)=2,RANK(I20,$I$20:$I$34)&amp;"nd",IF(RANK(I20,$I$20:$I$34)=3,RANK(I20,$I$20:$I$34)&amp;"rd",RANK(I20,$I$20:$I$34)&amp;"th")))</f>
        <v>2nd</v>
      </c>
      <c r="L20" s="8" t="str">
        <f>IF(COUNTBLANK(Games_1112[[SCORE 1]:[SCORE 2]])=0,IFERROR(_xlfn.XLOOKUP(T3,$K$20:$K$34,$J$20:$J$34),""),"")</f>
        <v>B2</v>
      </c>
      <c r="M20" s="8" t="str">
        <f>IF(COUNTBLANK(Games_1112[[SCORE 1]:[SCORE 2]])=0,IFERROR(_xlfn.XLOOKUP(T4,$K$20:$K$34,$J$20:$J$34),""),"")</f>
        <v>A1</v>
      </c>
      <c r="N20" s="86"/>
      <c r="O20" s="87"/>
      <c r="P20" s="8" t="str">
        <f>IF(COUNTBLANK(Games_1112[[SCORE 1]:[SCORE 2]])=0,IFERROR(_xlfn.XLOOKUP(T5,$K$20:$K$34,$J$20:$J$34),""),"")</f>
        <v>C2</v>
      </c>
      <c r="Q20" s="8" t="str">
        <f>IF(COUNTBLANK(Games_1112[[SCORE 1]:[SCORE 2]])=0,IFERROR(_xlfn.XLOOKUP(T6,$K$20:$K$34,$J$20:$J$34),""),"")</f>
        <v>C4</v>
      </c>
    </row>
    <row r="21" spans="1:20">
      <c r="A21" s="3" t="s">
        <v>178</v>
      </c>
      <c r="B21" s="29" t="s">
        <v>206</v>
      </c>
      <c r="C21" s="14">
        <f>SUM(COUNTIFS(Games_1112[ATHLETE 1],Analysis_2213[[#This Row],[Atheletes ]],Games_1112[RESULT 12],"win"),COUNTIFS(Games_1112[ATHLETE 2],Analysis_2213[[#This Row],[Atheletes ]],Games_1112[RESULT 12],"win"),COUNTIFS(Games_1112[ATHLETE 3],Analysis_2213[[#This Row],[Atheletes ]],Games_1112[RESULT 34],"win"),COUNTIFS(Games_1112[ATHLETE 4],Analysis_2213[[#This Row],[Atheletes ]],Games_1112[RESULT 34],"win"))</f>
        <v>2</v>
      </c>
      <c r="D21" s="14">
        <f>SUM(COUNTIFS(Games_1112[ATHLETE 1],Analysis_2213[[#This Row],[Atheletes ]],Games_1112[RESULT 12],"lose"),COUNTIFS(Games_1112[ATHLETE 2],Analysis_2213[[#This Row],[Atheletes ]],Games_1112[RESULT 12],"lose"),COUNTIFS(Games_1112[ATHLETE 3],Analysis_2213[[#This Row],[Atheletes ]],Games_1112[RESULT 34],"lose"),COUNTIFS(Games_1112[ATHLETE 4],Analysis_2213[[#This Row],[Atheletes ]],Games_1112[RESULT 34],"lose"))</f>
        <v>2</v>
      </c>
      <c r="E21" s="19">
        <f>SUM(SUMIF(Games_1112[ATHLETE 1],Analysis_2213[[#This Row],[Atheletes ]],Games_1112[SALDO 12]),SUMIF(Games_1112[ATHLETE 2],Analysis_2213[[#This Row],[Atheletes ]],Games_1112[SALDO 12]),SUMIF(Games_1112[ATHLETE 3],Analysis_2213[[#This Row],[Atheletes ]],Games_1112[SALDO 34]),SUMIF(Games_1112[ATHLETE 4],Analysis_2213[[#This Row],[Atheletes ]],Games_1112[SALDO 34]))</f>
        <v>2</v>
      </c>
      <c r="F21" s="19">
        <f>SUM(SUMIF(Games_1112[ATHLETE 1],Analysis_2213[[#This Row],[Atheletes ]],Games_1112[PM 12]),SUMIF(Games_1112[ATHLETE 2],Analysis_2213[[#This Row],[Atheletes ]],Games_1112[PM 12]),SUMIF(Games_1112[ATHLETE 3],Analysis_2213[[#This Row],[Atheletes ]],Games_1112[PM 34]),SUMIF(Games_1112[ATHLETE 4],Analysis_2213[[#This Row],[Atheletes ]],Games_1112[PM 34]))</f>
        <v>74</v>
      </c>
      <c r="G21" s="14" t="str">
        <f>IF(COUNTBLANK(Games_1112[[SCORE 1]:[SCORE 2]])=0,IF(RANK(H21,$H$20:$H$24)=1,RANK(H21,$H$20:$H$24)&amp;"st",IF(RANK(H21,$H$20:$H$24)=2,RANK(H21,$H$20:$H$24)&amp;"nd",IF(RANK(H21,$H$20:$H$24)=3,RANK(H21,$H$20:$H$24)&amp;"rd",RANK(H21,$H$20:$H$24)&amp;"th"))),"")</f>
        <v>3rd</v>
      </c>
      <c r="H21" s="51">
        <f>Analysis_2213[[#This Row],[WIN]]*1000000+Analysis_2213[[#This Row],[Saldo]]*1000+Analysis_2213[[#This Row],[PM]]</f>
        <v>2002074</v>
      </c>
      <c r="I21" s="56">
        <f t="shared" ref="I21:I24" si="1">H21</f>
        <v>2002074</v>
      </c>
      <c r="J21" s="56" t="str">
        <f>Analysis_2213[[#This Row],[Atheletes ]]</f>
        <v>A2</v>
      </c>
      <c r="K21" s="56" t="str">
        <f t="shared" si="0"/>
        <v>7th</v>
      </c>
      <c r="L21" s="62" t="str">
        <f>IF(OR($N$21="WIN",$N$20="",$O$20=""),"",IF(L22&gt;M22,$T$5,$T$6))</f>
        <v/>
      </c>
      <c r="M21" s="62" t="str">
        <f>IF(OR($N$20="",$O$20="",$N$21="WIN"),"",IF(L22&lt;M22,$T$5,$T$6))</f>
        <v/>
      </c>
      <c r="N21" s="433" t="str">
        <f>IF(OR($N$20="",$O$20=""),"",IF(($N$20&gt;$O$20),"WIN","LOSE"))</f>
        <v/>
      </c>
      <c r="O21" s="433" t="str">
        <f>IF(OR($N$20="",$O$20=""),"",IF(($N$20&lt;$O$20),"WIN","LOSE"))</f>
        <v/>
      </c>
      <c r="P21" s="62" t="str">
        <f>IF(OR($O$21="WIN",$N$20="",$O$20=""),"",IF(P22&gt;Q22,$T$5,$T$6))</f>
        <v/>
      </c>
      <c r="Q21" s="62" t="str">
        <f>IF(OR($N$20="",$O$20="",$O$21="WIN"),"",IF(P22&lt;Q22,$T$5,$T$6))</f>
        <v/>
      </c>
      <c r="R21" s="17"/>
    </row>
    <row r="22" spans="1:20">
      <c r="A22" s="3" t="s">
        <v>178</v>
      </c>
      <c r="B22" s="29" t="s">
        <v>207</v>
      </c>
      <c r="C22" s="14">
        <f>SUM(COUNTIFS(Games_1112[ATHLETE 1],Analysis_2213[[#This Row],[Atheletes ]],Games_1112[RESULT 12],"win"),COUNTIFS(Games_1112[ATHLETE 2],Analysis_2213[[#This Row],[Atheletes ]],Games_1112[RESULT 12],"win"),COUNTIFS(Games_1112[ATHLETE 3],Analysis_2213[[#This Row],[Atheletes ]],Games_1112[RESULT 34],"win"),COUNTIFS(Games_1112[ATHLETE 4],Analysis_2213[[#This Row],[Atheletes ]],Games_1112[RESULT 34],"win"))</f>
        <v>3</v>
      </c>
      <c r="D22" s="14">
        <f>SUM(COUNTIFS(Games_1112[ATHLETE 1],Analysis_2213[[#This Row],[Atheletes ]],Games_1112[RESULT 12],"lose"),COUNTIFS(Games_1112[ATHLETE 2],Analysis_2213[[#This Row],[Atheletes ]],Games_1112[RESULT 12],"lose"),COUNTIFS(Games_1112[ATHLETE 3],Analysis_2213[[#This Row],[Atheletes ]],Games_1112[RESULT 34],"lose"),COUNTIFS(Games_1112[ATHLETE 4],Analysis_2213[[#This Row],[Atheletes ]],Games_1112[RESULT 34],"lose"))</f>
        <v>1</v>
      </c>
      <c r="E22" s="19">
        <f>SUM(SUMIF(Games_1112[ATHLETE 1],Analysis_2213[[#This Row],[Atheletes ]],Games_1112[SALDO 12]),SUMIF(Games_1112[ATHLETE 2],Analysis_2213[[#This Row],[Atheletes ]],Games_1112[SALDO 12]),SUMIF(Games_1112[ATHLETE 3],Analysis_2213[[#This Row],[Atheletes ]],Games_1112[SALDO 34]),SUMIF(Games_1112[ATHLETE 4],Analysis_2213[[#This Row],[Atheletes ]],Games_1112[SALDO 34]))</f>
        <v>0</v>
      </c>
      <c r="F22" s="19">
        <f>SUM(SUMIF(Games_1112[ATHLETE 1],Analysis_2213[[#This Row],[Atheletes ]],Games_1112[PM 12]),SUMIF(Games_1112[ATHLETE 2],Analysis_2213[[#This Row],[Atheletes ]],Games_1112[PM 12]),SUMIF(Games_1112[ATHLETE 3],Analysis_2213[[#This Row],[Atheletes ]],Games_1112[PM 34]),SUMIF(Games_1112[ATHLETE 4],Analysis_2213[[#This Row],[Atheletes ]],Games_1112[PM 34]))</f>
        <v>72</v>
      </c>
      <c r="G22" s="14" t="str">
        <f>IF(COUNTBLANK(Games_1112[[SCORE 1]:[SCORE 2]])=0,IF(RANK(H22,$H$20:$H$24)=1,RANK(H22,$H$20:$H$24)&amp;"st",IF(RANK(H22,$H$20:$H$24)=2,RANK(H22,$H$20:$H$24)&amp;"nd",IF(RANK(H22,$H$20:$H$24)=3,RANK(H22,$H$20:$H$24)&amp;"rd",RANK(H22,$H$20:$H$24)&amp;"th"))),"")</f>
        <v>2nd</v>
      </c>
      <c r="H22" s="51">
        <f>Analysis_2213[[#This Row],[WIN]]*1000000+Analysis_2213[[#This Row],[Saldo]]*1000+Analysis_2213[[#This Row],[PM]]</f>
        <v>3000072</v>
      </c>
      <c r="I22" s="56">
        <f t="shared" si="1"/>
        <v>3000072</v>
      </c>
      <c r="J22" s="56" t="str">
        <f>Analysis_2213[[#This Row],[Atheletes ]]</f>
        <v>A3</v>
      </c>
      <c r="K22" s="56" t="str">
        <f t="shared" si="0"/>
        <v>5th</v>
      </c>
      <c r="L22" s="61">
        <f>_xlfn.XLOOKUP(L20,$J$20:$J$34,$I$20:$I$34)</f>
        <v>4014072</v>
      </c>
      <c r="M22" s="61">
        <f>_xlfn.XLOOKUP(M20,$J$20:$J$34,$I$20:$I$34)</f>
        <v>3010074</v>
      </c>
      <c r="N22" s="61"/>
      <c r="O22" s="61"/>
      <c r="P22" s="61">
        <f>_xlfn.XLOOKUP(P20,$J$20:$J$34,$I$20:$I$34)</f>
        <v>3006072</v>
      </c>
      <c r="Q22" s="61">
        <f>_xlfn.XLOOKUP(Q20,$J$20:$J$34,$I$20:$I$34)</f>
        <v>3005074</v>
      </c>
    </row>
    <row r="23" spans="1:20" ht="15.95">
      <c r="A23" s="5" t="s">
        <v>178</v>
      </c>
      <c r="B23" s="29" t="s">
        <v>208</v>
      </c>
      <c r="C23" s="14">
        <f>SUM(COUNTIFS(Games_1112[ATHLETE 1],Analysis_2213[[#This Row],[Atheletes ]],Games_1112[RESULT 12],"win"),COUNTIFS(Games_1112[ATHLETE 2],Analysis_2213[[#This Row],[Atheletes ]],Games_1112[RESULT 12],"win"),COUNTIFS(Games_1112[ATHLETE 3],Analysis_2213[[#This Row],[Atheletes ]],Games_1112[RESULT 34],"win"),COUNTIFS(Games_1112[ATHLETE 4],Analysis_2213[[#This Row],[Atheletes ]],Games_1112[RESULT 34],"win"))</f>
        <v>0</v>
      </c>
      <c r="D23" s="14">
        <f>SUM(COUNTIFS(Games_1112[ATHLETE 1],Analysis_2213[[#This Row],[Atheletes ]],Games_1112[RESULT 12],"lose"),COUNTIFS(Games_1112[ATHLETE 2],Analysis_2213[[#This Row],[Atheletes ]],Games_1112[RESULT 12],"lose"),COUNTIFS(Games_1112[ATHLETE 3],Analysis_2213[[#This Row],[Atheletes ]],Games_1112[RESULT 34],"lose"),COUNTIFS(Games_1112[ATHLETE 4],Analysis_2213[[#This Row],[Atheletes ]],Games_1112[RESULT 34],"lose"))</f>
        <v>4</v>
      </c>
      <c r="E23" s="19">
        <f>SUM(SUMIF(Games_1112[ATHLETE 1],Analysis_2213[[#This Row],[Atheletes ]],Games_1112[SALDO 12]),SUMIF(Games_1112[ATHLETE 2],Analysis_2213[[#This Row],[Atheletes ]],Games_1112[SALDO 12]),SUMIF(Games_1112[ATHLETE 3],Analysis_2213[[#This Row],[Atheletes ]],Games_1112[SALDO 34]),SUMIF(Games_1112[ATHLETE 4],Analysis_2213[[#This Row],[Atheletes ]],Games_1112[SALDO 34]))</f>
        <v>-14</v>
      </c>
      <c r="F23" s="19">
        <f>SUM(SUMIF(Games_1112[ATHLETE 1],Analysis_2213[[#This Row],[Atheletes ]],Games_1112[PM 12]),SUMIF(Games_1112[ATHLETE 2],Analysis_2213[[#This Row],[Atheletes ]],Games_1112[PM 12]),SUMIF(Games_1112[ATHLETE 3],Analysis_2213[[#This Row],[Atheletes ]],Games_1112[PM 34]),SUMIF(Games_1112[ATHLETE 4],Analysis_2213[[#This Row],[Atheletes ]],Games_1112[PM 34]))</f>
        <v>62</v>
      </c>
      <c r="G23" s="14" t="str">
        <f>IF(COUNTBLANK(Games_1112[[SCORE 1]:[SCORE 2]])=0,IF(RANK(H23,$H$20:$H$24)=1,RANK(H23,$H$20:$H$24)&amp;"st",IF(RANK(H23,$H$20:$H$24)=2,RANK(H23,$H$20:$H$24)&amp;"nd",IF(RANK(H23,$H$20:$H$24)=3,RANK(H23,$H$20:$H$24)&amp;"rd",RANK(H23,$H$20:$H$24)&amp;"th"))),"")</f>
        <v>5th</v>
      </c>
      <c r="H23" s="51">
        <f>Analysis_2213[[#This Row],[WIN]]*1000000+Analysis_2213[[#This Row],[Saldo]]*1000+Analysis_2213[[#This Row],[PM]]</f>
        <v>-13938</v>
      </c>
      <c r="I23" s="56">
        <f t="shared" si="1"/>
        <v>-13938</v>
      </c>
      <c r="J23" s="56" t="str">
        <f>Analysis_2213[[#This Row],[Atheletes ]]</f>
        <v>A4</v>
      </c>
      <c r="K23" s="56" t="str">
        <f t="shared" si="0"/>
        <v>15th</v>
      </c>
    </row>
    <row r="24" spans="1:20">
      <c r="A24" s="3" t="s">
        <v>178</v>
      </c>
      <c r="B24" s="29" t="s">
        <v>230</v>
      </c>
      <c r="C24" s="14">
        <f>SUM(COUNTIFS(Games_1112[ATHLETE 1],Analysis_2213[[#This Row],[Atheletes ]],Games_1112[RESULT 12],"win"),COUNTIFS(Games_1112[ATHLETE 2],Analysis_2213[[#This Row],[Atheletes ]],Games_1112[RESULT 12],"win"),COUNTIFS(Games_1112[ATHLETE 3],Analysis_2213[[#This Row],[Atheletes ]],Games_1112[RESULT 34],"win"),COUNTIFS(Games_1112[ATHLETE 4],Analysis_2213[[#This Row],[Atheletes ]],Games_1112[RESULT 34],"win"))</f>
        <v>2</v>
      </c>
      <c r="D24" s="14">
        <f>SUM(COUNTIFS(Games_1112[ATHLETE 1],Analysis_2213[[#This Row],[Atheletes ]],Games_1112[RESULT 12],"lose"),COUNTIFS(Games_1112[ATHLETE 2],Analysis_2213[[#This Row],[Atheletes ]],Games_1112[RESULT 12],"lose"),COUNTIFS(Games_1112[ATHLETE 3],Analysis_2213[[#This Row],[Atheletes ]],Games_1112[RESULT 34],"lose"),COUNTIFS(Games_1112[ATHLETE 4],Analysis_2213[[#This Row],[Atheletes ]],Games_1112[RESULT 34],"lose"))</f>
        <v>2</v>
      </c>
      <c r="E24" s="19">
        <f>SUM(SUMIF(Games_1112[ATHLETE 1],Analysis_2213[[#This Row],[Atheletes ]],Games_1112[SALDO 12]),SUMIF(Games_1112[ATHLETE 2],Analysis_2213[[#This Row],[Atheletes ]],Games_1112[SALDO 12]),SUMIF(Games_1112[ATHLETE 3],Analysis_2213[[#This Row],[Atheletes ]],Games_1112[SALDO 34]),SUMIF(Games_1112[ATHLETE 4],Analysis_2213[[#This Row],[Atheletes ]],Games_1112[SALDO 34]))</f>
        <v>2</v>
      </c>
      <c r="F24" s="19">
        <f>SUM(SUMIF(Games_1112[ATHLETE 1],Analysis_2213[[#This Row],[Atheletes ]],Games_1112[PM 12]),SUMIF(Games_1112[ATHLETE 2],Analysis_2213[[#This Row],[Atheletes ]],Games_1112[PM 12]),SUMIF(Games_1112[ATHLETE 3],Analysis_2213[[#This Row],[Atheletes ]],Games_1112[PM 34]),SUMIF(Games_1112[ATHLETE 4],Analysis_2213[[#This Row],[Atheletes ]],Games_1112[PM 34]))</f>
        <v>70</v>
      </c>
      <c r="G24" s="14" t="str">
        <f>IF(COUNTBLANK(Games_1112[[SCORE 1]:[SCORE 2]])=0,IF(RANK(H24,$H$20:$H$24)=1,RANK(H24,$H$20:$H$24)&amp;"st",IF(RANK(H24,$H$20:$H$24)=2,RANK(H24,$H$20:$H$24)&amp;"nd",IF(RANK(H24,$H$20:$H$24)=3,RANK(H24,$H$20:$H$24)&amp;"rd",RANK(H24,$H$20:$H$24)&amp;"th"))),"")</f>
        <v>4th</v>
      </c>
      <c r="H24" s="51">
        <f>Analysis_2213[[#This Row],[WIN]]*1000000+Analysis_2213[[#This Row],[Saldo]]*1000+Analysis_2213[[#This Row],[PM]]</f>
        <v>2002070</v>
      </c>
      <c r="I24" s="56">
        <f t="shared" si="1"/>
        <v>2002070</v>
      </c>
      <c r="J24" s="56" t="str">
        <f>Analysis_2213[[#This Row],[Atheletes ]]</f>
        <v>A5</v>
      </c>
      <c r="K24" s="56" t="str">
        <f t="shared" si="0"/>
        <v>8th</v>
      </c>
    </row>
    <row r="25" spans="1:20" ht="28.5" customHeight="1">
      <c r="I25" s="59">
        <f>H27</f>
        <v>2003067</v>
      </c>
      <c r="J25" s="59" t="str">
        <f>B27</f>
        <v>B1</v>
      </c>
      <c r="K25" s="56" t="str">
        <f t="shared" si="0"/>
        <v>6th</v>
      </c>
      <c r="L25" s="548" t="s">
        <v>200</v>
      </c>
      <c r="M25" s="549"/>
      <c r="N25" s="549"/>
      <c r="O25" s="549"/>
      <c r="P25" s="549"/>
      <c r="Q25" s="549"/>
    </row>
    <row r="26" spans="1:20" ht="15.95">
      <c r="A26" s="9" t="s">
        <v>184</v>
      </c>
      <c r="B26" s="10" t="s">
        <v>185</v>
      </c>
      <c r="C26" s="10" t="s">
        <v>186</v>
      </c>
      <c r="D26" s="10" t="s">
        <v>187</v>
      </c>
      <c r="E26" s="10" t="s">
        <v>188</v>
      </c>
      <c r="F26" s="10" t="s">
        <v>189</v>
      </c>
      <c r="G26" s="7" t="s">
        <v>8</v>
      </c>
      <c r="H26" s="78" t="s">
        <v>190</v>
      </c>
      <c r="I26" s="59">
        <f t="shared" ref="I26:I29" si="2">H28</f>
        <v>4014072</v>
      </c>
      <c r="J26" s="59" t="str">
        <f t="shared" ref="J26:J29" si="3">B28</f>
        <v>B2</v>
      </c>
      <c r="K26" s="56" t="str">
        <f t="shared" si="0"/>
        <v>1st</v>
      </c>
      <c r="L26" s="418" t="s">
        <v>193</v>
      </c>
      <c r="M26" s="418" t="s">
        <v>194</v>
      </c>
      <c r="N26" s="542" t="s">
        <v>195</v>
      </c>
      <c r="O26" s="543"/>
      <c r="P26" s="418" t="s">
        <v>196</v>
      </c>
      <c r="Q26" s="418" t="s">
        <v>197</v>
      </c>
    </row>
    <row r="27" spans="1:20">
      <c r="A27" s="430" t="s">
        <v>180</v>
      </c>
      <c r="B27" s="29" t="s">
        <v>209</v>
      </c>
      <c r="C27" s="14">
        <f>SUM(COUNTIFS(Games_1112[ATHLETE 1],Analsyis_2314[[#This Row],[Atheletes ]],Games_1112[RESULT 12],"win"),COUNTIFS(Games_1112[ATHLETE 2],Analsyis_2314[[#This Row],[Atheletes ]],Games_1112[RESULT 12],"win"),COUNTIFS(Games_1112[ATHLETE 3],Analsyis_2314[[#This Row],[Atheletes ]],Games_1112[RESULT 34],"win"),COUNTIFS(Games_1112[ATHLETE 4],Analsyis_2314[[#This Row],[Atheletes ]],Games_1112[RESULT 34],"win"))</f>
        <v>2</v>
      </c>
      <c r="D27" s="14">
        <f>SUM(COUNTIFS(Games_1112[ATHLETE 1],Analsyis_2314[[#This Row],[Atheletes ]],Games_1112[RESULT 12],"lose"),COUNTIFS(Games_1112[ATHLETE 2],Analsyis_2314[[#This Row],[Atheletes ]],Games_1112[RESULT 12],"lose"),COUNTIFS(Games_1112[ATHLETE 3],Analsyis_2314[[#This Row],[Atheletes ]],Games_1112[RESULT 34],"lose"),COUNTIFS(Games_1112[ATHLETE 4],Analsyis_2314[[#This Row],[Atheletes ]],Games_1112[RESULT 34],"lose"))</f>
        <v>2</v>
      </c>
      <c r="E27" s="19">
        <f>SUM(SUMIF(Games_1112[ATHLETE 1],Analsyis_2314[[#This Row],[Atheletes ]],Games_1112[SALDO 12]),SUMIF(Games_1112[ATHLETE 2],Analsyis_2314[[#This Row],[Atheletes ]],Games_1112[SALDO 12]),SUMIF(Games_1112[ATHLETE 3],Analsyis_2314[[#This Row],[Atheletes ]],Games_1112[SALDO 34]),SUMIF(Games_1112[ATHLETE 4],Analsyis_2314[[#This Row],[Atheletes ]],Games_1112[SALDO 34]))</f>
        <v>3</v>
      </c>
      <c r="F27" s="19">
        <f>SUM(SUMIF(Games_1112[ATHLETE 1],Analsyis_2314[[#This Row],[Atheletes ]],Games_1112[PM 12]),SUMIF(Games_1112[ATHLETE 2],Analsyis_2314[[#This Row],[Atheletes ]],Games_1112[PM 12]),SUMIF(Games_1112[ATHLETE 3],Analsyis_2314[[#This Row],[Atheletes ]],Games_1112[PM 34]),SUMIF(Games_1112[ATHLETE 4],Analsyis_2314[[#This Row],[Atheletes ]],Games_1112[PM 34]))</f>
        <v>67</v>
      </c>
      <c r="G27" s="14" t="str">
        <f>IF(COUNTBLANK(Games_1112[[SCORE 1]:[SCORE 2]])=0,IF(RANK(H27,$H$27:$H$31)=1,RANK(H27,$H$27:$H$31)&amp;"st",IF(RANK(H27,$H$27:$H$31)=2,RANK(H27,$H$27:$H$31)&amp;"nd",IF(RANK(H27,$H$27:$H$31)=3,RANK(H27,$H$27:$H$31)&amp;"rd",RANK(H27,$H$27:$H$31)&amp;"th"))),"")</f>
        <v>2nd</v>
      </c>
      <c r="H27" s="51">
        <f>Analsyis_2314[[#This Row],[WIN]]*1000000+Analsyis_2314[[#This Row],[Saldo]]*1000+Analsyis_2314[[#This Row],[PM]]</f>
        <v>2003067</v>
      </c>
      <c r="I27" s="59">
        <f t="shared" si="2"/>
        <v>994063</v>
      </c>
      <c r="J27" s="59" t="str">
        <f t="shared" si="3"/>
        <v>B3</v>
      </c>
      <c r="K27" s="56" t="str">
        <f t="shared" si="0"/>
        <v>12th</v>
      </c>
      <c r="L27" s="432" t="str">
        <f>IF(OR($N$20="",$O$20=""),"",IF($N$21="WIN",$L$20,$P$20))</f>
        <v/>
      </c>
      <c r="M27" s="30"/>
      <c r="N27" s="86"/>
      <c r="O27" s="86"/>
      <c r="P27" s="432" t="str">
        <f>IF(OR($N$20="",$O$20=""),"",IF($N$21="WIN",$M$20,$Q$20))</f>
        <v/>
      </c>
      <c r="Q27" s="30"/>
    </row>
    <row r="28" spans="1:20">
      <c r="A28" s="430" t="s">
        <v>180</v>
      </c>
      <c r="B28" s="29" t="s">
        <v>210</v>
      </c>
      <c r="C28" s="14">
        <f>SUM(COUNTIFS(Games_1112[ATHLETE 1],Analsyis_2314[[#This Row],[Atheletes ]],Games_1112[RESULT 12],"win"),COUNTIFS(Games_1112[ATHLETE 2],Analsyis_2314[[#This Row],[Atheletes ]],Games_1112[RESULT 12],"win"),COUNTIFS(Games_1112[ATHLETE 3],Analsyis_2314[[#This Row],[Atheletes ]],Games_1112[RESULT 34],"win"),COUNTIFS(Games_1112[ATHLETE 4],Analsyis_2314[[#This Row],[Atheletes ]],Games_1112[RESULT 34],"win"))</f>
        <v>4</v>
      </c>
      <c r="D28" s="14">
        <f>SUM(COUNTIFS(Games_1112[ATHLETE 1],Analsyis_2314[[#This Row],[Atheletes ]],Games_1112[RESULT 12],"lose"),COUNTIFS(Games_1112[ATHLETE 2],Analsyis_2314[[#This Row],[Atheletes ]],Games_1112[RESULT 12],"lose"),COUNTIFS(Games_1112[ATHLETE 3],Analsyis_2314[[#This Row],[Atheletes ]],Games_1112[RESULT 34],"lose"),COUNTIFS(Games_1112[ATHLETE 4],Analsyis_2314[[#This Row],[Atheletes ]],Games_1112[RESULT 34],"lose"))</f>
        <v>0</v>
      </c>
      <c r="E28" s="19">
        <f>SUM(SUMIF(Games_1112[ATHLETE 1],Analsyis_2314[[#This Row],[Atheletes ]],Games_1112[SALDO 12]),SUMIF(Games_1112[ATHLETE 2],Analsyis_2314[[#This Row],[Atheletes ]],Games_1112[SALDO 12]),SUMIF(Games_1112[ATHLETE 3],Analsyis_2314[[#This Row],[Atheletes ]],Games_1112[SALDO 34]),SUMIF(Games_1112[ATHLETE 4],Analsyis_2314[[#This Row],[Atheletes ]],Games_1112[SALDO 34]))</f>
        <v>14</v>
      </c>
      <c r="F28" s="19">
        <f>SUM(SUMIF(Games_1112[ATHLETE 1],Analsyis_2314[[#This Row],[Atheletes ]],Games_1112[PM 12]),SUMIF(Games_1112[ATHLETE 2],Analsyis_2314[[#This Row],[Atheletes ]],Games_1112[PM 12]),SUMIF(Games_1112[ATHLETE 3],Analsyis_2314[[#This Row],[Atheletes ]],Games_1112[PM 34]),SUMIF(Games_1112[ATHLETE 4],Analsyis_2314[[#This Row],[Atheletes ]],Games_1112[PM 34]))</f>
        <v>72</v>
      </c>
      <c r="G28" s="14" t="str">
        <f>IF(COUNTBLANK(Games_1112[[SCORE 1]:[SCORE 2]])=0,IF(RANK(H28,$H$27:$H$31)=1,RANK(H28,$H$27:$H$31)&amp;"st",IF(RANK(H28,$H$27:$H$31)=2,RANK(H28,$H$27:$H$31)&amp;"nd",IF(RANK(H28,$H$27:$H$31)=3,RANK(H28,$H$27:$H$31)&amp;"rd",RANK(H28,$H$27:$H$31)&amp;"th"))),"")</f>
        <v>1st</v>
      </c>
      <c r="H28" s="51">
        <f>Analsyis_2314[[#This Row],[WIN]]*1000000+Analsyis_2314[[#This Row],[Saldo]]*1000+Analsyis_2314[[#This Row],[PM]]</f>
        <v>4014072</v>
      </c>
      <c r="I28" s="59">
        <f t="shared" si="2"/>
        <v>993061</v>
      </c>
      <c r="J28" s="59" t="str">
        <f t="shared" si="3"/>
        <v>B4</v>
      </c>
      <c r="K28" s="56" t="str">
        <f t="shared" si="0"/>
        <v>13th</v>
      </c>
      <c r="L28" s="18" t="str">
        <f>IF(OR($N$27="",O27=""),"",IF($N$28="win","1st","2nd"))</f>
        <v/>
      </c>
      <c r="N28" s="433" t="str">
        <f>IF(OR($N$27="",$O$27=""),"",IF(($N$27&gt;$O$27),"WIN","LOSE"))</f>
        <v/>
      </c>
      <c r="O28" s="433" t="str">
        <f>IF(OR($N$27="",$O$27=""),"",IF(($N$27&lt;$O$27),"WIN","LOSE"))</f>
        <v/>
      </c>
      <c r="P28" s="18" t="str">
        <f>IF(OR(N27="",O27=""),"",IF($O$28="win","1st","2nd"))</f>
        <v/>
      </c>
    </row>
    <row r="29" spans="1:20">
      <c r="A29" s="430" t="s">
        <v>180</v>
      </c>
      <c r="B29" s="29" t="s">
        <v>211</v>
      </c>
      <c r="C29" s="14">
        <f>SUM(COUNTIFS(Games_1112[ATHLETE 1],Analsyis_2314[[#This Row],[Atheletes ]],Games_1112[RESULT 12],"win"),COUNTIFS(Games_1112[ATHLETE 2],Analsyis_2314[[#This Row],[Atheletes ]],Games_1112[RESULT 12],"win"),COUNTIFS(Games_1112[ATHLETE 3],Analsyis_2314[[#This Row],[Atheletes ]],Games_1112[RESULT 34],"win"),COUNTIFS(Games_1112[ATHLETE 4],Analsyis_2314[[#This Row],[Atheletes ]],Games_1112[RESULT 34],"win"))</f>
        <v>1</v>
      </c>
      <c r="D29" s="14">
        <f>SUM(COUNTIFS(Games_1112[ATHLETE 1],Analsyis_2314[[#This Row],[Atheletes ]],Games_1112[RESULT 12],"lose"),COUNTIFS(Games_1112[ATHLETE 2],Analsyis_2314[[#This Row],[Atheletes ]],Games_1112[RESULT 12],"lose"),COUNTIFS(Games_1112[ATHLETE 3],Analsyis_2314[[#This Row],[Atheletes ]],Games_1112[RESULT 34],"lose"),COUNTIFS(Games_1112[ATHLETE 4],Analsyis_2314[[#This Row],[Atheletes ]],Games_1112[RESULT 34],"lose"))</f>
        <v>3</v>
      </c>
      <c r="E29" s="19">
        <f>SUM(SUMIF(Games_1112[ATHLETE 1],Analsyis_2314[[#This Row],[Atheletes ]],Games_1112[SALDO 12]),SUMIF(Games_1112[ATHLETE 2],Analsyis_2314[[#This Row],[Atheletes ]],Games_1112[SALDO 12]),SUMIF(Games_1112[ATHLETE 3],Analsyis_2314[[#This Row],[Atheletes ]],Games_1112[SALDO 34]),SUMIF(Games_1112[ATHLETE 4],Analsyis_2314[[#This Row],[Atheletes ]],Games_1112[SALDO 34]))</f>
        <v>-6</v>
      </c>
      <c r="F29" s="19">
        <f>SUM(SUMIF(Games_1112[ATHLETE 1],Analsyis_2314[[#This Row],[Atheletes ]],Games_1112[PM 12]),SUMIF(Games_1112[ATHLETE 2],Analsyis_2314[[#This Row],[Atheletes ]],Games_1112[PM 12]),SUMIF(Games_1112[ATHLETE 3],Analsyis_2314[[#This Row],[Atheletes ]],Games_1112[PM 34]),SUMIF(Games_1112[ATHLETE 4],Analsyis_2314[[#This Row],[Atheletes ]],Games_1112[PM 34]))</f>
        <v>63</v>
      </c>
      <c r="G29" s="14" t="str">
        <f>IF(COUNTBLANK(Games_1112[[SCORE 1]:[SCORE 2]])=0,IF(RANK(H29,$H$27:$H$31)=1,RANK(H29,$H$27:$H$31)&amp;"st",IF(RANK(H29,$H$27:$H$31)=2,RANK(H29,$H$27:$H$31)&amp;"nd",IF(RANK(H29,$H$27:$H$31)=3,RANK(H29,$H$27:$H$31)&amp;"rd",RANK(H29,$H$27:$H$31)&amp;"th"))),"")</f>
        <v>4th</v>
      </c>
      <c r="H29" s="51">
        <f>Analsyis_2314[[#This Row],[WIN]]*1000000+Analsyis_2314[[#This Row],[Saldo]]*1000+Analsyis_2314[[#This Row],[PM]]</f>
        <v>994063</v>
      </c>
      <c r="I29" s="59">
        <f t="shared" si="2"/>
        <v>1996063</v>
      </c>
      <c r="J29" s="59" t="str">
        <f t="shared" si="3"/>
        <v>B5</v>
      </c>
      <c r="K29" s="56" t="str">
        <f t="shared" si="0"/>
        <v>11th</v>
      </c>
    </row>
    <row r="30" spans="1:20">
      <c r="A30" s="430" t="s">
        <v>180</v>
      </c>
      <c r="B30" s="29" t="s">
        <v>212</v>
      </c>
      <c r="C30" s="14">
        <f>SUM(COUNTIFS(Games_1112[ATHLETE 1],Analsyis_2314[[#This Row],[Atheletes ]],Games_1112[RESULT 12],"win"),COUNTIFS(Games_1112[ATHLETE 2],Analsyis_2314[[#This Row],[Atheletes ]],Games_1112[RESULT 12],"win"),COUNTIFS(Games_1112[ATHLETE 3],Analsyis_2314[[#This Row],[Atheletes ]],Games_1112[RESULT 34],"win"),COUNTIFS(Games_1112[ATHLETE 4],Analsyis_2314[[#This Row],[Atheletes ]],Games_1112[RESULT 34],"win"))</f>
        <v>1</v>
      </c>
      <c r="D30" s="14">
        <f>SUM(COUNTIFS(Games_1112[ATHLETE 1],Analsyis_2314[[#This Row],[Atheletes ]],Games_1112[RESULT 12],"lose"),COUNTIFS(Games_1112[ATHLETE 2],Analsyis_2314[[#This Row],[Atheletes ]],Games_1112[RESULT 12],"lose"),COUNTIFS(Games_1112[ATHLETE 3],Analsyis_2314[[#This Row],[Atheletes ]],Games_1112[RESULT 34],"lose"),COUNTIFS(Games_1112[ATHLETE 4],Analsyis_2314[[#This Row],[Atheletes ]],Games_1112[RESULT 34],"lose"))</f>
        <v>3</v>
      </c>
      <c r="E30" s="19">
        <f>SUM(SUMIF(Games_1112[ATHLETE 1],Analsyis_2314[[#This Row],[Atheletes ]],Games_1112[SALDO 12]),SUMIF(Games_1112[ATHLETE 2],Analsyis_2314[[#This Row],[Atheletes ]],Games_1112[SALDO 12]),SUMIF(Games_1112[ATHLETE 3],Analsyis_2314[[#This Row],[Atheletes ]],Games_1112[SALDO 34]),SUMIF(Games_1112[ATHLETE 4],Analsyis_2314[[#This Row],[Atheletes ]],Games_1112[SALDO 34]))</f>
        <v>-7</v>
      </c>
      <c r="F30" s="19">
        <f>SUM(SUMIF(Games_1112[ATHLETE 1],Analsyis_2314[[#This Row],[Atheletes ]],Games_1112[PM 12]),SUMIF(Games_1112[ATHLETE 2],Analsyis_2314[[#This Row],[Atheletes ]],Games_1112[PM 12]),SUMIF(Games_1112[ATHLETE 3],Analsyis_2314[[#This Row],[Atheletes ]],Games_1112[PM 34]),SUMIF(Games_1112[ATHLETE 4],Analsyis_2314[[#This Row],[Atheletes ]],Games_1112[PM 34]))</f>
        <v>61</v>
      </c>
      <c r="G30" s="14" t="str">
        <f>IF(COUNTBLANK(Games_1112[[SCORE 1]:[SCORE 2]])=0,IF(RANK(H30,$H$27:$H$31)=1,RANK(H30,$H$27:$H$31)&amp;"st",IF(RANK(H30,$H$27:$H$31)=2,RANK(H30,$H$27:$H$31)&amp;"nd",IF(RANK(H30,$H$27:$H$31)=3,RANK(H30,$H$27:$H$31)&amp;"rd",RANK(H30,$H$27:$H$31)&amp;"th"))),"")</f>
        <v>5th</v>
      </c>
      <c r="H30" s="51">
        <f>Analsyis_2314[[#This Row],[WIN]]*1000000+Analsyis_2314[[#This Row],[Saldo]]*1000+Analsyis_2314[[#This Row],[PM]]</f>
        <v>993061</v>
      </c>
      <c r="I30" s="57">
        <f>H34</f>
        <v>-8933</v>
      </c>
      <c r="J30" s="57" t="str">
        <f>B34</f>
        <v>C1</v>
      </c>
      <c r="K30" s="56" t="str">
        <f t="shared" si="0"/>
        <v>14th</v>
      </c>
    </row>
    <row r="31" spans="1:20">
      <c r="A31" s="11" t="s">
        <v>180</v>
      </c>
      <c r="B31" s="29" t="s">
        <v>231</v>
      </c>
      <c r="C31" s="14">
        <f>SUM(COUNTIFS(Games_1112[ATHLETE 1],Analsyis_2314[[#This Row],[Atheletes ]],Games_1112[RESULT 12],"win"),COUNTIFS(Games_1112[ATHLETE 2],Analsyis_2314[[#This Row],[Atheletes ]],Games_1112[RESULT 12],"win"),COUNTIFS(Games_1112[ATHLETE 3],Analsyis_2314[[#This Row],[Atheletes ]],Games_1112[RESULT 34],"win"),COUNTIFS(Games_1112[ATHLETE 4],Analsyis_2314[[#This Row],[Atheletes ]],Games_1112[RESULT 34],"win"))</f>
        <v>2</v>
      </c>
      <c r="D31" s="14">
        <f>SUM(COUNTIFS(Games_1112[ATHLETE 1],Analsyis_2314[[#This Row],[Atheletes ]],Games_1112[RESULT 12],"lose"),COUNTIFS(Games_1112[ATHLETE 2],Analsyis_2314[[#This Row],[Atheletes ]],Games_1112[RESULT 12],"lose"),COUNTIFS(Games_1112[ATHLETE 3],Analsyis_2314[[#This Row],[Atheletes ]],Games_1112[RESULT 34],"lose"),COUNTIFS(Games_1112[ATHLETE 4],Analsyis_2314[[#This Row],[Atheletes ]],Games_1112[RESULT 34],"lose"))</f>
        <v>2</v>
      </c>
      <c r="E31" s="19">
        <f>SUM(SUMIF(Games_1112[ATHLETE 1],Analsyis_2314[[#This Row],[Atheletes ]],Games_1112[SALDO 12]),SUMIF(Games_1112[ATHLETE 2],Analsyis_2314[[#This Row],[Atheletes ]],Games_1112[SALDO 12]),SUMIF(Games_1112[ATHLETE 3],Analsyis_2314[[#This Row],[Atheletes ]],Games_1112[SALDO 34]),SUMIF(Games_1112[ATHLETE 4],Analsyis_2314[[#This Row],[Atheletes ]],Games_1112[SALDO 34]))</f>
        <v>-4</v>
      </c>
      <c r="F31" s="19">
        <f>SUM(SUMIF(Games_1112[ATHLETE 1],Analsyis_2314[[#This Row],[Atheletes ]],Games_1112[PM 12]),SUMIF(Games_1112[ATHLETE 2],Analsyis_2314[[#This Row],[Atheletes ]],Games_1112[PM 12]),SUMIF(Games_1112[ATHLETE 3],Analsyis_2314[[#This Row],[Atheletes ]],Games_1112[PM 34]),SUMIF(Games_1112[ATHLETE 4],Analsyis_2314[[#This Row],[Atheletes ]],Games_1112[PM 34]))</f>
        <v>63</v>
      </c>
      <c r="G31" s="14" t="str">
        <f>IF(COUNTBLANK(Games_1112[[SCORE 1]:[SCORE 2]])=0,IF(RANK(H31,$H$27:$H$31)=1,RANK(H31,$H$27:$H$31)&amp;"st",IF(RANK(H31,$H$27:$H$31)=2,RANK(H31,$H$27:$H$31)&amp;"nd",IF(RANK(H31,$H$27:$H$31)=3,RANK(H31,$H$27:$H$31)&amp;"rd",RANK(H31,$H$27:$H$31)&amp;"th"))),"")</f>
        <v>3rd</v>
      </c>
      <c r="H31" s="51">
        <f>Analsyis_2314[[#This Row],[WIN]]*1000000+Analsyis_2314[[#This Row],[Saldo]]*1000+Analsyis_2314[[#This Row],[PM]]</f>
        <v>1996063</v>
      </c>
      <c r="I31" s="57">
        <f t="shared" ref="I31:I34" si="4">H35</f>
        <v>3006072</v>
      </c>
      <c r="J31" s="57" t="str">
        <f t="shared" ref="J31:J34" si="5">B35</f>
        <v>C2</v>
      </c>
      <c r="K31" s="56" t="str">
        <f t="shared" si="0"/>
        <v>3rd</v>
      </c>
    </row>
    <row r="32" spans="1:20">
      <c r="I32" s="57">
        <f t="shared" si="4"/>
        <v>1998068</v>
      </c>
      <c r="J32" s="57" t="str">
        <f t="shared" si="5"/>
        <v>C3</v>
      </c>
      <c r="K32" s="56" t="str">
        <f t="shared" si="0"/>
        <v>10th</v>
      </c>
    </row>
    <row r="33" spans="1:11" ht="15.95">
      <c r="A33" s="9" t="s">
        <v>184</v>
      </c>
      <c r="B33" s="10" t="s">
        <v>185</v>
      </c>
      <c r="C33" s="10" t="s">
        <v>186</v>
      </c>
      <c r="D33" s="10" t="s">
        <v>187</v>
      </c>
      <c r="E33" s="10" t="s">
        <v>188</v>
      </c>
      <c r="F33" s="10" t="s">
        <v>189</v>
      </c>
      <c r="G33" s="7" t="s">
        <v>8</v>
      </c>
      <c r="H33" s="78" t="s">
        <v>190</v>
      </c>
      <c r="I33" s="57">
        <f t="shared" si="4"/>
        <v>3005074</v>
      </c>
      <c r="J33" s="57" t="str">
        <f t="shared" si="5"/>
        <v>C4</v>
      </c>
      <c r="K33" s="56" t="str">
        <f t="shared" si="0"/>
        <v>4th</v>
      </c>
    </row>
    <row r="34" spans="1:11">
      <c r="A34" s="430" t="s">
        <v>181</v>
      </c>
      <c r="B34" s="29" t="s">
        <v>213</v>
      </c>
      <c r="C34" s="14">
        <f>SUM(COUNTIFS(Games_1112[ATHLETE 1],Analysis_2416[[#This Row],[Atheletes ]],Games_1112[RESULT 12],"win"),COUNTIFS(Games_1112[ATHLETE 2],Analysis_2416[[#This Row],[Atheletes ]],Games_1112[RESULT 12],"win"),COUNTIFS(Games_1112[ATHLETE 3],Analysis_2416[[#This Row],[Atheletes ]],Games_1112[RESULT 34],"win"),COUNTIFS(Games_1112[ATHLETE 4],Analysis_2416[[#This Row],[Atheletes ]],Games_1112[RESULT 34],"win"))</f>
        <v>0</v>
      </c>
      <c r="D34" s="14">
        <f>SUM(COUNTIFS(Games_1112[ATHLETE 1],Analysis_2416[[#This Row],[Atheletes ]],Games_1112[RESULT 12],"lose"),COUNTIFS(Games_1112[ATHLETE 2],Analysis_2416[[#This Row],[Atheletes ]],Games_1112[RESULT 12],"lose"),COUNTIFS(Games_1112[ATHLETE 3],Analysis_2416[[#This Row],[Atheletes ]],Games_1112[RESULT 34],"lose"),COUNTIFS(Games_1112[ATHLETE 4],Analysis_2416[[#This Row],[Atheletes ]],Games_1112[RESULT 34],"lose"))</f>
        <v>4</v>
      </c>
      <c r="E34" s="19">
        <f>SUM(SUMIF(Games_1112[ATHLETE 1],Analysis_2416[[#This Row],[Atheletes ]],Games_1112[SALDO 12]),SUMIF(Games_1112[ATHLETE 2],Analysis_2416[[#This Row],[Atheletes ]],Games_1112[SALDO 12]),SUMIF(Games_1112[ATHLETE 3],Analysis_2416[[#This Row],[Atheletes ]],Games_1112[SALDO 34]),SUMIF(Games_1112[ATHLETE 4],Analysis_2416[[#This Row],[Atheletes ]],Games_1112[SALDO 34]))</f>
        <v>-9</v>
      </c>
      <c r="F34" s="19">
        <f>SUM(SUMIF(Games_1112[ATHLETE 1],Analysis_2416[[#This Row],[Atheletes ]],Games_1112[PM 12]),SUMIF(Games_1112[ATHLETE 2],Analysis_2416[[#This Row],[Atheletes ]],Games_1112[PM 12]),SUMIF(Games_1112[ATHLETE 3],Analysis_2416[[#This Row],[Atheletes ]],Games_1112[PM 34]),SUMIF(Games_1112[ATHLETE 4],Analysis_2416[[#This Row],[Atheletes ]],Games_1112[PM 34]))</f>
        <v>67</v>
      </c>
      <c r="G34" s="14" t="str">
        <f>IF(COUNTBLANK(Games_1112[[SCORE 1]:[SCORE 2]])=0,IF(RANK(H34,$H$34:$H$38)=1,RANK(H34,$H$34:$H$38)&amp;"st",IF(RANK(H34,$H$34:$H$38)=2,RANK(H34,$H$34:$H$38)&amp;"nd",IF(RANK(H34,$H$34:$H$38)=3,RANK(H34,$H$34:$H$38)&amp;"rd",RANK(H34,$H$34:$H$38)&amp;"th"))),"")</f>
        <v>5th</v>
      </c>
      <c r="H34" s="85">
        <f>Analysis_2416[[#This Row],[WIN]]*1000000+Analysis_2416[[#This Row],[Saldo]]*1000+Analysis_2416[[#This Row],[PM]]</f>
        <v>-8933</v>
      </c>
      <c r="I34" s="57">
        <f t="shared" si="4"/>
        <v>2000071</v>
      </c>
      <c r="J34" s="57" t="str">
        <f t="shared" si="5"/>
        <v>C5</v>
      </c>
      <c r="K34" s="56" t="str">
        <f t="shared" si="0"/>
        <v>9th</v>
      </c>
    </row>
    <row r="35" spans="1:11">
      <c r="A35" s="430" t="s">
        <v>181</v>
      </c>
      <c r="B35" s="29" t="s">
        <v>214</v>
      </c>
      <c r="C35" s="14">
        <f>SUM(COUNTIFS(Games_1112[ATHLETE 1],Analysis_2416[[#This Row],[Atheletes ]],Games_1112[RESULT 12],"win"),COUNTIFS(Games_1112[ATHLETE 2],Analysis_2416[[#This Row],[Atheletes ]],Games_1112[RESULT 12],"win"),COUNTIFS(Games_1112[ATHLETE 3],Analysis_2416[[#This Row],[Atheletes ]],Games_1112[RESULT 34],"win"),COUNTIFS(Games_1112[ATHLETE 4],Analysis_2416[[#This Row],[Atheletes ]],Games_1112[RESULT 34],"win"))</f>
        <v>3</v>
      </c>
      <c r="D35" s="14">
        <f>SUM(COUNTIFS(Games_1112[ATHLETE 1],Analysis_2416[[#This Row],[Atheletes ]],Games_1112[RESULT 12],"lose"),COUNTIFS(Games_1112[ATHLETE 2],Analysis_2416[[#This Row],[Atheletes ]],Games_1112[RESULT 12],"lose"),COUNTIFS(Games_1112[ATHLETE 3],Analysis_2416[[#This Row],[Atheletes ]],Games_1112[RESULT 34],"lose"),COUNTIFS(Games_1112[ATHLETE 4],Analysis_2416[[#This Row],[Atheletes ]],Games_1112[RESULT 34],"lose"))</f>
        <v>1</v>
      </c>
      <c r="E35" s="19">
        <f>SUM(SUMIF(Games_1112[ATHLETE 1],Analysis_2416[[#This Row],[Atheletes ]],Games_1112[SALDO 12]),SUMIF(Games_1112[ATHLETE 2],Analysis_2416[[#This Row],[Atheletes ]],Games_1112[SALDO 12]),SUMIF(Games_1112[ATHLETE 3],Analysis_2416[[#This Row],[Atheletes ]],Games_1112[SALDO 34]),SUMIF(Games_1112[ATHLETE 4],Analysis_2416[[#This Row],[Atheletes ]],Games_1112[SALDO 34]))</f>
        <v>6</v>
      </c>
      <c r="F35" s="19">
        <f>SUM(SUMIF(Games_1112[ATHLETE 1],Analysis_2416[[#This Row],[Atheletes ]],Games_1112[PM 12]),SUMIF(Games_1112[ATHLETE 2],Analysis_2416[[#This Row],[Atheletes ]],Games_1112[PM 12]),SUMIF(Games_1112[ATHLETE 3],Analysis_2416[[#This Row],[Atheletes ]],Games_1112[PM 34]),SUMIF(Games_1112[ATHLETE 4],Analysis_2416[[#This Row],[Atheletes ]],Games_1112[PM 34]))</f>
        <v>72</v>
      </c>
      <c r="G35" s="14" t="str">
        <f>IF(COUNTBLANK(Games_1112[[SCORE 1]:[SCORE 2]])=0,IF(RANK(H35,$H$34:$H$38)=1,RANK(H35,$H$34:$H$38)&amp;"st",IF(RANK(H35,$H$34:$H$38)=2,RANK(H35,$H$34:$H$38)&amp;"nd",IF(RANK(H35,$H$34:$H$38)=3,RANK(H35,$H$34:$H$38)&amp;"rd",RANK(H35,$H$34:$H$38)&amp;"th"))),"")</f>
        <v>1st</v>
      </c>
      <c r="H35" s="85">
        <f>Analysis_2416[[#This Row],[WIN]]*1000000+Analysis_2416[[#This Row],[Saldo]]*1000+Analysis_2416[[#This Row],[PM]]</f>
        <v>3006072</v>
      </c>
    </row>
    <row r="36" spans="1:11">
      <c r="A36" s="430" t="s">
        <v>181</v>
      </c>
      <c r="B36" s="29" t="s">
        <v>216</v>
      </c>
      <c r="C36" s="14">
        <f>SUM(COUNTIFS(Games_1112[ATHLETE 1],Analysis_2416[[#This Row],[Atheletes ]],Games_1112[RESULT 12],"win"),COUNTIFS(Games_1112[ATHLETE 2],Analysis_2416[[#This Row],[Atheletes ]],Games_1112[RESULT 12],"win"),COUNTIFS(Games_1112[ATHLETE 3],Analysis_2416[[#This Row],[Atheletes ]],Games_1112[RESULT 34],"win"),COUNTIFS(Games_1112[ATHLETE 4],Analysis_2416[[#This Row],[Atheletes ]],Games_1112[RESULT 34],"win"))</f>
        <v>2</v>
      </c>
      <c r="D36" s="14">
        <f>SUM(COUNTIFS(Games_1112[ATHLETE 1],Analysis_2416[[#This Row],[Atheletes ]],Games_1112[RESULT 12],"lose"),COUNTIFS(Games_1112[ATHLETE 2],Analysis_2416[[#This Row],[Atheletes ]],Games_1112[RESULT 12],"lose"),COUNTIFS(Games_1112[ATHLETE 3],Analysis_2416[[#This Row],[Atheletes ]],Games_1112[RESULT 34],"lose"),COUNTIFS(Games_1112[ATHLETE 4],Analysis_2416[[#This Row],[Atheletes ]],Games_1112[RESULT 34],"lose"))</f>
        <v>2</v>
      </c>
      <c r="E36" s="19">
        <f>SUM(SUMIF(Games_1112[ATHLETE 1],Analysis_2416[[#This Row],[Atheletes ]],Games_1112[SALDO 12]),SUMIF(Games_1112[ATHLETE 2],Analysis_2416[[#This Row],[Atheletes ]],Games_1112[SALDO 12]),SUMIF(Games_1112[ATHLETE 3],Analysis_2416[[#This Row],[Atheletes ]],Games_1112[SALDO 34]),SUMIF(Games_1112[ATHLETE 4],Analysis_2416[[#This Row],[Atheletes ]],Games_1112[SALDO 34]))</f>
        <v>-2</v>
      </c>
      <c r="F36" s="19">
        <f>SUM(SUMIF(Games_1112[ATHLETE 1],Analysis_2416[[#This Row],[Atheletes ]],Games_1112[PM 12]),SUMIF(Games_1112[ATHLETE 2],Analysis_2416[[#This Row],[Atheletes ]],Games_1112[PM 12]),SUMIF(Games_1112[ATHLETE 3],Analysis_2416[[#This Row],[Atheletes ]],Games_1112[PM 34]),SUMIF(Games_1112[ATHLETE 4],Analysis_2416[[#This Row],[Atheletes ]],Games_1112[PM 34]))</f>
        <v>68</v>
      </c>
      <c r="G36" s="14" t="str">
        <f>IF(COUNTBLANK(Games_1112[[SCORE 1]:[SCORE 2]])=0,IF(RANK(H36,$H$34:$H$38)=1,RANK(H36,$H$34:$H$38)&amp;"st",IF(RANK(H36,$H$34:$H$38)=2,RANK(H36,$H$34:$H$38)&amp;"nd",IF(RANK(H36,$H$34:$H$38)=3,RANK(H36,$H$34:$H$38)&amp;"rd",RANK(H36,$H$34:$H$38)&amp;"th"))),"")</f>
        <v>4th</v>
      </c>
      <c r="H36" s="85">
        <f>Analysis_2416[[#This Row],[WIN]]*1000000+Analysis_2416[[#This Row],[Saldo]]*1000+Analysis_2416[[#This Row],[PM]]</f>
        <v>1998068</v>
      </c>
    </row>
    <row r="37" spans="1:11">
      <c r="A37" s="430" t="s">
        <v>181</v>
      </c>
      <c r="B37" s="29" t="s">
        <v>217</v>
      </c>
      <c r="C37" s="14">
        <f>SUM(COUNTIFS(Games_1112[ATHLETE 1],Analysis_2416[[#This Row],[Atheletes ]],Games_1112[RESULT 12],"win"),COUNTIFS(Games_1112[ATHLETE 2],Analysis_2416[[#This Row],[Atheletes ]],Games_1112[RESULT 12],"win"),COUNTIFS(Games_1112[ATHLETE 3],Analysis_2416[[#This Row],[Atheletes ]],Games_1112[RESULT 34],"win"),COUNTIFS(Games_1112[ATHLETE 4],Analysis_2416[[#This Row],[Atheletes ]],Games_1112[RESULT 34],"win"))</f>
        <v>3</v>
      </c>
      <c r="D37" s="14">
        <f>SUM(COUNTIFS(Games_1112[ATHLETE 1],Analysis_2416[[#This Row],[Atheletes ]],Games_1112[RESULT 12],"lose"),COUNTIFS(Games_1112[ATHLETE 2],Analysis_2416[[#This Row],[Atheletes ]],Games_1112[RESULT 12],"lose"),COUNTIFS(Games_1112[ATHLETE 3],Analysis_2416[[#This Row],[Atheletes ]],Games_1112[RESULT 34],"lose"),COUNTIFS(Games_1112[ATHLETE 4],Analysis_2416[[#This Row],[Atheletes ]],Games_1112[RESULT 34],"lose"))</f>
        <v>1</v>
      </c>
      <c r="E37" s="19">
        <f>SUM(SUMIF(Games_1112[ATHLETE 1],Analysis_2416[[#This Row],[Atheletes ]],Games_1112[SALDO 12]),SUMIF(Games_1112[ATHLETE 2],Analysis_2416[[#This Row],[Atheletes ]],Games_1112[SALDO 12]),SUMIF(Games_1112[ATHLETE 3],Analysis_2416[[#This Row],[Atheletes ]],Games_1112[SALDO 34]),SUMIF(Games_1112[ATHLETE 4],Analysis_2416[[#This Row],[Atheletes ]],Games_1112[SALDO 34]))</f>
        <v>5</v>
      </c>
      <c r="F37" s="19">
        <f>SUM(SUMIF(Games_1112[ATHLETE 1],Analysis_2416[[#This Row],[Atheletes ]],Games_1112[PM 12]),SUMIF(Games_1112[ATHLETE 2],Analysis_2416[[#This Row],[Atheletes ]],Games_1112[PM 12]),SUMIF(Games_1112[ATHLETE 3],Analysis_2416[[#This Row],[Atheletes ]],Games_1112[PM 34]),SUMIF(Games_1112[ATHLETE 4],Analysis_2416[[#This Row],[Atheletes ]],Games_1112[PM 34]))</f>
        <v>74</v>
      </c>
      <c r="G37" s="14" t="str">
        <f>IF(COUNTBLANK(Games_1112[[SCORE 1]:[SCORE 2]])=0,IF(RANK(H37,$H$34:$H$38)=1,RANK(H37,$H$34:$H$38)&amp;"st",IF(RANK(H37,$H$34:$H$38)=2,RANK(H37,$H$34:$H$38)&amp;"nd",IF(RANK(H37,$H$34:$H$38)=3,RANK(H37,$H$34:$H$38)&amp;"rd",RANK(H37,$H$34:$H$38)&amp;"th"))),"")</f>
        <v>2nd</v>
      </c>
      <c r="H37" s="85">
        <f>Analysis_2416[[#This Row],[WIN]]*1000000+Analysis_2416[[#This Row],[Saldo]]*1000+Analysis_2416[[#This Row],[PM]]</f>
        <v>3005074</v>
      </c>
    </row>
    <row r="38" spans="1:11">
      <c r="A38" s="11" t="s">
        <v>181</v>
      </c>
      <c r="B38" s="29" t="s">
        <v>232</v>
      </c>
      <c r="C38" s="14">
        <f>SUM(COUNTIFS(Games_1112[ATHLETE 1],Analysis_2416[[#This Row],[Atheletes ]],Games_1112[RESULT 12],"win"),COUNTIFS(Games_1112[ATHLETE 2],Analysis_2416[[#This Row],[Atheletes ]],Games_1112[RESULT 12],"win"),COUNTIFS(Games_1112[ATHLETE 3],Analysis_2416[[#This Row],[Atheletes ]],Games_1112[RESULT 34],"win"),COUNTIFS(Games_1112[ATHLETE 4],Analysis_2416[[#This Row],[Atheletes ]],Games_1112[RESULT 34],"win"))</f>
        <v>2</v>
      </c>
      <c r="D38" s="14">
        <f>SUM(COUNTIFS(Games_1112[ATHLETE 1],Analysis_2416[[#This Row],[Atheletes ]],Games_1112[RESULT 12],"lose"),COUNTIFS(Games_1112[ATHLETE 2],Analysis_2416[[#This Row],[Atheletes ]],Games_1112[RESULT 12],"lose"),COUNTIFS(Games_1112[ATHLETE 3],Analysis_2416[[#This Row],[Atheletes ]],Games_1112[RESULT 34],"lose"),COUNTIFS(Games_1112[ATHLETE 4],Analysis_2416[[#This Row],[Atheletes ]],Games_1112[RESULT 34],"lose"))</f>
        <v>2</v>
      </c>
      <c r="E38" s="19">
        <f>SUM(SUMIF(Games_1112[ATHLETE 1],Analysis_2416[[#This Row],[Atheletes ]],Games_1112[SALDO 12]),SUMIF(Games_1112[ATHLETE 2],Analysis_2416[[#This Row],[Atheletes ]],Games_1112[SALDO 12]),SUMIF(Games_1112[ATHLETE 3],Analysis_2416[[#This Row],[Atheletes ]],Games_1112[SALDO 34]),SUMIF(Games_1112[ATHLETE 4],Analysis_2416[[#This Row],[Atheletes ]],Games_1112[SALDO 34]))</f>
        <v>0</v>
      </c>
      <c r="F38" s="19">
        <f>SUM(SUMIF(Games_1112[ATHLETE 1],Analysis_2416[[#This Row],[Atheletes ]],Games_1112[PM 12]),SUMIF(Games_1112[ATHLETE 2],Analysis_2416[[#This Row],[Atheletes ]],Games_1112[PM 12]),SUMIF(Games_1112[ATHLETE 3],Analysis_2416[[#This Row],[Atheletes ]],Games_1112[PM 34]),SUMIF(Games_1112[ATHLETE 4],Analysis_2416[[#This Row],[Atheletes ]],Games_1112[PM 34]))</f>
        <v>71</v>
      </c>
      <c r="G38" s="14" t="str">
        <f>IF(COUNTBLANK(Games_1112[[SCORE 1]:[SCORE 2]])=0,IF(RANK(H38,$H$34:$H$38)=1,RANK(H38,$H$34:$H$38)&amp;"st",IF(RANK(H38,$H$34:$H$38)=2,RANK(H38,$H$34:$H$38)&amp;"nd",IF(RANK(H38,$H$34:$H$38)=3,RANK(H38,$H$34:$H$38)&amp;"rd",RANK(H38,$H$34:$H$38)&amp;"th"))),"")</f>
        <v>3rd</v>
      </c>
      <c r="H38" s="85">
        <f>Analysis_2416[[#This Row],[WIN]]*1000000+Analysis_2416[[#This Row],[Saldo]]*1000+Analysis_2416[[#This Row],[PM]]</f>
        <v>2000071</v>
      </c>
    </row>
    <row r="40" spans="1:11">
      <c r="A40" t="s">
        <v>330</v>
      </c>
    </row>
  </sheetData>
  <sheetProtection algorithmName="SHA-512" hashValue="xdPYqyL4A1WuHP+SvJMRafMRvPMGzVu3Yki5GsT6uTuKmJ8Br4OXv7/REZPlMklDQp/dLfjb2uOKHL4BiZEXyQ==" saltValue="uvOgFsuFHmSO+p1Y+MJpSA==" spinCount="100000" sheet="1" objects="1" scenarios="1"/>
  <mergeCells count="7">
    <mergeCell ref="N26:O26"/>
    <mergeCell ref="A1:A16"/>
    <mergeCell ref="S1:T1"/>
    <mergeCell ref="A18:G18"/>
    <mergeCell ref="L18:Q18"/>
    <mergeCell ref="N19:O19"/>
    <mergeCell ref="L25:Q25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9B83-839D-D649-855F-560EDAA83A30}">
  <sheetPr codeName="Sheet30"/>
  <dimension ref="A1:AA41"/>
  <sheetViews>
    <sheetView workbookViewId="0">
      <selection activeCell="E2" sqref="E2:F13"/>
    </sheetView>
    <sheetView workbookViewId="1">
      <selection sqref="A1:A12"/>
    </sheetView>
  </sheetViews>
  <sheetFormatPr defaultColWidth="8.85546875" defaultRowHeight="15"/>
  <cols>
    <col min="1" max="1" width="9.7109375" customWidth="1"/>
    <col min="2" max="2" width="14.85546875" customWidth="1"/>
    <col min="3" max="4" width="20" customWidth="1"/>
    <col min="5" max="6" width="9.7109375" customWidth="1"/>
    <col min="7" max="7" width="20" customWidth="1"/>
    <col min="8" max="8" width="11.28515625" customWidth="1"/>
    <col min="9" max="9" width="12" customWidth="1"/>
    <col min="10" max="10" width="10.7109375" customWidth="1"/>
    <col min="11" max="11" width="8" customWidth="1"/>
    <col min="12" max="12" width="20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20" customWidth="1"/>
    <col min="21" max="22" width="9.7109375" bestFit="1" customWidth="1"/>
  </cols>
  <sheetData>
    <row r="1" spans="1:21" ht="15" customHeight="1">
      <c r="A1" s="551" t="s">
        <v>322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323</v>
      </c>
      <c r="U1" s="545"/>
    </row>
    <row r="2" spans="1:21" ht="15" customHeight="1">
      <c r="A2" s="551"/>
      <c r="B2" s="13" t="s">
        <v>178</v>
      </c>
      <c r="C2" s="1" t="str">
        <f>B17</f>
        <v>A1</v>
      </c>
      <c r="D2" s="32" t="str">
        <f>B18</f>
        <v>A2</v>
      </c>
      <c r="E2" s="116"/>
      <c r="F2" s="116"/>
      <c r="G2" s="31" t="str">
        <f>B19</f>
        <v>A3</v>
      </c>
      <c r="H2" s="63"/>
      <c r="I2" s="63"/>
      <c r="J2" s="63"/>
      <c r="K2" s="63"/>
      <c r="L2" s="16" t="str">
        <f>B20</f>
        <v>A4</v>
      </c>
      <c r="M2" s="13" t="str">
        <f>IF(OR(Games_4[[#This Row],[SCORE 1]]="",Games_4[[#This Row],[SCORE 2]]=""),"",Games_4[[#This Row],[SCORE 1]]-Games_4[[#This Row],[SCORE 2]])</f>
        <v/>
      </c>
      <c r="N2" s="13" t="str">
        <f>IF(OR(Games_4[[#This Row],[SCORE 1]]="",Games_4[[#This Row],[SCORE 2]]=""),"",Games_4[[#This Row],[SCORE 2]]-Games_4[[#This Row],[SCORE 1]])</f>
        <v/>
      </c>
      <c r="O2" s="13" t="str">
        <f>IF(Games_4[[#This Row],[SCORE 1]]="","",Games_4[[#This Row],[SCORE 1]])</f>
        <v/>
      </c>
      <c r="P2" s="13" t="str">
        <f>IF(Games_4[[#This Row],[SCORE 2]]="","",Games_4[[#This Row],[SCORE 2]])</f>
        <v/>
      </c>
      <c r="Q2" s="13" t="str">
        <f>IF(OR(Games_4[[#This Row],[SCORE 1]]="",Games_4[[#This Row],[SCORE 2]]=""),"",IF(Games_4[[#This Row],[SALDO 12]]&gt;0, "WIN","LOSE"))</f>
        <v/>
      </c>
      <c r="R2" s="13" t="str">
        <f>IF(OR(Games_4[[#This Row],[SCORE 1]]="",Games_4[[#This Row],[SCORE 2]]=""),"",IF(Games_4[[#This Row],[SALDO 34]]&gt;0, "WIN","LOSE"))</f>
        <v/>
      </c>
      <c r="T2" s="35" t="s">
        <v>179</v>
      </c>
      <c r="U2" s="35" t="s">
        <v>8</v>
      </c>
    </row>
    <row r="3" spans="1:21">
      <c r="A3" s="551"/>
      <c r="B3" s="13" t="s">
        <v>180</v>
      </c>
      <c r="C3" s="1" t="str">
        <f>B23</f>
        <v>B1</v>
      </c>
      <c r="D3" s="32" t="str">
        <f>B24</f>
        <v>B2</v>
      </c>
      <c r="E3" s="116"/>
      <c r="F3" s="116"/>
      <c r="G3" s="31" t="str">
        <f>B25</f>
        <v>B3</v>
      </c>
      <c r="H3" s="63"/>
      <c r="I3" s="63"/>
      <c r="J3" s="63"/>
      <c r="K3" s="63"/>
      <c r="L3" s="16" t="str">
        <f>B26</f>
        <v>B4</v>
      </c>
      <c r="M3" s="13" t="str">
        <f>IF(OR(Games_4[[#This Row],[SCORE 1]]="",Games_4[[#This Row],[SCORE 2]]=""),"",Games_4[[#This Row],[SCORE 1]]-Games_4[[#This Row],[SCORE 2]])</f>
        <v/>
      </c>
      <c r="N3" s="13" t="str">
        <f>IF(OR(Games_4[[#This Row],[SCORE 1]]="",Games_4[[#This Row],[SCORE 2]]=""),"",Games_4[[#This Row],[SCORE 2]]-Games_4[[#This Row],[SCORE 1]])</f>
        <v/>
      </c>
      <c r="O3" s="13" t="str">
        <f>IF(Games_4[[#This Row],[SCORE 1]]="","",Games_4[[#This Row],[SCORE 1]])</f>
        <v/>
      </c>
      <c r="P3" s="13" t="str">
        <f>IF(Games_4[[#This Row],[SCORE 2]]="","",Games_4[[#This Row],[SCORE 2]])</f>
        <v/>
      </c>
      <c r="Q3" s="13" t="str">
        <f>IF(OR(Games_4[[#This Row],[SCORE 1]]="",Games_4[[#This Row],[SCORE 2]]=""),"",IF(Games_4[[#This Row],[SALDO 12]]&gt;0, "WIN","LOSE"))</f>
        <v/>
      </c>
      <c r="R3" s="13" t="str">
        <f>IF(OR(Games_4[[#This Row],[SCORE 1]]="",Games_4[[#This Row],[SCORE 2]]=""),"",IF(Games_4[[#This Row],[SALDO 34]]&gt;0, "WIN","LOSE"))</f>
        <v/>
      </c>
      <c r="T3" s="66" t="str">
        <f>_xlfn.XLOOKUP(Table152028325060729321[[#This Row],[Rank]],$M$36:$R$36,$M$35:$R$35,"")</f>
        <v/>
      </c>
      <c r="U3" s="67" t="s">
        <v>19</v>
      </c>
    </row>
    <row r="4" spans="1:21">
      <c r="A4" s="551"/>
      <c r="B4" s="13" t="s">
        <v>181</v>
      </c>
      <c r="C4" s="1" t="str">
        <f>B29</f>
        <v>C1</v>
      </c>
      <c r="D4" s="32" t="str">
        <f>B30</f>
        <v>C2</v>
      </c>
      <c r="E4" s="116"/>
      <c r="F4" s="116"/>
      <c r="G4" s="31" t="str">
        <f>B31</f>
        <v>C3</v>
      </c>
      <c r="H4" s="63"/>
      <c r="I4" s="63"/>
      <c r="J4" s="63"/>
      <c r="K4" s="63"/>
      <c r="L4" s="16" t="str">
        <f>B32</f>
        <v>C4</v>
      </c>
      <c r="M4" s="13" t="str">
        <f>IF(OR(Games_4[[#This Row],[SCORE 1]]="",Games_4[[#This Row],[SCORE 2]]=""),"",Games_4[[#This Row],[SCORE 1]]-Games_4[[#This Row],[SCORE 2]])</f>
        <v/>
      </c>
      <c r="N4" s="13" t="str">
        <f>IF(OR(Games_4[[#This Row],[SCORE 1]]="",Games_4[[#This Row],[SCORE 2]]=""),"",Games_4[[#This Row],[SCORE 2]]-Games_4[[#This Row],[SCORE 1]])</f>
        <v/>
      </c>
      <c r="O4" s="13" t="str">
        <f>IF(Games_4[[#This Row],[SCORE 1]]="","",Games_4[[#This Row],[SCORE 1]])</f>
        <v/>
      </c>
      <c r="P4" s="13" t="str">
        <f>IF(Games_4[[#This Row],[SCORE 2]]="","",Games_4[[#This Row],[SCORE 2]])</f>
        <v/>
      </c>
      <c r="Q4" s="13" t="str">
        <f>IF(OR(Games_4[[#This Row],[SCORE 1]]="",Games_4[[#This Row],[SCORE 2]]=""),"",IF(Games_4[[#This Row],[SALDO 12]]&gt;0, "WIN","LOSE"))</f>
        <v/>
      </c>
      <c r="R4" s="13" t="str">
        <f>IF(OR(Games_4[[#This Row],[SCORE 1]]="",Games_4[[#This Row],[SCORE 2]]=""),"",IF(Games_4[[#This Row],[SALDO 34]]&gt;0, "WIN","LOSE"))</f>
        <v/>
      </c>
      <c r="T4" s="66" t="str">
        <f>_xlfn.XLOOKUP(Table152028325060729321[[#This Row],[Rank]],$M$36:$R$36,$M$35:$R$35,"")</f>
        <v/>
      </c>
      <c r="U4" s="67" t="s">
        <v>22</v>
      </c>
    </row>
    <row r="5" spans="1:21">
      <c r="A5" s="551"/>
      <c r="B5" s="13" t="s">
        <v>225</v>
      </c>
      <c r="C5" s="1" t="str">
        <f>B35</f>
        <v>D1</v>
      </c>
      <c r="D5" s="32" t="str">
        <f>B36</f>
        <v>D2</v>
      </c>
      <c r="E5" s="116"/>
      <c r="F5" s="116"/>
      <c r="G5" s="31" t="str">
        <f>B37</f>
        <v>D3</v>
      </c>
      <c r="H5" s="63"/>
      <c r="I5" s="63"/>
      <c r="J5" s="63"/>
      <c r="K5" s="63"/>
      <c r="L5" s="16" t="str">
        <f>B38</f>
        <v>D4</v>
      </c>
      <c r="M5" s="13" t="str">
        <f>IF(OR(Games_4[[#This Row],[SCORE 1]]="",Games_4[[#This Row],[SCORE 2]]=""),"",Games_4[[#This Row],[SCORE 1]]-Games_4[[#This Row],[SCORE 2]])</f>
        <v/>
      </c>
      <c r="N5" s="13" t="str">
        <f>IF(OR(Games_4[[#This Row],[SCORE 1]]="",Games_4[[#This Row],[SCORE 2]]=""),"",Games_4[[#This Row],[SCORE 2]]-Games_4[[#This Row],[SCORE 1]])</f>
        <v/>
      </c>
      <c r="O5" s="13" t="str">
        <f>IF(Games_4[[#This Row],[SCORE 1]]="","",Games_4[[#This Row],[SCORE 1]])</f>
        <v/>
      </c>
      <c r="P5" s="13" t="str">
        <f>IF(Games_4[[#This Row],[SCORE 2]]="","",Games_4[[#This Row],[SCORE 2]])</f>
        <v/>
      </c>
      <c r="Q5" s="13" t="str">
        <f>IF(OR(Games_4[[#This Row],[SCORE 1]]="",Games_4[[#This Row],[SCORE 2]]=""),"",IF(Games_4[[#This Row],[SALDO 12]]&gt;0, "WIN","LOSE"))</f>
        <v/>
      </c>
      <c r="R5" s="13" t="str">
        <f>IF(OR(Games_4[[#This Row],[SCORE 1]]="",Games_4[[#This Row],[SCORE 2]]=""),"",IF(Games_4[[#This Row],[SALDO 34]]&gt;0, "WIN","LOSE"))</f>
        <v/>
      </c>
      <c r="T5" s="66" t="str">
        <f>_xlfn.XLOOKUP(Table152028325060729321[[#This Row],[Rank]],$M$29:$R$29,$M$28:$R$28,"")</f>
        <v/>
      </c>
      <c r="U5" s="67" t="s">
        <v>25</v>
      </c>
    </row>
    <row r="6" spans="1:21">
      <c r="A6" s="551"/>
      <c r="B6" s="13" t="s">
        <v>178</v>
      </c>
      <c r="C6" s="1" t="str">
        <f>B17</f>
        <v>A1</v>
      </c>
      <c r="D6" s="32" t="str">
        <f>B20</f>
        <v>A4</v>
      </c>
      <c r="E6" s="116"/>
      <c r="F6" s="116"/>
      <c r="G6" s="31" t="str">
        <f>B18</f>
        <v>A2</v>
      </c>
      <c r="H6" s="63"/>
      <c r="I6" s="63"/>
      <c r="J6" s="63"/>
      <c r="K6" s="63"/>
      <c r="L6" s="16" t="str">
        <f>B19</f>
        <v>A3</v>
      </c>
      <c r="M6" s="13" t="str">
        <f>IF(OR(Games_4[[#This Row],[SCORE 1]]="",Games_4[[#This Row],[SCORE 2]]=""),"",Games_4[[#This Row],[SCORE 1]]-Games_4[[#This Row],[SCORE 2]])</f>
        <v/>
      </c>
      <c r="N6" s="13" t="str">
        <f>IF(OR(Games_4[[#This Row],[SCORE 1]]="",Games_4[[#This Row],[SCORE 2]]=""),"",Games_4[[#This Row],[SCORE 2]]-Games_4[[#This Row],[SCORE 1]])</f>
        <v/>
      </c>
      <c r="O6" s="13" t="str">
        <f>IF(Games_4[[#This Row],[SCORE 1]]="","",Games_4[[#This Row],[SCORE 1]])</f>
        <v/>
      </c>
      <c r="P6" s="13" t="str">
        <f>IF(Games_4[[#This Row],[SCORE 2]]="","",Games_4[[#This Row],[SCORE 2]])</f>
        <v/>
      </c>
      <c r="Q6" s="13" t="str">
        <f>IF(OR(Games_4[[#This Row],[SCORE 1]]="",Games_4[[#This Row],[SCORE 2]]=""),"",IF(Games_4[[#This Row],[SALDO 12]]&gt;0, "WIN","LOSE"))</f>
        <v/>
      </c>
      <c r="R6" s="13" t="str">
        <f>IF(OR(Games_4[[#This Row],[SCORE 1]]="",Games_4[[#This Row],[SCORE 2]]=""),"",IF(Games_4[[#This Row],[SALDO 34]]&gt;0, "WIN","LOSE"))</f>
        <v/>
      </c>
      <c r="T6" s="66" t="str">
        <f>_xlfn.XLOOKUP(Table152028325060729321[[#This Row],[Rank]],$M$29:$R$29,$M$28:$R$28,"")</f>
        <v/>
      </c>
      <c r="U6" s="67" t="s">
        <v>28</v>
      </c>
    </row>
    <row r="7" spans="1:21">
      <c r="A7" s="551"/>
      <c r="B7" s="13" t="s">
        <v>180</v>
      </c>
      <c r="C7" s="1" t="str">
        <f>B23</f>
        <v>B1</v>
      </c>
      <c r="D7" s="32" t="str">
        <f>B26</f>
        <v>B4</v>
      </c>
      <c r="E7" s="116"/>
      <c r="F7" s="116"/>
      <c r="G7" s="31" t="str">
        <f>B24</f>
        <v>B2</v>
      </c>
      <c r="H7" s="63"/>
      <c r="I7" s="63"/>
      <c r="J7" s="63"/>
      <c r="K7" s="63"/>
      <c r="L7" s="16" t="str">
        <f>B25</f>
        <v>B3</v>
      </c>
      <c r="M7" s="13" t="str">
        <f>IF(OR(Games_4[[#This Row],[SCORE 1]]="",Games_4[[#This Row],[SCORE 2]]=""),"",Games_4[[#This Row],[SCORE 1]]-Games_4[[#This Row],[SCORE 2]])</f>
        <v/>
      </c>
      <c r="N7" s="13" t="str">
        <f>IF(OR(Games_4[[#This Row],[SCORE 1]]="",Games_4[[#This Row],[SCORE 2]]=""),"",Games_4[[#This Row],[SCORE 2]]-Games_4[[#This Row],[SCORE 1]])</f>
        <v/>
      </c>
      <c r="O7" s="13" t="str">
        <f>IF(Games_4[[#This Row],[SCORE 1]]="","",Games_4[[#This Row],[SCORE 1]])</f>
        <v/>
      </c>
      <c r="P7" s="13" t="str">
        <f>IF(Games_4[[#This Row],[SCORE 2]]="","",Games_4[[#This Row],[SCORE 2]])</f>
        <v/>
      </c>
      <c r="Q7" s="13" t="str">
        <f>IF(OR(Games_4[[#This Row],[SCORE 1]]="",Games_4[[#This Row],[SCORE 2]]=""),"",IF(Games_4[[#This Row],[SALDO 12]]&gt;0, "WIN","LOSE"))</f>
        <v/>
      </c>
      <c r="R7" s="13" t="str">
        <f>IF(OR(Games_4[[#This Row],[SCORE 1]]="",Games_4[[#This Row],[SCORE 2]]=""),"",IF(Games_4[[#This Row],[SALDO 34]]&gt;0, "WIN","LOSE"))</f>
        <v/>
      </c>
      <c r="T7" s="66" t="str" cm="1">
        <f t="array" ref="T7">_xlfn.TEXTJOIN(", ", TRUE, _xlfn._xlws.FILTER($T$27:$W$27, $T$26:$W$26=U7,""))</f>
        <v/>
      </c>
      <c r="U7" s="67" t="s">
        <v>31</v>
      </c>
    </row>
    <row r="8" spans="1:21">
      <c r="A8" s="551"/>
      <c r="B8" s="13" t="s">
        <v>181</v>
      </c>
      <c r="C8" s="1" t="str">
        <f>B29</f>
        <v>C1</v>
      </c>
      <c r="D8" s="32" t="str">
        <f>B32</f>
        <v>C4</v>
      </c>
      <c r="E8" s="116"/>
      <c r="F8" s="116"/>
      <c r="G8" s="31" t="str">
        <f>B30</f>
        <v>C2</v>
      </c>
      <c r="H8" s="63"/>
      <c r="I8" s="63"/>
      <c r="J8" s="63"/>
      <c r="K8" s="63"/>
      <c r="L8" s="16" t="str">
        <f>B31</f>
        <v>C3</v>
      </c>
      <c r="M8" s="13" t="str">
        <f>IF(OR(Games_4[[#This Row],[SCORE 1]]="",Games_4[[#This Row],[SCORE 2]]=""),"",Games_4[[#This Row],[SCORE 1]]-Games_4[[#This Row],[SCORE 2]])</f>
        <v/>
      </c>
      <c r="N8" s="13" t="str">
        <f>IF(OR(Games_4[[#This Row],[SCORE 1]]="",Games_4[[#This Row],[SCORE 2]]=""),"",Games_4[[#This Row],[SCORE 2]]-Games_4[[#This Row],[SCORE 1]])</f>
        <v/>
      </c>
      <c r="O8" s="13" t="str">
        <f>IF(Games_4[[#This Row],[SCORE 1]]="","",Games_4[[#This Row],[SCORE 1]])</f>
        <v/>
      </c>
      <c r="P8" s="13" t="str">
        <f>IF(Games_4[[#This Row],[SCORE 2]]="","",Games_4[[#This Row],[SCORE 2]])</f>
        <v/>
      </c>
      <c r="Q8" s="13" t="str">
        <f>IF(OR(Games_4[[#This Row],[SCORE 1]]="",Games_4[[#This Row],[SCORE 2]]=""),"",IF(Games_4[[#This Row],[SALDO 12]]&gt;0, "WIN","LOSE"))</f>
        <v/>
      </c>
      <c r="R8" s="13" t="str">
        <f>IF(OR(Games_4[[#This Row],[SCORE 1]]="",Games_4[[#This Row],[SCORE 2]]=""),"",IF(Games_4[[#This Row],[SALDO 34]]&gt;0, "WIN","LOSE"))</f>
        <v/>
      </c>
      <c r="T8" s="66" t="str" cm="1">
        <f t="array" ref="T8">_xlfn.TEXTJOIN(", ", TRUE, _xlfn._xlws.FILTER($T$27:$W$27, $T$26:$W$26=U8,""))</f>
        <v/>
      </c>
      <c r="U8" s="67" t="s">
        <v>34</v>
      </c>
    </row>
    <row r="9" spans="1:21">
      <c r="A9" s="551"/>
      <c r="B9" s="13" t="s">
        <v>225</v>
      </c>
      <c r="C9" s="1" t="str">
        <f>B35</f>
        <v>D1</v>
      </c>
      <c r="D9" s="32" t="str">
        <f>B38</f>
        <v>D4</v>
      </c>
      <c r="E9" s="116"/>
      <c r="F9" s="116"/>
      <c r="G9" s="31" t="str">
        <f>B36</f>
        <v>D2</v>
      </c>
      <c r="H9" s="63"/>
      <c r="I9" s="63"/>
      <c r="J9" s="63"/>
      <c r="K9" s="63"/>
      <c r="L9" s="16" t="str">
        <f>B37</f>
        <v>D3</v>
      </c>
      <c r="M9" s="13" t="str">
        <f>IF(OR(Games_4[[#This Row],[SCORE 1]]="",Games_4[[#This Row],[SCORE 2]]=""),"",Games_4[[#This Row],[SCORE 1]]-Games_4[[#This Row],[SCORE 2]])</f>
        <v/>
      </c>
      <c r="N9" s="13" t="str">
        <f>IF(OR(Games_4[[#This Row],[SCORE 1]]="",Games_4[[#This Row],[SCORE 2]]=""),"",Games_4[[#This Row],[SCORE 2]]-Games_4[[#This Row],[SCORE 1]])</f>
        <v/>
      </c>
      <c r="O9" s="13" t="str">
        <f>IF(Games_4[[#This Row],[SCORE 1]]="","",Games_4[[#This Row],[SCORE 1]])</f>
        <v/>
      </c>
      <c r="P9" s="13" t="str">
        <f>IF(Games_4[[#This Row],[SCORE 2]]="","",Games_4[[#This Row],[SCORE 2]])</f>
        <v/>
      </c>
      <c r="Q9" s="13" t="str">
        <f>IF(OR(Games_4[[#This Row],[SCORE 1]]="",Games_4[[#This Row],[SCORE 2]]=""),"",IF(Games_4[[#This Row],[SALDO 12]]&gt;0, "WIN","LOSE"))</f>
        <v/>
      </c>
      <c r="R9" s="13" t="str">
        <f>IF(OR(Games_4[[#This Row],[SCORE 1]]="",Games_4[[#This Row],[SCORE 2]]=""),"",IF(Games_4[[#This Row],[SALDO 34]]&gt;0, "WIN","LOSE"))</f>
        <v/>
      </c>
      <c r="T9" s="66" t="str" cm="1">
        <f t="array" ref="T9">_xlfn.TEXTJOIN(", ", TRUE, _xlfn._xlws.FILTER($T$27:$W$27, $T$26:$W$26=U9,""))</f>
        <v/>
      </c>
      <c r="U9" s="67" t="s">
        <v>37</v>
      </c>
    </row>
    <row r="10" spans="1:21">
      <c r="A10" s="551"/>
      <c r="B10" s="13" t="s">
        <v>178</v>
      </c>
      <c r="C10" s="1" t="str">
        <f>B17</f>
        <v>A1</v>
      </c>
      <c r="D10" s="32" t="str">
        <f>B19</f>
        <v>A3</v>
      </c>
      <c r="E10" s="116"/>
      <c r="F10" s="116"/>
      <c r="G10" s="31" t="str">
        <f>B20</f>
        <v>A4</v>
      </c>
      <c r="H10" s="63"/>
      <c r="I10" s="63"/>
      <c r="J10" s="63"/>
      <c r="K10" s="63"/>
      <c r="L10" s="16" t="str">
        <f>B18</f>
        <v>A2</v>
      </c>
      <c r="M10" s="13" t="str">
        <f>IF(OR(Games_4[[#This Row],[SCORE 1]]="",Games_4[[#This Row],[SCORE 2]]=""),"",Games_4[[#This Row],[SCORE 1]]-Games_4[[#This Row],[SCORE 2]])</f>
        <v/>
      </c>
      <c r="N10" s="13" t="str">
        <f>IF(OR(Games_4[[#This Row],[SCORE 1]]="",Games_4[[#This Row],[SCORE 2]]=""),"",Games_4[[#This Row],[SCORE 2]]-Games_4[[#This Row],[SCORE 1]])</f>
        <v/>
      </c>
      <c r="O10" s="13" t="str">
        <f>IF(Games_4[[#This Row],[SCORE 1]]="","",Games_4[[#This Row],[SCORE 1]])</f>
        <v/>
      </c>
      <c r="P10" s="13" t="str">
        <f>IF(Games_4[[#This Row],[SCORE 2]]="","",Games_4[[#This Row],[SCORE 2]])</f>
        <v/>
      </c>
      <c r="Q10" s="13" t="str">
        <f>IF(OR(Games_4[[#This Row],[SCORE 1]]="",Games_4[[#This Row],[SCORE 2]]=""),"",IF(Games_4[[#This Row],[SALDO 12]]&gt;0, "WIN","LOSE"))</f>
        <v/>
      </c>
      <c r="R10" s="13" t="str">
        <f>IF(OR(Games_4[[#This Row],[SCORE 1]]="",Games_4[[#This Row],[SCORE 2]]=""),"",IF(Games_4[[#This Row],[SALDO 34]]&gt;0, "WIN","LOSE"))</f>
        <v/>
      </c>
      <c r="T10" s="66" t="str" cm="1">
        <f t="array" ref="T10">_xlfn.TEXTJOIN(", ", TRUE, _xlfn._xlws.FILTER($T$27:$W$27, $T$26:$W$26=U10,""))</f>
        <v/>
      </c>
      <c r="U10" s="67" t="s">
        <v>41</v>
      </c>
    </row>
    <row r="11" spans="1:21">
      <c r="A11" s="551"/>
      <c r="B11" s="13" t="s">
        <v>180</v>
      </c>
      <c r="C11" s="1" t="str">
        <f>B23</f>
        <v>B1</v>
      </c>
      <c r="D11" s="32" t="str">
        <f>B25</f>
        <v>B3</v>
      </c>
      <c r="E11" s="116"/>
      <c r="F11" s="116"/>
      <c r="G11" s="31" t="str">
        <f>B26</f>
        <v>B4</v>
      </c>
      <c r="H11" s="63"/>
      <c r="I11" s="63"/>
      <c r="J11" s="63"/>
      <c r="K11" s="63"/>
      <c r="L11" s="16" t="str">
        <f>B24</f>
        <v>B2</v>
      </c>
      <c r="M11" s="13" t="str">
        <f>IF(OR(Games_4[[#This Row],[SCORE 1]]="",Games_4[[#This Row],[SCORE 2]]=""),"",Games_4[[#This Row],[SCORE 1]]-Games_4[[#This Row],[SCORE 2]])</f>
        <v/>
      </c>
      <c r="N11" s="13" t="str">
        <f>IF(OR(Games_4[[#This Row],[SCORE 1]]="",Games_4[[#This Row],[SCORE 2]]=""),"",Games_4[[#This Row],[SCORE 2]]-Games_4[[#This Row],[SCORE 1]])</f>
        <v/>
      </c>
      <c r="O11" s="13" t="str">
        <f>IF(Games_4[[#This Row],[SCORE 1]]="","",Games_4[[#This Row],[SCORE 1]])</f>
        <v/>
      </c>
      <c r="P11" s="13" t="str">
        <f>IF(Games_4[[#This Row],[SCORE 2]]="","",Games_4[[#This Row],[SCORE 2]])</f>
        <v/>
      </c>
      <c r="Q11" s="13" t="str">
        <f>IF(OR(Games_4[[#This Row],[SCORE 1]]="",Games_4[[#This Row],[SCORE 2]]=""),"",IF(Games_4[[#This Row],[SALDO 12]]&gt;0, "WIN","LOSE"))</f>
        <v/>
      </c>
      <c r="R11" s="13" t="str">
        <f>IF(OR(Games_4[[#This Row],[SCORE 1]]="",Games_4[[#This Row],[SCORE 2]]=""),"",IF(Games_4[[#This Row],[SALDO 34]]&gt;0, "WIN","LOSE"))</f>
        <v/>
      </c>
      <c r="T11" s="66" t="str" cm="1">
        <f t="array" ref="T11">IF(COUNTBLANK(Games_4[[SCORE 1]:[SCORE 2]])=0,_xlfn.TEXTJOIN(", ", TRUE, _xlfn._xlws.FILTER($K$17:$K$32, $J$17:$J$32=U11, "")),"")</f>
        <v/>
      </c>
      <c r="U11" s="67" t="s">
        <v>44</v>
      </c>
    </row>
    <row r="12" spans="1:21">
      <c r="A12" s="551"/>
      <c r="B12" s="13" t="s">
        <v>181</v>
      </c>
      <c r="C12" s="1" t="str">
        <f>B29</f>
        <v>C1</v>
      </c>
      <c r="D12" s="32" t="str">
        <f>B31</f>
        <v>C3</v>
      </c>
      <c r="E12" s="116"/>
      <c r="F12" s="116"/>
      <c r="G12" s="31" t="str">
        <f>B32</f>
        <v>C4</v>
      </c>
      <c r="H12" s="63"/>
      <c r="I12" s="63"/>
      <c r="J12" s="63"/>
      <c r="K12" s="63"/>
      <c r="L12" s="16" t="str">
        <f>B30</f>
        <v>C2</v>
      </c>
      <c r="M12" s="13" t="str">
        <f>IF(OR(Games_4[[#This Row],[SCORE 1]]="",Games_4[[#This Row],[SCORE 2]]=""),"",Games_4[[#This Row],[SCORE 1]]-Games_4[[#This Row],[SCORE 2]])</f>
        <v/>
      </c>
      <c r="N12" s="13" t="str">
        <f>IF(OR(Games_4[[#This Row],[SCORE 1]]="",Games_4[[#This Row],[SCORE 2]]=""),"",Games_4[[#This Row],[SCORE 2]]-Games_4[[#This Row],[SCORE 1]])</f>
        <v/>
      </c>
      <c r="O12" s="13" t="str">
        <f>IF(Games_4[[#This Row],[SCORE 1]]="","",Games_4[[#This Row],[SCORE 1]])</f>
        <v/>
      </c>
      <c r="P12" s="13" t="str">
        <f>IF(Games_4[[#This Row],[SCORE 2]]="","",Games_4[[#This Row],[SCORE 2]])</f>
        <v/>
      </c>
      <c r="Q12" s="13" t="str">
        <f>IF(OR(Games_4[[#This Row],[SCORE 1]]="",Games_4[[#This Row],[SCORE 2]]=""),"",IF(Games_4[[#This Row],[SALDO 12]]&gt;0, "WIN","LOSE"))</f>
        <v/>
      </c>
      <c r="R12" s="13" t="str">
        <f>IF(OR(Games_4[[#This Row],[SCORE 1]]="",Games_4[[#This Row],[SCORE 2]]=""),"",IF(Games_4[[#This Row],[SALDO 34]]&gt;0, "WIN","LOSE"))</f>
        <v/>
      </c>
      <c r="T12" s="66" t="str" cm="1">
        <f t="array" ref="T12">IF(COUNTBLANK(Games_4[[SCORE 1]:[SCORE 2]])=0,_xlfn.TEXTJOIN(", ", TRUE, _xlfn._xlws.FILTER($K$17:$K$32, $J$17:$J$32=U12, "")),"")</f>
        <v/>
      </c>
      <c r="U12" s="67" t="s">
        <v>39</v>
      </c>
    </row>
    <row r="13" spans="1:21">
      <c r="A13" s="423"/>
      <c r="B13" s="429" t="s">
        <v>225</v>
      </c>
      <c r="C13" s="1" t="str">
        <f>B35</f>
        <v>D1</v>
      </c>
      <c r="D13" s="77" t="str">
        <f>B37</f>
        <v>D3</v>
      </c>
      <c r="E13" s="117"/>
      <c r="F13" s="117"/>
      <c r="G13" s="76" t="str">
        <f>B38</f>
        <v>D4</v>
      </c>
      <c r="H13" s="76"/>
      <c r="I13" s="76"/>
      <c r="J13" s="76"/>
      <c r="K13" s="76"/>
      <c r="L13" s="22" t="str">
        <f>B36</f>
        <v>D2</v>
      </c>
      <c r="M13" s="429" t="str">
        <f>IF(OR(Games_4[[#This Row],[SCORE 1]]="",Games_4[[#This Row],[SCORE 2]]=""),"",Games_4[[#This Row],[SCORE 1]]-Games_4[[#This Row],[SCORE 2]])</f>
        <v/>
      </c>
      <c r="N13" s="429" t="str">
        <f>IF(OR(Games_4[[#This Row],[SCORE 1]]="",Games_4[[#This Row],[SCORE 2]]=""),"",Games_4[[#This Row],[SCORE 2]]-Games_4[[#This Row],[SCORE 1]])</f>
        <v/>
      </c>
      <c r="O13" s="429" t="str">
        <f>IF(Games_4[[#This Row],[SCORE 1]]="","",Games_4[[#This Row],[SCORE 1]])</f>
        <v/>
      </c>
      <c r="P13" s="429" t="str">
        <f>IF(Games_4[[#This Row],[SCORE 2]]="","",Games_4[[#This Row],[SCORE 2]])</f>
        <v/>
      </c>
      <c r="Q13" s="429" t="str">
        <f>IF(OR(Games_4[[#This Row],[SCORE 1]]="",Games_4[[#This Row],[SCORE 2]]=""),"",IF(Games_4[[#This Row],[SALDO 12]]&gt;0, "WIN","LOSE"))</f>
        <v/>
      </c>
      <c r="R13" s="429" t="str">
        <f>IF(OR(Games_4[[#This Row],[SCORE 1]]="",Games_4[[#This Row],[SCORE 2]]=""),"",IF(Games_4[[#This Row],[SALDO 34]]&gt;0, "WIN","LOSE"))</f>
        <v/>
      </c>
      <c r="T13" s="66" t="str" cm="1">
        <f t="array" ref="T13">IF(COUNTBLANK(Games_4[[SCORE 1]:[SCORE 2]])=0,_xlfn.TEXTJOIN(", ", TRUE, _xlfn._xlws.FILTER($K$17:$K$32, $J$17:$J$32=U13, "")),"")</f>
        <v/>
      </c>
      <c r="U13" s="67" t="s">
        <v>49</v>
      </c>
    </row>
    <row r="14" spans="1:21">
      <c r="T14" s="66" t="str" cm="1">
        <f t="array" ref="T14">IF(COUNTBLANK(Games_4[[SCORE 1]:[SCORE 2]])=0,_xlfn.TEXTJOIN(", ", TRUE, _xlfn._xlws.FILTER($K$17:$K$32, $J$17:$J$32=U14, "")),"")</f>
        <v/>
      </c>
      <c r="U14" s="67" t="s">
        <v>51</v>
      </c>
    </row>
    <row r="15" spans="1:21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48" t="s">
        <v>183</v>
      </c>
      <c r="N15" s="549"/>
      <c r="O15" s="549"/>
      <c r="P15" s="549"/>
      <c r="Q15" s="549"/>
      <c r="R15" s="549"/>
      <c r="T15" s="66" t="str" cm="1">
        <f t="array" ref="T15">IF(COUNTBLANK(Games_4[[SCORE 1]:[SCORE 2]])=0,_xlfn.TEXTJOIN(", ", TRUE, _xlfn._xlws.FILTER($K$17:$K$32, $J$17:$J$32=U15, "")),"")</f>
        <v/>
      </c>
      <c r="U15" s="67" t="s">
        <v>47</v>
      </c>
    </row>
    <row r="16" spans="1:21" ht="15.95">
      <c r="A16" s="6" t="s">
        <v>184</v>
      </c>
      <c r="B16" s="7" t="s">
        <v>185</v>
      </c>
      <c r="C16" s="7" t="s">
        <v>186</v>
      </c>
      <c r="D16" s="7" t="s">
        <v>187</v>
      </c>
      <c r="E16" s="7" t="s">
        <v>188</v>
      </c>
      <c r="F16" s="7" t="s">
        <v>189</v>
      </c>
      <c r="G16" s="7" t="s">
        <v>8</v>
      </c>
      <c r="H16" s="80" t="s">
        <v>204</v>
      </c>
      <c r="I16" s="20" t="s">
        <v>191</v>
      </c>
      <c r="J16" s="20" t="s">
        <v>192</v>
      </c>
      <c r="K16" s="20" t="s">
        <v>1</v>
      </c>
      <c r="L16" s="20" t="s">
        <v>192</v>
      </c>
      <c r="M16" s="418" t="s">
        <v>193</v>
      </c>
      <c r="N16" s="418" t="s">
        <v>194</v>
      </c>
      <c r="O16" s="542" t="s">
        <v>195</v>
      </c>
      <c r="P16" s="543"/>
      <c r="Q16" s="418" t="s">
        <v>196</v>
      </c>
      <c r="R16" s="418" t="s">
        <v>197</v>
      </c>
      <c r="T16" s="66" t="str" cm="1">
        <f t="array" ref="T16">IF(COUNTBLANK(Games_4[[SCORE 1]:[SCORE 2]])=0,_xlfn.TEXTJOIN(", ", TRUE, _xlfn._xlws.FILTER($K$17:$K$32, $J$17:$J$32=U16, "")),"")</f>
        <v/>
      </c>
      <c r="U16" s="67" t="s">
        <v>57</v>
      </c>
    </row>
    <row r="17" spans="1:27">
      <c r="A17" s="4" t="s">
        <v>205</v>
      </c>
      <c r="B17" s="118" t="s">
        <v>205</v>
      </c>
      <c r="C17" s="14">
        <f>SUM(COUNTIFS(Games_4[ATHLETE 1],Analysis_9[[#This Row],[Atheletes ]],Games_4[RESULT 12],Analysis_9[[#Headers],[WIN]]),COUNTIFS(Games_4[ATHLETE 2],Analysis_9[[#This Row],[Atheletes ]],Games_4[RESULT 12],Analysis_9[[#Headers],[WIN]]),COUNTIFS(Games_4[ATHLETE 3],Analysis_9[[#This Row],[Atheletes ]],Games_4[RESULT 34],Analysis_9[[#Headers],[WIN]]),COUNTIFS(Games_4[ATHLETE 4],Analysis_9[[#This Row],[Atheletes ]],Games_4[RESULT 34],Analysis_9[[#Headers],[WIN]]))</f>
        <v>0</v>
      </c>
      <c r="D17" s="14">
        <f>SUM(COUNTIFS(Games_4[ATHLETE 1],Analysis_9[[#This Row],[Atheletes ]],Games_4[RESULT 12],Analysis_9[[#Headers],[LOSE]]),COUNTIFS(Games_4[ATHLETE 2],Analysis_9[[#This Row],[Atheletes ]],Games_4[RESULT 12],Analysis_9[[#Headers],[LOSE]]),COUNTIFS(Games_4[ATHLETE 3],Analysis_9[[#This Row],[Atheletes ]],Games_4[RESULT 34],Analysis_9[[#Headers],[LOSE]]),COUNTIFS(Games_4[ATHLETE 4],Analysis_9[[#This Row],[Atheletes ]],Games_4[RESULT 34],Analysis_9[[#Headers],[LOSE]]))</f>
        <v>0</v>
      </c>
      <c r="E17" s="19">
        <f>SUM(SUMIF(Games_4[ATHLETE 1],Analysis_9[[#This Row],[Atheletes ]],Games_4[SALDO 12]),SUMIF(Games_4[ATHLETE 2],Analysis_9[[#This Row],[Atheletes ]],Games_4[SALDO 12]),SUMIF(Games_4[ATHLETE 3],Analysis_9[[#This Row],[Atheletes ]],Games_4[SALDO 34]),SUMIF(Games_4[ATHLETE 4],Analysis_9[[#This Row],[Atheletes ]],Games_4[SALDO 34]))</f>
        <v>0</v>
      </c>
      <c r="F17" s="19">
        <f>SUM(SUMIF(Games_4[ATHLETE 1],Analysis_9[[#This Row],[Atheletes ]],Games_4[PM 12]),SUMIF(Games_4[ATHLETE 2],Analysis_9[[#This Row],[Atheletes ]],Games_4[PM 12]),SUMIF(Games_4[ATHLETE 3],Analysis_9[[#This Row],[Atheletes ]],Games_4[PM 34]),SUMIF(Games_4[ATHLETE 4],Analysis_9[[#This Row],[Atheletes ]],Games_4[PM 34]))</f>
        <v>0</v>
      </c>
      <c r="G17" s="14" t="str">
        <f>IF(COUNTBLANK(Games_4[[SCORE 1]:[SCORE 2]])=0,IF(RANK(H17,$H$17:$H$20)=1,RANK(H17,$H$17:$H$20)&amp;"st",IF(RANK(H17,$H$17:$H$20)=2,RANK(H17,$H$17:$H$20)&amp;"nd",IF(RANK(H17,$H$17:$H$20)=3,RANK(H17,$H$17:$H$20)&amp;"rd",RANK(H17,$H$17:$H$20)&amp;"th"))),"")</f>
        <v/>
      </c>
      <c r="H17" s="51" t="str">
        <f>IF(COUNTBLANK(Games_4[[SCORE 1]:[SCORE 2]])=0,Analysis_9[[#This Row],[WIN]]*1000000+Analysis_9[[#This Row],[Saldo]]*1000+Analysis_9[[#This Row],[PM]],"")</f>
        <v/>
      </c>
      <c r="I17" s="2" t="str">
        <f>H17</f>
        <v/>
      </c>
      <c r="J17" s="2" t="str">
        <f>IF(COUNTBLANK(Games_4[[SCORE 1]:[SCORE 2]])=0,IF(RANK(I17,$I$17:$I$32)=1,RANK(I17,$I$17:$I$32)&amp;"st",IF(RANK(I17,$I$17:$I$32)=2,RANK(I17,$I$17:$I$32)&amp;"nd",IF(RANK(I17,$I$17:$I$32)=3,RANK(I17,$I$17:$I$32)&amp;"rd",RANK(I17,$I$17:$I$32)&amp;"th"))),"")</f>
        <v/>
      </c>
      <c r="K17" s="38" t="str">
        <f>Analysis_9[[#This Row],[Atheletes ]]</f>
        <v>A1</v>
      </c>
      <c r="L17" s="44" t="str">
        <f>J17</f>
        <v/>
      </c>
      <c r="M17" s="428" t="str" cm="1">
        <f t="array" ref="M17">_xlfn.TEXTJOIN(", ", TRUE, _xlfn._xlws.FILTER($K$17:$K$32, $J$17:$J$32=$U$3, ""))</f>
        <v/>
      </c>
      <c r="N17" s="428" t="str" cm="1">
        <f t="array" ref="N17">_xlfn.TEXTJOIN(", ", TRUE, _xlfn._xlws.FILTER($K$17:$K$32, $J$17:$J$32=$U$4, ""))</f>
        <v/>
      </c>
      <c r="O17" s="119"/>
      <c r="P17" s="120"/>
      <c r="Q17" s="428" t="str" cm="1">
        <f t="array" ref="Q17">_xlfn.TEXTJOIN(", ", TRUE, _xlfn._xlws.FILTER($K$17:$K$32, $J$17:$J$32=$U$9, ""))</f>
        <v/>
      </c>
      <c r="R17" s="428" t="str" cm="1">
        <f t="array" ref="R17">_xlfn.TEXTJOIN(", ", TRUE, _xlfn._xlws.FILTER($K$17:$K$32, $J$17:$J$32=$U$10, ""))</f>
        <v/>
      </c>
      <c r="S17" s="68"/>
      <c r="T17" s="66" t="str" cm="1">
        <f t="array" ref="T17">IF(COUNTBLANK(Games_4[[SCORE 1]:[SCORE 2]])=0,_xlfn.TEXTJOIN(", ", TRUE, _xlfn._xlws.FILTER($K$17:$K$32, $J$17:$J$32=U17, "")),"")</f>
        <v/>
      </c>
      <c r="U17" s="67" t="s">
        <v>60</v>
      </c>
    </row>
    <row r="18" spans="1:27">
      <c r="A18" s="3" t="s">
        <v>206</v>
      </c>
      <c r="B18" s="118" t="s">
        <v>206</v>
      </c>
      <c r="C18" s="14">
        <f>SUM(COUNTIFS(Games_4[ATHLETE 1],Analysis_9[[#This Row],[Atheletes ]],Games_4[RESULT 12],Analysis_9[[#Headers],[WIN]]),COUNTIFS(Games_4[ATHLETE 2],Analysis_9[[#This Row],[Atheletes ]],Games_4[RESULT 12],Analysis_9[[#Headers],[WIN]]),COUNTIFS(Games_4[ATHLETE 3],Analysis_9[[#This Row],[Atheletes ]],Games_4[RESULT 34],Analysis_9[[#Headers],[WIN]]),COUNTIFS(Games_4[ATHLETE 4],Analysis_9[[#This Row],[Atheletes ]],Games_4[RESULT 34],Analysis_9[[#Headers],[WIN]]))</f>
        <v>0</v>
      </c>
      <c r="D18" s="14">
        <f>SUM(COUNTIFS(Games_4[ATHLETE 1],Analysis_9[[#This Row],[Atheletes ]],Games_4[RESULT 12],Analysis_9[[#Headers],[LOSE]]),COUNTIFS(Games_4[ATHLETE 2],Analysis_9[[#This Row],[Atheletes ]],Games_4[RESULT 12],Analysis_9[[#Headers],[LOSE]]),COUNTIFS(Games_4[ATHLETE 3],Analysis_9[[#This Row],[Atheletes ]],Games_4[RESULT 34],Analysis_9[[#Headers],[LOSE]]),COUNTIFS(Games_4[ATHLETE 4],Analysis_9[[#This Row],[Atheletes ]],Games_4[RESULT 34],Analysis_9[[#Headers],[LOSE]]))</f>
        <v>0</v>
      </c>
      <c r="E18" s="19">
        <f>SUM(SUMIF(Games_4[ATHLETE 1],Analysis_9[[#This Row],[Atheletes ]],Games_4[SALDO 12]),SUMIF(Games_4[ATHLETE 2],Analysis_9[[#This Row],[Atheletes ]],Games_4[SALDO 12]),SUMIF(Games_4[ATHLETE 3],Analysis_9[[#This Row],[Atheletes ]],Games_4[SALDO 34]),SUMIF(Games_4[ATHLETE 4],Analysis_9[[#This Row],[Atheletes ]],Games_4[SALDO 34]))</f>
        <v>0</v>
      </c>
      <c r="F18" s="19">
        <f>SUM(SUMIF(Games_4[ATHLETE 1],Analysis_9[[#This Row],[Atheletes ]],Games_4[PM 12]),SUMIF(Games_4[ATHLETE 2],Analysis_9[[#This Row],[Atheletes ]],Games_4[PM 12]),SUMIF(Games_4[ATHLETE 3],Analysis_9[[#This Row],[Atheletes ]],Games_4[PM 34]),SUMIF(Games_4[ATHLETE 4],Analysis_9[[#This Row],[Atheletes ]],Games_4[PM 34]))</f>
        <v>0</v>
      </c>
      <c r="G18" s="14" t="str">
        <f>IF(COUNTBLANK(Games_4[[SCORE 1]:[SCORE 2]])=0,IF(RANK(H18,$H$17:$H$20)=1,RANK(H18,$H$17:$H$20)&amp;"st",IF(RANK(H18,$H$17:$H$20)=2,RANK(H18,$H$17:$H$20)&amp;"nd",IF(RANK(H18,$H$17:$H$20)=3,RANK(H18,$H$17:$H$20)&amp;"rd",RANK(H18,$H$17:$H$20)&amp;"th"))),"")</f>
        <v/>
      </c>
      <c r="H18" s="51" t="str">
        <f>IF(COUNTBLANK(Games_4[[SCORE 1]:[SCORE 2]])=0,Analysis_9[[#This Row],[WIN]]*1000000+Analysis_9[[#This Row],[Saldo]]*1000+Analysis_9[[#This Row],[PM]],"")</f>
        <v/>
      </c>
      <c r="I18" s="2" t="str">
        <f t="shared" ref="I18:I20" si="0">H18</f>
        <v/>
      </c>
      <c r="J18" s="2" t="str">
        <f>IF(COUNTBLANK(Games_4[[SCORE 1]:[SCORE 2]])=0,IF(RANK(I18,$I$17:$I$32)=1,RANK(I18,$I$17:$I$32)&amp;"st",IF(RANK(I18,$I$17:$I$32)=2,RANK(I18,$I$17:$I$32)&amp;"nd",IF(RANK(I18,$I$17:$I$32)=3,RANK(I18,$I$17:$I$32)&amp;"rd",RANK(I18,$I$17:$I$32)&amp;"th"))),"")</f>
        <v/>
      </c>
      <c r="K18" s="38" t="str">
        <f>Analysis_9[[#This Row],[Atheletes ]]</f>
        <v>A2</v>
      </c>
      <c r="L18" s="44" t="str">
        <f t="shared" ref="L18:L20" si="1">J18</f>
        <v/>
      </c>
      <c r="M18" s="127" t="str">
        <f>IF(OR(O18="",O23=""),"",IF($O$18="lose",IF(RANK(M19,$T$24:$W$24)=1,$U$7,IF(RANK(M19,$T$24:$W$24)=2,$U$8,IF(RANK(M19,$T$24:$W$24)=3,$U$9,$U$10))),""))</f>
        <v/>
      </c>
      <c r="N18" s="127" t="str">
        <f>IF(OR(O18="",O23=""),"",IF($O$18="lose",IF(RANK(N19,$T$24:$W$24)=1,$U$7,IF(RANK(N19,$T$24:$W$24)=2,$U$8,IF(RANK(N19,$T$24:$W$24)=3,$U$9,$U$10))),""))</f>
        <v/>
      </c>
      <c r="O18" s="2" t="str">
        <f>IF(OR(O17="",P17=""),"",IF((O17&gt;P17),"WIN","LOSE"))</f>
        <v/>
      </c>
      <c r="P18" s="2" t="str">
        <f>IF(OR(O17="",P17=""),"",IF((O17&lt;P17),"WIN","LOSE"))</f>
        <v/>
      </c>
      <c r="Q18" s="127" t="str">
        <f>IF(OR(O18="",O23=""),"",IF($P$18="lose",IF(RANK(Q19,$T$24:$W$24)=1,$U$7,IF(RANK(Q19,$T$24:$W$24)=2,$U$8,IF(RANK(Q19,$T$24:$W$24)=3,$U$9,$U$10))),""))</f>
        <v/>
      </c>
      <c r="R18" s="127" t="str">
        <f>IF(OR(O18="",O23=""),"",IF($P$18="lose",IF(RANK(R19,$T$24:$W$24)=1,$U$7,IF(RANK(R19,$T$24:$W$24)=2,$U$8,IF(RANK(R19,$T$24:$W$24)=3,$U$9,$U$10))),""))</f>
        <v/>
      </c>
      <c r="S18" s="17"/>
      <c r="T18" s="66" t="str" cm="1">
        <f t="array" ref="T18">IF(COUNTBLANK(Games_4[[SCORE 1]:[SCORE 2]])=0,_xlfn.TEXTJOIN(", ", TRUE, _xlfn._xlws.FILTER($K$17:$K$32, $J$17:$J$32=U18, "")),"")</f>
        <v/>
      </c>
      <c r="U18" s="67" t="s">
        <v>55</v>
      </c>
    </row>
    <row r="19" spans="1:27">
      <c r="A19" s="3" t="s">
        <v>207</v>
      </c>
      <c r="B19" s="118" t="s">
        <v>207</v>
      </c>
      <c r="C19" s="14">
        <f>SUM(COUNTIFS(Games_4[ATHLETE 1],Analysis_9[[#This Row],[Atheletes ]],Games_4[RESULT 12],Analysis_9[[#Headers],[WIN]]),COUNTIFS(Games_4[ATHLETE 2],Analysis_9[[#This Row],[Atheletes ]],Games_4[RESULT 12],Analysis_9[[#Headers],[WIN]]),COUNTIFS(Games_4[ATHLETE 3],Analysis_9[[#This Row],[Atheletes ]],Games_4[RESULT 34],Analysis_9[[#Headers],[WIN]]),COUNTIFS(Games_4[ATHLETE 4],Analysis_9[[#This Row],[Atheletes ]],Games_4[RESULT 34],Analysis_9[[#Headers],[WIN]]))</f>
        <v>0</v>
      </c>
      <c r="D19" s="14">
        <f>SUM(COUNTIFS(Games_4[ATHLETE 1],Analysis_9[[#This Row],[Atheletes ]],Games_4[RESULT 12],Analysis_9[[#Headers],[LOSE]]),COUNTIFS(Games_4[ATHLETE 2],Analysis_9[[#This Row],[Atheletes ]],Games_4[RESULT 12],Analysis_9[[#Headers],[LOSE]]),COUNTIFS(Games_4[ATHLETE 3],Analysis_9[[#This Row],[Atheletes ]],Games_4[RESULT 34],Analysis_9[[#Headers],[LOSE]]),COUNTIFS(Games_4[ATHLETE 4],Analysis_9[[#This Row],[Atheletes ]],Games_4[RESULT 34],Analysis_9[[#Headers],[LOSE]]))</f>
        <v>0</v>
      </c>
      <c r="E19" s="19">
        <f>SUM(SUMIF(Games_4[ATHLETE 1],Analysis_9[[#This Row],[Atheletes ]],Games_4[SALDO 12]),SUMIF(Games_4[ATHLETE 2],Analysis_9[[#This Row],[Atheletes ]],Games_4[SALDO 12]),SUMIF(Games_4[ATHLETE 3],Analysis_9[[#This Row],[Atheletes ]],Games_4[SALDO 34]),SUMIF(Games_4[ATHLETE 4],Analysis_9[[#This Row],[Atheletes ]],Games_4[SALDO 34]))</f>
        <v>0</v>
      </c>
      <c r="F19" s="19">
        <f>SUM(SUMIF(Games_4[ATHLETE 1],Analysis_9[[#This Row],[Atheletes ]],Games_4[PM 12]),SUMIF(Games_4[ATHLETE 2],Analysis_9[[#This Row],[Atheletes ]],Games_4[PM 12]),SUMIF(Games_4[ATHLETE 3],Analysis_9[[#This Row],[Atheletes ]],Games_4[PM 34]),SUMIF(Games_4[ATHLETE 4],Analysis_9[[#This Row],[Atheletes ]],Games_4[PM 34]))</f>
        <v>0</v>
      </c>
      <c r="G19" s="14" t="str">
        <f>IF(COUNTBLANK(Games_4[[SCORE 1]:[SCORE 2]])=0,IF(RANK(H19,$H$17:$H$20)=1,RANK(H19,$H$17:$H$20)&amp;"st",IF(RANK(H19,$H$17:$H$20)=2,RANK(H19,$H$17:$H$20)&amp;"nd",IF(RANK(H19,$H$17:$H$20)=3,RANK(H19,$H$17:$H$20)&amp;"rd",RANK(H19,$H$17:$H$20)&amp;"th"))),"")</f>
        <v/>
      </c>
      <c r="H19" s="51" t="str">
        <f>IF(COUNTBLANK(Games_4[[SCORE 1]:[SCORE 2]])=0,Analysis_9[[#This Row],[WIN]]*1000000+Analysis_9[[#This Row],[Saldo]]*1000+Analysis_9[[#This Row],[PM]],"")</f>
        <v/>
      </c>
      <c r="I19" s="2" t="str">
        <f t="shared" si="0"/>
        <v/>
      </c>
      <c r="J19" s="2" t="str">
        <f>IF(COUNTBLANK(Games_4[[SCORE 1]:[SCORE 2]])=0,IF(RANK(I19,$I$17:$I$32)=1,RANK(I19,$I$17:$I$32)&amp;"st",IF(RANK(I19,$I$17:$I$32)=2,RANK(I19,$I$17:$I$32)&amp;"nd",IF(RANK(I19,$I$17:$I$32)=3,RANK(I19,$I$17:$I$32)&amp;"rd",RANK(I19,$I$17:$I$32)&amp;"th"))),"")</f>
        <v/>
      </c>
      <c r="K19" s="38" t="str">
        <f>Analysis_9[[#This Row],[Atheletes ]]</f>
        <v>A3</v>
      </c>
      <c r="L19" s="44" t="str">
        <f t="shared" si="1"/>
        <v/>
      </c>
      <c r="M19" s="90" t="str">
        <f t="shared" ref="M19:R19" si="2">_xlfn.XLOOKUP(M17,$K$17:$K$32,$I$17:$I$32,"")</f>
        <v/>
      </c>
      <c r="N19" s="90" t="str">
        <f t="shared" si="2"/>
        <v/>
      </c>
      <c r="O19" s="90" t="str">
        <f t="shared" si="2"/>
        <v/>
      </c>
      <c r="P19" s="90" t="str">
        <f t="shared" si="2"/>
        <v/>
      </c>
      <c r="Q19" s="90" t="str">
        <f t="shared" si="2"/>
        <v/>
      </c>
      <c r="R19" s="90" t="str">
        <f t="shared" si="2"/>
        <v/>
      </c>
    </row>
    <row r="20" spans="1:27" ht="15.95">
      <c r="A20" s="5" t="s">
        <v>208</v>
      </c>
      <c r="B20" s="118" t="s">
        <v>208</v>
      </c>
      <c r="C20" s="14">
        <f>SUM(COUNTIFS(Games_4[ATHLETE 1],Analysis_9[[#This Row],[Atheletes ]],Games_4[RESULT 12],Analysis_9[[#Headers],[WIN]]),COUNTIFS(Games_4[ATHLETE 2],Analysis_9[[#This Row],[Atheletes ]],Games_4[RESULT 12],Analysis_9[[#Headers],[WIN]]),COUNTIFS(Games_4[ATHLETE 3],Analysis_9[[#This Row],[Atheletes ]],Games_4[RESULT 34],Analysis_9[[#Headers],[WIN]]),COUNTIFS(Games_4[ATHLETE 4],Analysis_9[[#This Row],[Atheletes ]],Games_4[RESULT 34],Analysis_9[[#Headers],[WIN]]))</f>
        <v>0</v>
      </c>
      <c r="D20" s="14">
        <f>SUM(COUNTIFS(Games_4[ATHLETE 1],Analysis_9[[#This Row],[Atheletes ]],Games_4[RESULT 12],Analysis_9[[#Headers],[LOSE]]),COUNTIFS(Games_4[ATHLETE 2],Analysis_9[[#This Row],[Atheletes ]],Games_4[RESULT 12],Analysis_9[[#Headers],[LOSE]]),COUNTIFS(Games_4[ATHLETE 3],Analysis_9[[#This Row],[Atheletes ]],Games_4[RESULT 34],Analysis_9[[#Headers],[LOSE]]),COUNTIFS(Games_4[ATHLETE 4],Analysis_9[[#This Row],[Atheletes ]],Games_4[RESULT 34],Analysis_9[[#Headers],[LOSE]]))</f>
        <v>0</v>
      </c>
      <c r="E20" s="19">
        <f>SUM(SUMIF(Games_4[ATHLETE 1],Analysis_9[[#This Row],[Atheletes ]],Games_4[SALDO 12]),SUMIF(Games_4[ATHLETE 2],Analysis_9[[#This Row],[Atheletes ]],Games_4[SALDO 12]),SUMIF(Games_4[ATHLETE 3],Analysis_9[[#This Row],[Atheletes ]],Games_4[SALDO 34]),SUMIF(Games_4[ATHLETE 4],Analysis_9[[#This Row],[Atheletes ]],Games_4[SALDO 34]))</f>
        <v>0</v>
      </c>
      <c r="F20" s="19">
        <f>SUM(SUMIF(Games_4[ATHLETE 1],Analysis_9[[#This Row],[Atheletes ]],Games_4[PM 12]),SUMIF(Games_4[ATHLETE 2],Analysis_9[[#This Row],[Atheletes ]],Games_4[PM 12]),SUMIF(Games_4[ATHLETE 3],Analysis_9[[#This Row],[Atheletes ]],Games_4[PM 34]),SUMIF(Games_4[ATHLETE 4],Analysis_9[[#This Row],[Atheletes ]],Games_4[PM 34]))</f>
        <v>0</v>
      </c>
      <c r="G20" s="14" t="str">
        <f>IF(COUNTBLANK(Games_4[[SCORE 1]:[SCORE 2]])=0,IF(RANK(H20,$H$17:$H$20)=1,RANK(H20,$H$17:$H$20)&amp;"st",IF(RANK(H20,$H$17:$H$20)=2,RANK(H20,$H$17:$H$20)&amp;"nd",IF(RANK(H20,$H$17:$H$20)=3,RANK(H20,$H$17:$H$20)&amp;"rd",RANK(H20,$H$17:$H$20)&amp;"th"))),"")</f>
        <v/>
      </c>
      <c r="H20" s="51" t="str">
        <f>IF(COUNTBLANK(Games_4[[SCORE 1]:[SCORE 2]])=0,Analysis_9[[#This Row],[WIN]]*1000000+Analysis_9[[#This Row],[Saldo]]*1000+Analysis_9[[#This Row],[PM]],"")</f>
        <v/>
      </c>
      <c r="I20" s="2" t="str">
        <f t="shared" si="0"/>
        <v/>
      </c>
      <c r="J20" s="2" t="str">
        <f>IF(COUNTBLANK(Games_4[[SCORE 1]:[SCORE 2]])=0,IF(RANK(I20,$I$17:$I$32)=1,RANK(I20,$I$17:$I$32)&amp;"st",IF(RANK(I20,$I$17:$I$32)=2,RANK(I20,$I$17:$I$32)&amp;"nd",IF(RANK(I20,$I$17:$I$32)=3,RANK(I20,$I$17:$I$32)&amp;"rd",RANK(I20,$I$17:$I$32)&amp;"th"))),"")</f>
        <v/>
      </c>
      <c r="K20" s="38" t="str">
        <f>Analysis_9[[#This Row],[Atheletes ]]</f>
        <v>A4</v>
      </c>
      <c r="L20" s="44" t="str">
        <f t="shared" si="1"/>
        <v/>
      </c>
      <c r="M20" s="90" t="str">
        <f>IFERROR(RANK(M19,_xlfn.ANCHORARRAY($T$25),0),"")</f>
        <v/>
      </c>
      <c r="N20" s="90" t="str">
        <f>IFERROR(RANK(N19,_xlfn.ANCHORARRAY($T$25),0),"")</f>
        <v/>
      </c>
      <c r="O20" s="90"/>
      <c r="P20" s="90"/>
      <c r="Q20" s="90" t="str">
        <f>IFERROR(RANK(Q19,_xlfn.ANCHORARRAY($T$25),0),"")</f>
        <v/>
      </c>
      <c r="R20" s="90" t="str">
        <f>IFERROR(RANK(R19,_xlfn.ANCHORARRAY($T$25),0),"")</f>
        <v/>
      </c>
    </row>
    <row r="21" spans="1:27">
      <c r="I21" s="2" t="str">
        <f>H23</f>
        <v/>
      </c>
      <c r="J21" s="2" t="str">
        <f>IF(COUNTBLANK(Games_4[[SCORE 1]:[SCORE 2]])=0,IF(RANK(I21,$I$17:$I$32)=1,RANK(I21,$I$17:$I$32)&amp;"st",IF(RANK(I21,$I$17:$I$32)=2,RANK(I21,$I$17:$I$32)&amp;"nd",IF(RANK(I21,$I$17:$I$32)=3,RANK(I21,$I$17:$I$32)&amp;"rd",RANK(I21,$I$17:$I$32)&amp;"th"))),"")</f>
        <v/>
      </c>
      <c r="K21" s="38" t="str">
        <f>B23</f>
        <v>B1</v>
      </c>
      <c r="M21" s="418" t="s">
        <v>193</v>
      </c>
      <c r="N21" s="418" t="s">
        <v>194</v>
      </c>
      <c r="O21" s="542" t="s">
        <v>195</v>
      </c>
      <c r="P21" s="543"/>
      <c r="Q21" s="418" t="s">
        <v>196</v>
      </c>
      <c r="R21" s="418" t="s">
        <v>197</v>
      </c>
    </row>
    <row r="22" spans="1:27" s="44" customFormat="1" ht="28.5" customHeight="1">
      <c r="A22" s="9" t="s">
        <v>184</v>
      </c>
      <c r="B22" s="43" t="s">
        <v>185</v>
      </c>
      <c r="C22" s="48" t="s">
        <v>186</v>
      </c>
      <c r="D22" s="48" t="s">
        <v>187</v>
      </c>
      <c r="E22" s="48" t="s">
        <v>188</v>
      </c>
      <c r="F22" s="48" t="s">
        <v>189</v>
      </c>
      <c r="G22" s="419" t="s">
        <v>8</v>
      </c>
      <c r="H22" s="126" t="s">
        <v>204</v>
      </c>
      <c r="I22" s="2" t="str">
        <f t="shared" ref="I22:I24" si="3">H24</f>
        <v/>
      </c>
      <c r="J22" s="2" t="str">
        <f>IF(COUNTBLANK(Games_4[[SCORE 1]:[SCORE 2]])=0,IF(RANK(I22,$I$17:$I$32)=1,RANK(I22,$I$17:$I$32)&amp;"st",IF(RANK(I22,$I$17:$I$32)=2,RANK(I22,$I$17:$I$32)&amp;"nd",IF(RANK(I22,$I$17:$I$32)=3,RANK(I22,$I$17:$I$32)&amp;"rd",RANK(I22,$I$17:$I$32)&amp;"th"))),"")</f>
        <v/>
      </c>
      <c r="K22" s="38" t="str">
        <f t="shared" ref="K22:K24" si="4">B24</f>
        <v>B2</v>
      </c>
      <c r="L22" s="419" t="s">
        <v>192</v>
      </c>
      <c r="M22" s="428" t="str" cm="1">
        <f t="array" ref="M22">_xlfn.TEXTJOIN(", ", TRUE, _xlfn._xlws.FILTER($K$17:$K$32, $J$17:$J$32=$U$5, ""))</f>
        <v/>
      </c>
      <c r="N22" s="428" t="str" cm="1">
        <f t="array" ref="N22">_xlfn.TEXTJOIN(", ", TRUE, _xlfn._xlws.FILTER($K$17:$K$32, $J$17:$J$32=$U$6, ""))</f>
        <v/>
      </c>
      <c r="O22" s="119"/>
      <c r="P22" s="119"/>
      <c r="Q22" s="428" t="str" cm="1">
        <f t="array" ref="Q22">_xlfn.TEXTJOIN(", ", TRUE, _xlfn._xlws.FILTER($K$17:$K$32, $J$17:$J$32=$U$7, ""))</f>
        <v/>
      </c>
      <c r="R22" s="428" t="str" cm="1">
        <f t="array" ref="R22">_xlfn.TEXTJOIN(", ", TRUE, _xlfn._xlws.FILTER($K$17:$K$32, $J$17:$J$32=$U$8, ""))</f>
        <v/>
      </c>
    </row>
    <row r="23" spans="1:27">
      <c r="A23" s="430" t="s">
        <v>209</v>
      </c>
      <c r="B23" s="118" t="s">
        <v>209</v>
      </c>
      <c r="C23" s="14">
        <f>SUM(COUNTIFS(Games_4[ATHLETE 1],Analysis_10[[#This Row],[Atheletes ]],Games_4[RESULT 12],Analysis_9[[#Headers],[WIN]]),COUNTIFS(Games_4[ATHLETE 2],Analysis_10[[#This Row],[Atheletes ]],Games_4[RESULT 12],Analysis_9[[#Headers],[WIN]]),COUNTIFS(Games_4[ATHLETE 3],Analysis_10[[#This Row],[Atheletes ]],Games_4[RESULT 34],Analysis_9[[#Headers],[WIN]]),COUNTIFS(Games_4[ATHLETE 4],Analysis_10[[#This Row],[Atheletes ]],Games_4[RESULT 34],Analysis_9[[#Headers],[WIN]]))</f>
        <v>0</v>
      </c>
      <c r="D23" s="14">
        <f>SUM(COUNTIFS(Games_4[ATHLETE 1],Analysis_10[[#This Row],[Atheletes ]],Games_4[RESULT 12],Analysis_9[[#Headers],[LOSE]]),COUNTIFS(Games_4[ATHLETE 2],Analysis_10[[#This Row],[Atheletes ]],Games_4[RESULT 12],Analysis_9[[#Headers],[LOSE]]),COUNTIFS(Games_4[ATHLETE 3],Analysis_10[[#This Row],[Atheletes ]],Games_4[RESULT 34],Analysis_9[[#Headers],[LOSE]]),COUNTIFS(Games_4[ATHLETE 4],Analysis_10[[#This Row],[Atheletes ]],Games_4[RESULT 34],Analysis_9[[#Headers],[LOSE]]))</f>
        <v>0</v>
      </c>
      <c r="E23" s="19">
        <f>SUM(SUMIF(Games_4[ATHLETE 1],Analysis_10[[#This Row],[Atheletes ]],Games_4[SALDO 12]),SUMIF(Games_4[ATHLETE 2],Analysis_10[[#This Row],[Atheletes ]],Games_4[SALDO 12]),SUMIF(Games_4[ATHLETE 3],Analysis_10[[#This Row],[Atheletes ]],Games_4[SALDO 34]),SUMIF(Games_4[ATHLETE 4],Analysis_10[[#This Row],[Atheletes ]],Games_4[SALDO 34]))</f>
        <v>0</v>
      </c>
      <c r="F23" s="19">
        <f>SUM(SUMIF(Games_4[ATHLETE 1],Analysis_10[[#This Row],[Atheletes ]],Games_4[PM 12]),SUMIF(Games_4[ATHLETE 2],Analysis_10[[#This Row],[Atheletes ]],Games_4[PM 12]),SUMIF(Games_4[ATHLETE 3],Analysis_10[[#This Row],[Atheletes ]],Games_4[PM 34]),SUMIF(Games_4[ATHLETE 4],Analysis_10[[#This Row],[Atheletes ]],Games_4[PM 34]))</f>
        <v>0</v>
      </c>
      <c r="G23" s="14" t="str">
        <f>IF(COUNTBLANK(Games_4[[SCORE 1]:[SCORE 2]])=0,IF(RANK(H23,$H$23:$H$26)=1,RANK(H23,$H$23:$H$26)&amp;"st",IF(RANK(H23,$H$23:$H$26)=2,RANK(H23,$H$23:$H$26)&amp;"nd",IF(RANK(H23,$H$23:$H$26)=3,RANK(H23,$H$23:$H$26)&amp;"rd",RANK(H23,$H$23:$H$26)&amp;"th"))),"")</f>
        <v/>
      </c>
      <c r="H23" s="51" t="str">
        <f>IF(COUNTBLANK(Games_4[[SCORE 1]:[SCORE 2]])=0,Analysis_10[[#This Row],[WIN]]*1000000+Analysis_10[[#This Row],[Saldo]]*1000+Analysis_10[[#This Row],[PM]],"")</f>
        <v/>
      </c>
      <c r="I23" s="2" t="str">
        <f t="shared" si="3"/>
        <v/>
      </c>
      <c r="J23" s="2" t="str">
        <f>IF(COUNTBLANK(Games_4[[SCORE 1]:[SCORE 2]])=0,IF(RANK(I23,$I$17:$I$32)=1,RANK(I23,$I$17:$I$32)&amp;"st",IF(RANK(I23,$I$17:$I$32)=2,RANK(I23,$I$17:$I$32)&amp;"nd",IF(RANK(I23,$I$17:$I$32)=3,RANK(I23,$I$17:$I$32)&amp;"rd",RANK(I23,$I$17:$I$32)&amp;"th"))),"")</f>
        <v/>
      </c>
      <c r="K23" s="38" t="str">
        <f t="shared" si="4"/>
        <v>B3</v>
      </c>
      <c r="L23" s="44" t="str">
        <f>J21</f>
        <v/>
      </c>
      <c r="M23" s="127" t="str">
        <f>IF(OR(O18="",O23=""),"",IF($O$23="lose",IF(RANK(M24,$T$24:$W$24)=1,$U$7,IF(RANK(M24,$T$24:$W$24)=2,$U$8,IF(RANK(M24,$T$24:$W$24)=3,$U$9,$U$10))),""))</f>
        <v/>
      </c>
      <c r="N23" s="127" t="str">
        <f>IF(OR(O18="",O23=""),"",IF($O$23="lose",IF(RANK(N24,$T$24:$W$24)=1,$U$7,IF(RANK(N24,$T$24:$W$24)=2,$U$8,IF(RANK(N24,$T$24:$W$24)=3,$U$9,$U$10))),""))</f>
        <v/>
      </c>
      <c r="O23" s="2" t="str">
        <f>IF(OR(O22="",P22=""),"",IF((O22&gt;P22),"WIN","LOSE"))</f>
        <v/>
      </c>
      <c r="P23" s="2" t="str">
        <f>IF(OR(O22="",P22=""),"",IF((O22&lt;P22),"WIN","LOSE"))</f>
        <v/>
      </c>
      <c r="Q23" s="127" t="str">
        <f>IF(OR(O18="",O23=""),"",IF($P$23="lose",IF(RANK(Q24,$T$24:$W$24)=1,$U$7,IF(RANK(Q24,$T$24:$W$24)=2,$U$8,IF(RANK(Q24,$T$24:$W$24)=3,$U$9,$U$10))),""))</f>
        <v/>
      </c>
      <c r="R23" s="127" t="str">
        <f>IF(OR(O18="",O23=""),"",IF($P$23="lose",IF(RANK(R24,$T$24:$W$24)=1,$U$7,IF(RANK(R24,$T$24:$W$24)=2,$U$8,IF(RANK(R24,$T$24:$W$24)=3,$U$9,$U$10))),""))</f>
        <v/>
      </c>
      <c r="T23" s="90" t="s">
        <v>198</v>
      </c>
      <c r="U23" s="90"/>
      <c r="V23" s="90"/>
      <c r="W23" s="90"/>
      <c r="X23" s="90"/>
      <c r="Y23" s="90"/>
      <c r="Z23" s="90"/>
      <c r="AA23" s="90"/>
    </row>
    <row r="24" spans="1:27">
      <c r="A24" s="430" t="s">
        <v>210</v>
      </c>
      <c r="B24" s="118" t="s">
        <v>210</v>
      </c>
      <c r="C24" s="14">
        <f>SUM(COUNTIFS(Games_4[ATHLETE 1],Analysis_10[[#This Row],[Atheletes ]],Games_4[RESULT 12],Analysis_9[[#Headers],[WIN]]),COUNTIFS(Games_4[ATHLETE 2],Analysis_10[[#This Row],[Atheletes ]],Games_4[RESULT 12],Analysis_9[[#Headers],[WIN]]),COUNTIFS(Games_4[ATHLETE 3],Analysis_10[[#This Row],[Atheletes ]],Games_4[RESULT 34],Analysis_9[[#Headers],[WIN]]),COUNTIFS(Games_4[ATHLETE 4],Analysis_10[[#This Row],[Atheletes ]],Games_4[RESULT 34],Analysis_9[[#Headers],[WIN]]))</f>
        <v>0</v>
      </c>
      <c r="D24" s="14">
        <f>SUM(COUNTIFS(Games_4[ATHLETE 1],Analysis_10[[#This Row],[Atheletes ]],Games_4[RESULT 12],Analysis_9[[#Headers],[LOSE]]),COUNTIFS(Games_4[ATHLETE 2],Analysis_10[[#This Row],[Atheletes ]],Games_4[RESULT 12],Analysis_9[[#Headers],[LOSE]]),COUNTIFS(Games_4[ATHLETE 3],Analysis_10[[#This Row],[Atheletes ]],Games_4[RESULT 34],Analysis_9[[#Headers],[LOSE]]),COUNTIFS(Games_4[ATHLETE 4],Analysis_10[[#This Row],[Atheletes ]],Games_4[RESULT 34],Analysis_9[[#Headers],[LOSE]]))</f>
        <v>0</v>
      </c>
      <c r="E24" s="19">
        <f>SUM(SUMIF(Games_4[ATHLETE 1],Analysis_10[[#This Row],[Atheletes ]],Games_4[SALDO 12]),SUMIF(Games_4[ATHLETE 2],Analysis_10[[#This Row],[Atheletes ]],Games_4[SALDO 12]),SUMIF(Games_4[ATHLETE 3],Analysis_10[[#This Row],[Atheletes ]],Games_4[SALDO 34]),SUMIF(Games_4[ATHLETE 4],Analysis_10[[#This Row],[Atheletes ]],Games_4[SALDO 34]))</f>
        <v>0</v>
      </c>
      <c r="F24" s="19">
        <f>SUM(SUMIF(Games_4[ATHLETE 1],Analysis_10[[#This Row],[Atheletes ]],Games_4[PM 12]),SUMIF(Games_4[ATHLETE 2],Analysis_10[[#This Row],[Atheletes ]],Games_4[PM 12]),SUMIF(Games_4[ATHLETE 3],Analysis_10[[#This Row],[Atheletes ]],Games_4[PM 34]),SUMIF(Games_4[ATHLETE 4],Analysis_10[[#This Row],[Atheletes ]],Games_4[PM 34]))</f>
        <v>0</v>
      </c>
      <c r="G24" s="14" t="str">
        <f>IF(COUNTBLANK(Games_4[[SCORE 1]:[SCORE 2]])=0,IF(RANK(H24,$H$23:$H$26)=1,RANK(H24,$H$23:$H$26)&amp;"st",IF(RANK(H24,$H$23:$H$26)=2,RANK(H24,$H$23:$H$26)&amp;"nd",IF(RANK(H24,$H$23:$H$26)=3,RANK(H24,$H$23:$H$26)&amp;"rd",RANK(H24,$H$23:$H$26)&amp;"th"))),"")</f>
        <v/>
      </c>
      <c r="H24" s="51" t="str">
        <f>IF(COUNTBLANK(Games_4[[SCORE 1]:[SCORE 2]])=0,Analysis_10[[#This Row],[WIN]]*1000000+Analysis_10[[#This Row],[Saldo]]*1000+Analysis_10[[#This Row],[PM]],"")</f>
        <v/>
      </c>
      <c r="I24" s="2" t="str">
        <f t="shared" si="3"/>
        <v/>
      </c>
      <c r="J24" s="2" t="str">
        <f>IF(COUNTBLANK(Games_4[[SCORE 1]:[SCORE 2]])=0,IF(RANK(I24,$I$17:$I$32)=1,RANK(I24,$I$17:$I$32)&amp;"st",IF(RANK(I24,$I$17:$I$32)=2,RANK(I24,$I$17:$I$32)&amp;"nd",IF(RANK(I24,$I$17:$I$32)=3,RANK(I24,$I$17:$I$32)&amp;"rd",RANK(I24,$I$17:$I$32)&amp;"th"))),"")</f>
        <v/>
      </c>
      <c r="K24" s="38" t="str">
        <f t="shared" si="4"/>
        <v>B4</v>
      </c>
      <c r="L24" s="44" t="str">
        <f t="shared" ref="L24:L26" si="5">J22</f>
        <v/>
      </c>
      <c r="M24" s="90" t="str">
        <f t="shared" ref="M24:R24" si="6">_xlfn.XLOOKUP(M22,$K$17:$K$32,$I$17:$I$32,"")</f>
        <v/>
      </c>
      <c r="N24" s="90" t="str">
        <f t="shared" si="6"/>
        <v/>
      </c>
      <c r="O24" s="90" t="str">
        <f t="shared" si="6"/>
        <v/>
      </c>
      <c r="P24" s="90" t="str">
        <f t="shared" si="6"/>
        <v/>
      </c>
      <c r="Q24" s="90" t="str">
        <f t="shared" si="6"/>
        <v/>
      </c>
      <c r="R24" s="90" t="str">
        <f t="shared" si="6"/>
        <v/>
      </c>
      <c r="T24" s="90" t="str" cm="1">
        <f t="array" ref="T24">IF(O18="","",IF(O18="lose",CHOOSE({1,2},M19,N19),CHOOSE({1,2},Q19,R19)))</f>
        <v/>
      </c>
      <c r="U24" s="90"/>
      <c r="V24" s="90" t="str" cm="1">
        <f t="array" ref="V24">IF(O23="","",IF(O23="lose",CHOOSE({1,2},M24,N24),CHOOSE({1,2},Q24,R24)))</f>
        <v/>
      </c>
      <c r="W24" s="90"/>
      <c r="X24" s="90"/>
      <c r="Y24" s="90"/>
      <c r="Z24" s="90"/>
      <c r="AA24" s="90"/>
    </row>
    <row r="25" spans="1:27">
      <c r="A25" s="430" t="s">
        <v>211</v>
      </c>
      <c r="B25" s="118" t="s">
        <v>211</v>
      </c>
      <c r="C25" s="14">
        <f>SUM(COUNTIFS(Games_4[ATHLETE 1],Analysis_10[[#This Row],[Atheletes ]],Games_4[RESULT 12],Analysis_9[[#Headers],[WIN]]),COUNTIFS(Games_4[ATHLETE 2],Analysis_10[[#This Row],[Atheletes ]],Games_4[RESULT 12],Analysis_9[[#Headers],[WIN]]),COUNTIFS(Games_4[ATHLETE 3],Analysis_10[[#This Row],[Atheletes ]],Games_4[RESULT 34],Analysis_9[[#Headers],[WIN]]),COUNTIFS(Games_4[ATHLETE 4],Analysis_10[[#This Row],[Atheletes ]],Games_4[RESULT 34],Analysis_9[[#Headers],[WIN]]))</f>
        <v>0</v>
      </c>
      <c r="D25" s="14">
        <f>SUM(COUNTIFS(Games_4[ATHLETE 1],Analysis_10[[#This Row],[Atheletes ]],Games_4[RESULT 12],Analysis_9[[#Headers],[LOSE]]),COUNTIFS(Games_4[ATHLETE 2],Analysis_10[[#This Row],[Atheletes ]],Games_4[RESULT 12],Analysis_9[[#Headers],[LOSE]]),COUNTIFS(Games_4[ATHLETE 3],Analysis_10[[#This Row],[Atheletes ]],Games_4[RESULT 34],Analysis_9[[#Headers],[LOSE]]),COUNTIFS(Games_4[ATHLETE 4],Analysis_10[[#This Row],[Atheletes ]],Games_4[RESULT 34],Analysis_9[[#Headers],[LOSE]]))</f>
        <v>0</v>
      </c>
      <c r="E25" s="19">
        <f>SUM(SUMIF(Games_4[ATHLETE 1],Analysis_10[[#This Row],[Atheletes ]],Games_4[SALDO 12]),SUMIF(Games_4[ATHLETE 2],Analysis_10[[#This Row],[Atheletes ]],Games_4[SALDO 12]),SUMIF(Games_4[ATHLETE 3],Analysis_10[[#This Row],[Atheletes ]],Games_4[SALDO 34]),SUMIF(Games_4[ATHLETE 4],Analysis_10[[#This Row],[Atheletes ]],Games_4[SALDO 34]))</f>
        <v>0</v>
      </c>
      <c r="F25" s="19">
        <f>SUM(SUMIF(Games_4[ATHLETE 1],Analysis_10[[#This Row],[Atheletes ]],Games_4[PM 12]),SUMIF(Games_4[ATHLETE 2],Analysis_10[[#This Row],[Atheletes ]],Games_4[PM 12]),SUMIF(Games_4[ATHLETE 3],Analysis_10[[#This Row],[Atheletes ]],Games_4[PM 34]),SUMIF(Games_4[ATHLETE 4],Analysis_10[[#This Row],[Atheletes ]],Games_4[PM 34]))</f>
        <v>0</v>
      </c>
      <c r="G25" s="14" t="str">
        <f>IF(COUNTBLANK(Games_4[[SCORE 1]:[SCORE 2]])=0,IF(RANK(H25,$H$23:$H$26)=1,RANK(H25,$H$23:$H$26)&amp;"st",IF(RANK(H25,$H$23:$H$26)=2,RANK(H25,$H$23:$H$26)&amp;"nd",IF(RANK(H25,$H$23:$H$26)=3,RANK(H25,$H$23:$H$26)&amp;"rd",RANK(H25,$H$23:$H$26)&amp;"th"))),"")</f>
        <v/>
      </c>
      <c r="H25" s="51" t="str">
        <f>IF(COUNTBLANK(Games_4[[SCORE 1]:[SCORE 2]])=0,Analysis_10[[#This Row],[WIN]]*1000000+Analysis_10[[#This Row],[Saldo]]*1000+Analysis_10[[#This Row],[PM]],"")</f>
        <v/>
      </c>
      <c r="I25" s="2" t="str">
        <f>H29</f>
        <v/>
      </c>
      <c r="J25" s="2" t="str">
        <f>IF(COUNTBLANK(Games_4[[SCORE 1]:[SCORE 2]])=0,IF(RANK(I25,$I$17:$I$32)=1,RANK(I25,$I$17:$I$32)&amp;"st",IF(RANK(I25,$I$17:$I$32)=2,RANK(I25,$I$17:$I$32)&amp;"nd",IF(RANK(I25,$I$17:$I$32)=3,RANK(I25,$I$17:$I$32)&amp;"rd",RANK(I25,$I$17:$I$32)&amp;"th"))),"")</f>
        <v/>
      </c>
      <c r="K25" s="38" t="str">
        <f>B29</f>
        <v>C1</v>
      </c>
      <c r="L25" s="44" t="str">
        <f t="shared" si="5"/>
        <v/>
      </c>
      <c r="M25" s="90" t="str">
        <f>IFERROR(RANK(M24,_xlfn.ANCHORARRAY($T$25),0),"")</f>
        <v/>
      </c>
      <c r="N25" s="90" t="str">
        <f>IFERROR(RANK(N24,_xlfn.ANCHORARRAY($T$25),0),"")</f>
        <v/>
      </c>
      <c r="O25" s="90" t="str">
        <f>IFERROR(RANK(O24,$M$19:$R$19:$M$24:$R$24,1),"")</f>
        <v/>
      </c>
      <c r="P25" s="90" t="str">
        <f>IFERROR(RANK(P24,$M$19:$R$19:$M$24:$R$24,1),"")</f>
        <v/>
      </c>
      <c r="Q25" s="90" t="str">
        <f>IFERROR(RANK(Q24,_xlfn.ANCHORARRAY($T$25),0),"")</f>
        <v/>
      </c>
      <c r="R25" s="90" t="str">
        <f>IFERROR(RANK(R24,_xlfn.ANCHORARRAY($T$25),0),"")</f>
        <v/>
      </c>
      <c r="T25" s="90" t="str" cm="1">
        <f t="array" ref="T25:AA25">CHOOSE({1,2,3,4,5,6,7,8}, M19, N19, Q19, R19, M24, N24, Q24, R24)</f>
        <v/>
      </c>
      <c r="U25" s="90" t="str">
        <v/>
      </c>
      <c r="V25" s="90" t="str">
        <v/>
      </c>
      <c r="W25" s="90" t="str">
        <v/>
      </c>
      <c r="X25" s="90" t="str">
        <v/>
      </c>
      <c r="Y25" s="90" t="str">
        <v/>
      </c>
      <c r="Z25" s="90" t="str">
        <v/>
      </c>
      <c r="AA25" s="90" t="str">
        <v/>
      </c>
    </row>
    <row r="26" spans="1:27" ht="29.1">
      <c r="A26" s="430" t="s">
        <v>212</v>
      </c>
      <c r="B26" s="128" t="s">
        <v>212</v>
      </c>
      <c r="C26" s="14">
        <f>SUM(COUNTIFS(Games_4[ATHLETE 1],Analysis_10[[#This Row],[Atheletes ]],Games_4[RESULT 12],Analysis_9[[#Headers],[WIN]]),COUNTIFS(Games_4[ATHLETE 2],Analysis_10[[#This Row],[Atheletes ]],Games_4[RESULT 12],Analysis_9[[#Headers],[WIN]]),COUNTIFS(Games_4[ATHLETE 3],Analysis_10[[#This Row],[Atheletes ]],Games_4[RESULT 34],Analysis_9[[#Headers],[WIN]]),COUNTIFS(Games_4[ATHLETE 4],Analysis_10[[#This Row],[Atheletes ]],Games_4[RESULT 34],Analysis_9[[#Headers],[WIN]]))</f>
        <v>0</v>
      </c>
      <c r="D26" s="14">
        <f>SUM(COUNTIFS(Games_4[ATHLETE 1],Analysis_10[[#This Row],[Atheletes ]],Games_4[RESULT 12],Analysis_9[[#Headers],[LOSE]]),COUNTIFS(Games_4[ATHLETE 2],Analysis_10[[#This Row],[Atheletes ]],Games_4[RESULT 12],Analysis_9[[#Headers],[LOSE]]),COUNTIFS(Games_4[ATHLETE 3],Analysis_10[[#This Row],[Atheletes ]],Games_4[RESULT 34],Analysis_9[[#Headers],[LOSE]]),COUNTIFS(Games_4[ATHLETE 4],Analysis_10[[#This Row],[Atheletes ]],Games_4[RESULT 34],Analysis_9[[#Headers],[LOSE]]))</f>
        <v>0</v>
      </c>
      <c r="E26" s="46">
        <f>SUM(SUMIF(Games_4[ATHLETE 1],Analysis_10[[#This Row],[Atheletes ]],Games_4[SALDO 12]),SUMIF(Games_4[ATHLETE 2],Analysis_10[[#This Row],[Atheletes ]],Games_4[SALDO 12]),SUMIF(Games_4[ATHLETE 3],Analysis_10[[#This Row],[Atheletes ]],Games_4[SALDO 34]),SUMIF(Games_4[ATHLETE 4],Analysis_10[[#This Row],[Atheletes ]],Games_4[SALDO 34]))</f>
        <v>0</v>
      </c>
      <c r="F26" s="46">
        <f>SUM(SUMIF(Games_4[ATHLETE 1],Analysis_10[[#This Row],[Atheletes ]],Games_4[PM 12]),SUMIF(Games_4[ATHLETE 2],Analysis_10[[#This Row],[Atheletes ]],Games_4[PM 12]),SUMIF(Games_4[ATHLETE 3],Analysis_10[[#This Row],[Atheletes ]],Games_4[PM 34]),SUMIF(Games_4[ATHLETE 4],Analysis_10[[#This Row],[Atheletes ]],Games_4[PM 34]))</f>
        <v>0</v>
      </c>
      <c r="G26" s="14" t="str">
        <f>IF(COUNTBLANK(Games_4[[SCORE 1]:[SCORE 2]])=0,IF(RANK(H26,$H$23:$H$26)=1,RANK(H26,$H$23:$H$26)&amp;"st",IF(RANK(H26,$H$23:$H$26)=2,RANK(H26,$H$23:$H$26)&amp;"nd",IF(RANK(H26,$H$23:$H$26)=3,RANK(H26,$H$23:$H$26)&amp;"rd",RANK(H26,$H$23:$H$26)&amp;"th"))),"")</f>
        <v/>
      </c>
      <c r="H26" s="51" t="str">
        <f>IF(COUNTBLANK(Games_4[[SCORE 1]:[SCORE 2]])=0,Analysis_10[[#This Row],[WIN]]*1000000+Analysis_10[[#This Row],[Saldo]]*1000+Analysis_10[[#This Row],[PM]],"")</f>
        <v/>
      </c>
      <c r="I26" s="2" t="str">
        <f t="shared" ref="I26:I28" si="7">H30</f>
        <v/>
      </c>
      <c r="J26" s="2" t="str">
        <f>IF(COUNTBLANK(Games_4[[SCORE 1]:[SCORE 2]])=0,IF(RANK(I26,$I$17:$I$32)=1,RANK(I26,$I$17:$I$32)&amp;"st",IF(RANK(I26,$I$17:$I$32)=2,RANK(I26,$I$17:$I$32)&amp;"nd",IF(RANK(I26,$I$17:$I$32)=3,RANK(I26,$I$17:$I$32)&amp;"rd",RANK(I26,$I$17:$I$32)&amp;"th"))),"")</f>
        <v/>
      </c>
      <c r="K26" s="38" t="str">
        <f t="shared" ref="K26:K28" si="8">B30</f>
        <v>C2</v>
      </c>
      <c r="L26" s="44" t="str">
        <f t="shared" si="5"/>
        <v/>
      </c>
      <c r="M26" s="548" t="s">
        <v>199</v>
      </c>
      <c r="N26" s="549"/>
      <c r="O26" s="549"/>
      <c r="P26" s="549"/>
      <c r="Q26" s="549"/>
      <c r="R26" s="549"/>
      <c r="T26" s="90" t="str" cm="1">
        <f t="array" ref="T26:U26">(IF(O18="lose",CHOOSE({1,2},M18,N18),CHOOSE({1,2},Q18,R18)))</f>
        <v/>
      </c>
      <c r="U26" s="90" t="str">
        <v/>
      </c>
      <c r="V26" s="90" t="str" cm="1">
        <f t="array" ref="V26:W26">(IF(O23="lose",CHOOSE({1,2},N23,M23),CHOOSE({1,2},Q23,R23)))</f>
        <v/>
      </c>
      <c r="W26" s="90" t="str">
        <v/>
      </c>
      <c r="X26" s="90"/>
      <c r="Y26" s="90"/>
      <c r="Z26" s="90"/>
      <c r="AA26" s="90"/>
    </row>
    <row r="27" spans="1:27">
      <c r="I27" s="2" t="str">
        <f t="shared" si="7"/>
        <v/>
      </c>
      <c r="J27" s="2" t="str">
        <f>IF(COUNTBLANK(Games_4[[SCORE 1]:[SCORE 2]])=0,IF(RANK(I27,$I$17:$I$32)=1,RANK(I27,$I$17:$I$32)&amp;"st",IF(RANK(I27,$I$17:$I$32)=2,RANK(I27,$I$17:$I$32)&amp;"nd",IF(RANK(I27,$I$17:$I$32)=3,RANK(I27,$I$17:$I$32)&amp;"rd",RANK(I27,$I$17:$I$32)&amp;"th"))),"")</f>
        <v/>
      </c>
      <c r="K27" s="38" t="str">
        <f t="shared" si="8"/>
        <v>C3</v>
      </c>
      <c r="M27" s="418" t="s">
        <v>193</v>
      </c>
      <c r="N27" s="418" t="s">
        <v>194</v>
      </c>
      <c r="O27" s="542" t="s">
        <v>195</v>
      </c>
      <c r="P27" s="543"/>
      <c r="Q27" s="418" t="s">
        <v>196</v>
      </c>
      <c r="R27" s="418" t="s">
        <v>197</v>
      </c>
      <c r="T27" s="90" t="str" cm="1">
        <f t="array" ref="T27">IF(O18="","",IF(O18="lose",CHOOSE({1,2},M17,N17),CHOOSE({1,2},Q17,R17)))</f>
        <v/>
      </c>
      <c r="U27" s="90"/>
      <c r="V27" s="90" t="str" cm="1">
        <f t="array" ref="V27">IF(O23="","",IF(O23="lose",CHOOSE({1,2},N22,M22),CHOOSE({1,2},Q22,R22)))</f>
        <v/>
      </c>
      <c r="W27" s="90"/>
      <c r="X27" s="90"/>
      <c r="Y27" s="90"/>
      <c r="Z27" s="90"/>
      <c r="AA27" s="90"/>
    </row>
    <row r="28" spans="1:27" ht="15.95">
      <c r="A28" s="9" t="s">
        <v>184</v>
      </c>
      <c r="B28" s="10" t="s">
        <v>185</v>
      </c>
      <c r="C28" s="10" t="s">
        <v>186</v>
      </c>
      <c r="D28" s="10" t="s">
        <v>187</v>
      </c>
      <c r="E28" s="10" t="s">
        <v>188</v>
      </c>
      <c r="F28" s="10" t="s">
        <v>189</v>
      </c>
      <c r="G28" s="7" t="s">
        <v>8</v>
      </c>
      <c r="H28" s="78" t="s">
        <v>204</v>
      </c>
      <c r="I28" s="2" t="str">
        <f t="shared" si="7"/>
        <v/>
      </c>
      <c r="J28" s="2" t="str">
        <f>IF(COUNTBLANK(Games_4[[SCORE 1]:[SCORE 2]])=0,IF(RANK(I28,$I$17:$I$32)=1,RANK(I28,$I$17:$I$32)&amp;"st",IF(RANK(I28,$I$17:$I$32)=2,RANK(I28,$I$17:$I$32)&amp;"nd",IF(RANK(I28,$I$17:$I$32)=3,RANK(I28,$I$17:$I$32)&amp;"rd",RANK(I28,$I$17:$I$32)&amp;"th"))),"")</f>
        <v/>
      </c>
      <c r="K28" s="38" t="str">
        <f t="shared" si="8"/>
        <v>C4</v>
      </c>
      <c r="L28" s="20" t="s">
        <v>192</v>
      </c>
      <c r="M28" s="428" t="str">
        <f>IF($O$18="","",IF($O$18="win",M17,Q17))</f>
        <v/>
      </c>
      <c r="N28" s="428" t="str">
        <f>IF($O$18="","",IF($O$18="win",N17,R17))</f>
        <v/>
      </c>
      <c r="O28" s="119"/>
      <c r="P28" s="120"/>
      <c r="Q28" s="428" t="str">
        <f>IF($O$23="","",IF($O$18="win",Q17,U17))</f>
        <v/>
      </c>
      <c r="R28" s="428" t="str">
        <f>IF($O$23="","",IF($O$18="win",R17,V17))</f>
        <v/>
      </c>
    </row>
    <row r="29" spans="1:27">
      <c r="A29" s="430" t="s">
        <v>213</v>
      </c>
      <c r="B29" s="118" t="s">
        <v>213</v>
      </c>
      <c r="C29" s="14">
        <f>SUM(COUNTIFS(Games_4[ATHLETE 1],Analysis_11[[#This Row],[Atheletes ]],Games_4[RESULT 12],Analysis_9[[#Headers],[WIN]]),COUNTIFS(Games_4[ATHLETE 2],Analysis_11[[#This Row],[Atheletes ]],Games_4[RESULT 12],Analysis_9[[#Headers],[WIN]]),COUNTIFS(Games_4[ATHLETE 3],Analysis_11[[#This Row],[Atheletes ]],Games_4[RESULT 34],Analysis_9[[#Headers],[WIN]]),COUNTIFS(Games_4[ATHLETE 4],Analysis_11[[#This Row],[Atheletes ]],Games_4[RESULT 34],Analysis_9[[#Headers],[WIN]]))</f>
        <v>0</v>
      </c>
      <c r="D29" s="14">
        <f>SUM(COUNTIFS(Games_4[ATHLETE 1],Analysis_11[[#This Row],[Atheletes ]],Games_4[RESULT 12],Analysis_9[[#Headers],[LOSE]]),COUNTIFS(Games_4[ATHLETE 2],Analysis_11[[#This Row],[Atheletes ]],Games_4[RESULT 12],Analysis_9[[#Headers],[LOSE]]),COUNTIFS(Games_4[ATHLETE 3],Analysis_11[[#This Row],[Atheletes ]],Games_4[RESULT 34],Analysis_9[[#Headers],[LOSE]]),COUNTIFS(Games_4[ATHLETE 4],Analysis_11[[#This Row],[Atheletes ]],Games_4[RESULT 34],Analysis_9[[#Headers],[LOSE]]))</f>
        <v>0</v>
      </c>
      <c r="E29" s="19">
        <f>SUM(SUMIF(Games_4[ATHLETE 1],Analysis_11[[#This Row],[Atheletes ]],Games_4[SALDO 12]),SUMIF(Games_4[ATHLETE 2],Analysis_11[[#This Row],[Atheletes ]],Games_4[SALDO 12]),SUMIF(Games_4[ATHLETE 3],Analysis_11[[#This Row],[Atheletes ]],Games_4[SALDO 34]),SUMIF(Games_4[ATHLETE 4],Analysis_11[[#This Row],[Atheletes ]],Games_4[SALDO 34]))</f>
        <v>0</v>
      </c>
      <c r="F29" s="19">
        <f>SUM(SUMIF(Games_4[ATHLETE 1],Analysis_11[[#This Row],[Atheletes ]],Games_4[PM 12]),SUMIF(Games_4[ATHLETE 2],Analysis_11[[#This Row],[Atheletes ]],Games_4[PM 12]),SUMIF(Games_4[ATHLETE 3],Analysis_11[[#This Row],[Atheletes ]],Games_4[PM 34]),SUMIF(Games_4[ATHLETE 4],Analysis_11[[#This Row],[Atheletes ]],Games_4[PM 34]))</f>
        <v>0</v>
      </c>
      <c r="G29" s="14" t="str">
        <f>IF(COUNTBLANK(Games_4[[SCORE 1]:[SCORE 2]])=0,IF(RANK(H29,$H$29:$H$32)=1,RANK(H29,$H$29:$H$32)&amp;"st",IF(RANK(H29,$H$29:$H$32)=2,RANK(H29,$H$29:$H$32)&amp;"nd",IF(RANK(H29,$H$29:$H$32)=3,RANK(H29,$H$29:$H$32)&amp;"rd",RANK(H29,$H$29:$H$32)&amp;"th"))),"")</f>
        <v/>
      </c>
      <c r="H29" s="51" t="str">
        <f>IF(COUNTBLANK(Games_4[[SCORE 1]:[SCORE 2]])=0,Analysis_11[[#This Row],[WIN]]*1000000+Analysis_11[[#This Row],[Saldo]]*1000+Analysis_11[[#This Row],[PM]],"")</f>
        <v/>
      </c>
      <c r="I29" s="2" t="str">
        <f>H35</f>
        <v/>
      </c>
      <c r="J29" s="2" t="str">
        <f>IF(COUNTBLANK(Games_4[[SCORE 1]:[SCORE 2]])=0,IF(RANK(I29,$I$17:$I$32)=1,RANK(I29,$I$17:$I$32)&amp;"st",IF(RANK(I29,$I$17:$I$32)=2,RANK(I29,$I$17:$I$32)&amp;"nd",IF(RANK(I29,$I$17:$I$32)=3,RANK(I29,$I$17:$I$32)&amp;"rd",RANK(I29,$I$17:$I$32)&amp;"th"))),"")</f>
        <v/>
      </c>
      <c r="K29" s="38" t="str">
        <f>B35</f>
        <v>D1</v>
      </c>
      <c r="L29" s="44" t="str">
        <f>J25</f>
        <v/>
      </c>
      <c r="M29" s="62" t="str">
        <f>IF(OR($O$28="",$P$28="",$O$29="win"),"",IF($M$30&gt;$N$30,$U$5,$U$6))</f>
        <v/>
      </c>
      <c r="N29" s="62" t="str">
        <f>IF(OR($O$28="",$P$28="",$O$29="win"),"",IF($M$30&lt;$N$30,$U$5,$U$6))</f>
        <v/>
      </c>
      <c r="O29" s="2" t="str">
        <f>IF(OR(O28="",P28=""),"",IF((O28&gt;P28),"WIN","LOSE"))</f>
        <v/>
      </c>
      <c r="P29" s="2" t="str">
        <f>IF(OR(O28="",P28=""),"",IF((O28&lt;P28),"WIN","LOSE"))</f>
        <v/>
      </c>
      <c r="Q29" s="62" t="str">
        <f>IF(OR($O$28="",$P$28="",$P$29="win"),"",IF($Q$30&gt;$R$30,$U$5,$U$6))</f>
        <v/>
      </c>
      <c r="R29" s="62" t="str">
        <f>IF(OR($O$28="",$P$28="",$P$29="win"),"",IF($Q$30&lt;$R$30,$U$5,$U$6))</f>
        <v/>
      </c>
    </row>
    <row r="30" spans="1:27">
      <c r="A30" s="430" t="s">
        <v>214</v>
      </c>
      <c r="B30" s="118" t="s">
        <v>214</v>
      </c>
      <c r="C30" s="14">
        <f>SUM(COUNTIFS(Games_4[ATHLETE 1],Analysis_11[[#This Row],[Atheletes ]],Games_4[RESULT 12],Analysis_9[[#Headers],[WIN]]),COUNTIFS(Games_4[ATHLETE 2],Analysis_11[[#This Row],[Atheletes ]],Games_4[RESULT 12],Analysis_9[[#Headers],[WIN]]),COUNTIFS(Games_4[ATHLETE 3],Analysis_11[[#This Row],[Atheletes ]],Games_4[RESULT 34],Analysis_9[[#Headers],[WIN]]),COUNTIFS(Games_4[ATHLETE 4],Analysis_11[[#This Row],[Atheletes ]],Games_4[RESULT 34],Analysis_9[[#Headers],[WIN]]))</f>
        <v>0</v>
      </c>
      <c r="D30" s="14">
        <f>SUM(COUNTIFS(Games_4[ATHLETE 1],Analysis_11[[#This Row],[Atheletes ]],Games_4[RESULT 12],Analysis_9[[#Headers],[LOSE]]),COUNTIFS(Games_4[ATHLETE 2],Analysis_11[[#This Row],[Atheletes ]],Games_4[RESULT 12],Analysis_9[[#Headers],[LOSE]]),COUNTIFS(Games_4[ATHLETE 3],Analysis_11[[#This Row],[Atheletes ]],Games_4[RESULT 34],Analysis_9[[#Headers],[LOSE]]),COUNTIFS(Games_4[ATHLETE 4],Analysis_11[[#This Row],[Atheletes ]],Games_4[RESULT 34],Analysis_9[[#Headers],[LOSE]]))</f>
        <v>0</v>
      </c>
      <c r="E30" s="19">
        <f>SUM(SUMIF(Games_4[ATHLETE 1],Analysis_11[[#This Row],[Atheletes ]],Games_4[SALDO 12]),SUMIF(Games_4[ATHLETE 2],Analysis_11[[#This Row],[Atheletes ]],Games_4[SALDO 12]),SUMIF(Games_4[ATHLETE 3],Analysis_11[[#This Row],[Atheletes ]],Games_4[SALDO 34]),SUMIF(Games_4[ATHLETE 4],Analysis_11[[#This Row],[Atheletes ]],Games_4[SALDO 34]))</f>
        <v>0</v>
      </c>
      <c r="F30" s="19">
        <f>SUM(SUMIF(Games_4[ATHLETE 1],Analysis_11[[#This Row],[Atheletes ]],Games_4[PM 12]),SUMIF(Games_4[ATHLETE 2],Analysis_11[[#This Row],[Atheletes ]],Games_4[PM 12]),SUMIF(Games_4[ATHLETE 3],Analysis_11[[#This Row],[Atheletes ]],Games_4[PM 34]),SUMIF(Games_4[ATHLETE 4],Analysis_11[[#This Row],[Atheletes ]],Games_4[PM 34]))</f>
        <v>0</v>
      </c>
      <c r="G30" s="14" t="str">
        <f>IF(COUNTBLANK(Games_4[[SCORE 1]:[SCORE 2]])=0,IF(RANK(H30,$H$29:$H$32)=1,RANK(H30,$H$29:$H$32)&amp;"st",IF(RANK(H30,$H$29:$H$32)=2,RANK(H30,$H$29:$H$32)&amp;"nd",IF(RANK(H30,$H$29:$H$32)=3,RANK(H30,$H$29:$H$32)&amp;"rd",RANK(H30,$H$29:$H$32)&amp;"th"))),"")</f>
        <v/>
      </c>
      <c r="H30" s="51" t="str">
        <f>IF(COUNTBLANK(Games_4[[SCORE 1]:[SCORE 2]])=0,Analysis_11[[#This Row],[WIN]]*1000000+Analysis_11[[#This Row],[Saldo]]*1000+Analysis_11[[#This Row],[PM]],"")</f>
        <v/>
      </c>
      <c r="I30" s="2" t="str">
        <f t="shared" ref="I30:I32" si="9">H36</f>
        <v/>
      </c>
      <c r="J30" s="2" t="str">
        <f>IF(COUNTBLANK(Games_4[[SCORE 1]:[SCORE 2]])=0,IF(RANK(I30,$I$17:$I$32)=1,RANK(I30,$I$17:$I$32)&amp;"st",IF(RANK(I30,$I$17:$I$32)=2,RANK(I30,$I$17:$I$32)&amp;"nd",IF(RANK(I30,$I$17:$I$32)=3,RANK(I30,$I$17:$I$32)&amp;"rd",RANK(I30,$I$17:$I$32)&amp;"th"))),"")</f>
        <v/>
      </c>
      <c r="K30" s="38" t="str">
        <f t="shared" ref="K30:K32" si="10">B36</f>
        <v>D2</v>
      </c>
      <c r="L30" s="44" t="str">
        <f t="shared" ref="L30:L32" si="11">J26</f>
        <v/>
      </c>
      <c r="M30" s="91" t="str">
        <f>IF(M31="","",_xlfn.XLOOKUP(M31,$K$17:$K$32,$I$17:$I$32))</f>
        <v/>
      </c>
      <c r="N30" s="91" t="str">
        <f>IF(N31="","",_xlfn.XLOOKUP(N31,$K$17:$K$32,$I$17:$I$32))</f>
        <v/>
      </c>
      <c r="O30" s="91"/>
      <c r="P30" s="91"/>
      <c r="Q30" s="91" t="str">
        <f>IF(Q31="","",_xlfn.XLOOKUP(Q31,$K$17:$K$32,$I$17:$I$32))</f>
        <v/>
      </c>
      <c r="R30" s="91" t="str">
        <f>IF(R31="","",_xlfn.XLOOKUP(R31,$K$17:$K$32,$I$17:$I$32))</f>
        <v/>
      </c>
    </row>
    <row r="31" spans="1:27">
      <c r="A31" s="430" t="s">
        <v>216</v>
      </c>
      <c r="B31" s="118" t="s">
        <v>216</v>
      </c>
      <c r="C31" s="14">
        <f>SUM(COUNTIFS(Games_4[ATHLETE 1],Analysis_11[[#This Row],[Atheletes ]],Games_4[RESULT 12],Analysis_9[[#Headers],[WIN]]),COUNTIFS(Games_4[ATHLETE 2],Analysis_11[[#This Row],[Atheletes ]],Games_4[RESULT 12],Analysis_9[[#Headers],[WIN]]),COUNTIFS(Games_4[ATHLETE 3],Analysis_11[[#This Row],[Atheletes ]],Games_4[RESULT 34],Analysis_9[[#Headers],[WIN]]),COUNTIFS(Games_4[ATHLETE 4],Analysis_11[[#This Row],[Atheletes ]],Games_4[RESULT 34],Analysis_9[[#Headers],[WIN]]))</f>
        <v>0</v>
      </c>
      <c r="D31" s="14">
        <f>SUM(COUNTIFS(Games_4[ATHLETE 1],Analysis_11[[#This Row],[Atheletes ]],Games_4[RESULT 12],Analysis_9[[#Headers],[LOSE]]),COUNTIFS(Games_4[ATHLETE 2],Analysis_11[[#This Row],[Atheletes ]],Games_4[RESULT 12],Analysis_9[[#Headers],[LOSE]]),COUNTIFS(Games_4[ATHLETE 3],Analysis_11[[#This Row],[Atheletes ]],Games_4[RESULT 34],Analysis_9[[#Headers],[LOSE]]),COUNTIFS(Games_4[ATHLETE 4],Analysis_11[[#This Row],[Atheletes ]],Games_4[RESULT 34],Analysis_9[[#Headers],[LOSE]]))</f>
        <v>0</v>
      </c>
      <c r="E31" s="19">
        <f>SUM(SUMIF(Games_4[ATHLETE 1],Analysis_11[[#This Row],[Atheletes ]],Games_4[SALDO 12]),SUMIF(Games_4[ATHLETE 2],Analysis_11[[#This Row],[Atheletes ]],Games_4[SALDO 12]),SUMIF(Games_4[ATHLETE 3],Analysis_11[[#This Row],[Atheletes ]],Games_4[SALDO 34]),SUMIF(Games_4[ATHLETE 4],Analysis_11[[#This Row],[Atheletes ]],Games_4[SALDO 34]))</f>
        <v>0</v>
      </c>
      <c r="F31" s="19">
        <f>SUM(SUMIF(Games_4[ATHLETE 1],Analysis_11[[#This Row],[Atheletes ]],Games_4[PM 12]),SUMIF(Games_4[ATHLETE 2],Analysis_11[[#This Row],[Atheletes ]],Games_4[PM 12]),SUMIF(Games_4[ATHLETE 3],Analysis_11[[#This Row],[Atheletes ]],Games_4[PM 34]),SUMIF(Games_4[ATHLETE 4],Analysis_11[[#This Row],[Atheletes ]],Games_4[PM 34]))</f>
        <v>0</v>
      </c>
      <c r="G31" s="14" t="str">
        <f>IF(COUNTBLANK(Games_4[[SCORE 1]:[SCORE 2]])=0,IF(RANK(H31,$H$29:$H$32)=1,RANK(H31,$H$29:$H$32)&amp;"st",IF(RANK(H31,$H$29:$H$32)=2,RANK(H31,$H$29:$H$32)&amp;"nd",IF(RANK(H31,$H$29:$H$32)=3,RANK(H31,$H$29:$H$32)&amp;"rd",RANK(H31,$H$29:$H$32)&amp;"th"))),"")</f>
        <v/>
      </c>
      <c r="H31" s="51" t="str">
        <f>IF(COUNTBLANK(Games_4[[SCORE 1]:[SCORE 2]])=0,Analysis_11[[#This Row],[WIN]]*1000000+Analysis_11[[#This Row],[Saldo]]*1000+Analysis_11[[#This Row],[PM]],"")</f>
        <v/>
      </c>
      <c r="I31" s="2" t="str">
        <f t="shared" si="9"/>
        <v/>
      </c>
      <c r="J31" s="2" t="str">
        <f>IF(COUNTBLANK(Games_4[[SCORE 1]:[SCORE 2]])=0,IF(RANK(I31,$I$17:$I$32)=1,RANK(I31,$I$17:$I$32)&amp;"st",IF(RANK(I31,$I$17:$I$32)=2,RANK(I31,$I$17:$I$32)&amp;"nd",IF(RANK(I31,$I$17:$I$32)=3,RANK(I31,$I$17:$I$32)&amp;"rd",RANK(I31,$I$17:$I$32)&amp;"th"))),"")</f>
        <v/>
      </c>
      <c r="K31" s="38" t="str">
        <f t="shared" si="10"/>
        <v>D3</v>
      </c>
      <c r="L31" s="44" t="str">
        <f t="shared" si="11"/>
        <v/>
      </c>
      <c r="M31" s="91" t="str">
        <f>$M$28</f>
        <v/>
      </c>
      <c r="N31" s="91" t="str">
        <f>$N$28</f>
        <v/>
      </c>
      <c r="O31" s="91"/>
      <c r="P31" s="91"/>
      <c r="Q31" s="91" t="str">
        <f>$Q$28</f>
        <v/>
      </c>
      <c r="R31" s="91" t="str">
        <f>$R$28</f>
        <v/>
      </c>
    </row>
    <row r="32" spans="1:27">
      <c r="A32" s="430" t="s">
        <v>217</v>
      </c>
      <c r="B32" s="118" t="s">
        <v>217</v>
      </c>
      <c r="C32" s="14">
        <f>SUM(COUNTIFS(Games_4[ATHLETE 1],Analysis_11[[#This Row],[Atheletes ]],Games_4[RESULT 12],Analysis_9[[#Headers],[WIN]]),COUNTIFS(Games_4[ATHLETE 2],Analysis_11[[#This Row],[Atheletes ]],Games_4[RESULT 12],Analysis_9[[#Headers],[WIN]]),COUNTIFS(Games_4[ATHLETE 3],Analysis_11[[#This Row],[Atheletes ]],Games_4[RESULT 34],Analysis_9[[#Headers],[WIN]]),COUNTIFS(Games_4[ATHLETE 4],Analysis_11[[#This Row],[Atheletes ]],Games_4[RESULT 34],Analysis_9[[#Headers],[WIN]]))</f>
        <v>0</v>
      </c>
      <c r="D32" s="14">
        <f>SUM(COUNTIFS(Games_4[ATHLETE 1],Analysis_11[[#This Row],[Atheletes ]],Games_4[RESULT 12],Analysis_9[[#Headers],[LOSE]]),COUNTIFS(Games_4[ATHLETE 2],Analysis_11[[#This Row],[Atheletes ]],Games_4[RESULT 12],Analysis_9[[#Headers],[LOSE]]),COUNTIFS(Games_4[ATHLETE 3],Analysis_11[[#This Row],[Atheletes ]],Games_4[RESULT 34],Analysis_9[[#Headers],[LOSE]]),COUNTIFS(Games_4[ATHLETE 4],Analysis_11[[#This Row],[Atheletes ]],Games_4[RESULT 34],Analysis_9[[#Headers],[LOSE]]))</f>
        <v>0</v>
      </c>
      <c r="E32" s="19">
        <f>SUM(SUMIF(Games_4[ATHLETE 1],Analysis_11[[#This Row],[Atheletes ]],Games_4[SALDO 12]),SUMIF(Games_4[ATHLETE 2],Analysis_11[[#This Row],[Atheletes ]],Games_4[SALDO 12]),SUMIF(Games_4[ATHLETE 3],Analysis_11[[#This Row],[Atheletes ]],Games_4[SALDO 34]),SUMIF(Games_4[ATHLETE 4],Analysis_11[[#This Row],[Atheletes ]],Games_4[SALDO 34]))</f>
        <v>0</v>
      </c>
      <c r="F32" s="19">
        <f>SUM(SUMIF(Games_4[ATHLETE 1],Analysis_11[[#This Row],[Atheletes ]],Games_4[PM 12]),SUMIF(Games_4[ATHLETE 2],Analysis_11[[#This Row],[Atheletes ]],Games_4[PM 12]),SUMIF(Games_4[ATHLETE 3],Analysis_11[[#This Row],[Atheletes ]],Games_4[PM 34]),SUMIF(Games_4[ATHLETE 4],Analysis_11[[#This Row],[Atheletes ]],Games_4[PM 34]))</f>
        <v>0</v>
      </c>
      <c r="G32" s="14" t="str">
        <f>IF(COUNTBLANK(Games_4[[SCORE 1]:[SCORE 2]])=0,IF(RANK(H32,$H$29:$H$32)=1,RANK(H32,$H$29:$H$32)&amp;"st",IF(RANK(H32,$H$29:$H$32)=2,RANK(H32,$H$29:$H$32)&amp;"nd",IF(RANK(H32,$H$29:$H$32)=3,RANK(H32,$H$29:$H$32)&amp;"rd",RANK(H32,$H$29:$H$32)&amp;"th"))),"")</f>
        <v/>
      </c>
      <c r="H32" s="51" t="str">
        <f>IF(COUNTBLANK(Games_4[[SCORE 1]:[SCORE 2]])=0,Analysis_11[[#This Row],[WIN]]*1000000+Analysis_11[[#This Row],[Saldo]]*1000+Analysis_11[[#This Row],[PM]],"")</f>
        <v/>
      </c>
      <c r="I32" s="2" t="str">
        <f t="shared" si="9"/>
        <v/>
      </c>
      <c r="J32" s="2" t="str">
        <f>IF(COUNTBLANK(Games_4[[SCORE 1]:[SCORE 2]])=0,IF(RANK(I32,$I$17:$I$32)=1,RANK(I32,$I$17:$I$32)&amp;"st",IF(RANK(I32,$I$17:$I$32)=2,RANK(I32,$I$17:$I$32)&amp;"nd",IF(RANK(I32,$I$17:$I$32)=3,RANK(I32,$I$17:$I$32)&amp;"rd",RANK(I32,$I$17:$I$32)&amp;"th"))),"")</f>
        <v/>
      </c>
      <c r="K32" s="38" t="str">
        <f t="shared" si="10"/>
        <v>D4</v>
      </c>
      <c r="L32" s="44" t="str">
        <f t="shared" si="11"/>
        <v/>
      </c>
      <c r="M32" s="91" t="str">
        <f>IF(M30="","",RANK(M30,$M$30:$R$30))</f>
        <v/>
      </c>
      <c r="N32" s="91" t="str">
        <f>IF(N30="","",RANK(N30,$M$30:$R$30))</f>
        <v/>
      </c>
      <c r="O32" s="91"/>
      <c r="P32" s="91"/>
      <c r="Q32" s="91" t="str">
        <f>IF(Q30="","",RANK(Q30,$M$30:$R$30))</f>
        <v/>
      </c>
      <c r="R32" s="91" t="str">
        <f>IF(R30="","",RANK(R30,$M$30:$R$30))</f>
        <v/>
      </c>
    </row>
    <row r="33" spans="1:18" ht="29.1">
      <c r="M33" s="548" t="s">
        <v>200</v>
      </c>
      <c r="N33" s="549"/>
      <c r="O33" s="549"/>
      <c r="P33" s="549"/>
      <c r="Q33" s="549"/>
      <c r="R33" s="549"/>
    </row>
    <row r="34" spans="1:18" ht="15.95">
      <c r="A34" s="9" t="s">
        <v>184</v>
      </c>
      <c r="B34" s="10" t="s">
        <v>185</v>
      </c>
      <c r="C34" s="10" t="s">
        <v>186</v>
      </c>
      <c r="D34" s="10" t="s">
        <v>187</v>
      </c>
      <c r="E34" s="10" t="s">
        <v>188</v>
      </c>
      <c r="F34" s="10" t="s">
        <v>189</v>
      </c>
      <c r="G34" s="7" t="s">
        <v>8</v>
      </c>
      <c r="H34" s="20" t="s">
        <v>204</v>
      </c>
      <c r="L34" s="20" t="s">
        <v>192</v>
      </c>
      <c r="M34" s="418" t="s">
        <v>193</v>
      </c>
      <c r="N34" s="418" t="s">
        <v>194</v>
      </c>
      <c r="O34" s="542" t="s">
        <v>195</v>
      </c>
      <c r="P34" s="543"/>
      <c r="Q34" s="418" t="s">
        <v>196</v>
      </c>
      <c r="R34" s="418" t="s">
        <v>197</v>
      </c>
    </row>
    <row r="35" spans="1:18">
      <c r="A35" s="430" t="s">
        <v>233</v>
      </c>
      <c r="B35" s="118" t="s">
        <v>233</v>
      </c>
      <c r="C35" s="14">
        <f>SUM(COUNTIFS(Games_4[ATHLETE 1],Analysis_12[[#This Row],[Atheletes ]],Games_4[RESULT 12],Analysis_9[[#Headers],[WIN]]),COUNTIFS(Games_4[ATHLETE 2],Analysis_12[[#This Row],[Atheletes ]],Games_4[RESULT 12],Analysis_9[[#Headers],[WIN]]),COUNTIFS(Games_4[ATHLETE 3],Analysis_12[[#This Row],[Atheletes ]],Games_4[RESULT 34],Analysis_9[[#Headers],[WIN]]),COUNTIFS(Games_4[ATHLETE 4],Analysis_12[[#This Row],[Atheletes ]],Games_4[RESULT 34],Analysis_9[[#Headers],[WIN]]))</f>
        <v>0</v>
      </c>
      <c r="D35" s="14">
        <f>SUM(COUNTIFS(Games_4[ATHLETE 1],Analysis_12[[#This Row],[Atheletes ]],Games_4[RESULT 12],Analysis_9[[#Headers],[LOSE]]),COUNTIFS(Games_4[ATHLETE 2],Analysis_12[[#This Row],[Atheletes ]],Games_4[RESULT 12],Analysis_9[[#Headers],[LOSE]]),COUNTIFS(Games_4[ATHLETE 3],Analysis_12[[#This Row],[Atheletes ]],Games_4[RESULT 34],Analysis_9[[#Headers],[LOSE]]),COUNTIFS(Games_4[ATHLETE 4],Analysis_12[[#This Row],[Atheletes ]],Games_4[RESULT 34],Analysis_9[[#Headers],[LOSE]]))</f>
        <v>0</v>
      </c>
      <c r="E35" s="19">
        <f>SUM(SUMIF(Games_4[ATHLETE 1],Analysis_12[[#This Row],[Atheletes ]],Games_4[SALDO 12]),SUMIF(Games_4[ATHLETE 2],Analysis_12[[#This Row],[Atheletes ]],Games_4[SALDO 12]),SUMIF(Games_4[ATHLETE 3],Analysis_12[[#This Row],[Atheletes ]],Games_4[SALDO 34]),SUMIF(Games_4[ATHLETE 4],Analysis_12[[#This Row],[Atheletes ]],Games_4[SALDO 34]))</f>
        <v>0</v>
      </c>
      <c r="F35" s="19">
        <f>SUM(SUMIF(Games_4[ATHLETE 1],Analysis_12[[#This Row],[Atheletes ]],Games_4[PM 12]),SUMIF(Games_4[ATHLETE 2],Analysis_12[[#This Row],[Atheletes ]],Games_4[PM 12]),SUMIF(Games_4[ATHLETE 3],Analysis_12[[#This Row],[Atheletes ]],Games_4[PM 34]),SUMIF(Games_4[ATHLETE 4],Analysis_12[[#This Row],[Atheletes ]],Games_4[PM 34]))</f>
        <v>0</v>
      </c>
      <c r="G35" s="14" t="str">
        <f>IF(COUNTBLANK(Games_4[[SCORE 1]:[SCORE 2]])=0,IF(RANK(H35,$H$35:$H$38)=1,RANK(H35,$H$35:$H$38)&amp;"st",IF(RANK(H35,$H$35:$H$38)=2,RANK(H35,$H$35:$H$38)&amp;"nd",IF(RANK(H35,$H$35:$H$38)=3,RANK(H35,$H$35:$H$38)&amp;"rd",RANK(H35,$H$35:$H$38)&amp;"th"))),"")</f>
        <v/>
      </c>
      <c r="H35" s="51" t="str">
        <f>IF(COUNTBLANK(Games_4[[SCORE 1]:[SCORE 2]])=0,Analysis_12[[#This Row],[WIN]]*1000000+Analysis_12[[#This Row],[Saldo]]*1000+Analysis_12[[#This Row],[PM]],"")</f>
        <v/>
      </c>
      <c r="L35" s="44" t="str">
        <f>J29</f>
        <v/>
      </c>
      <c r="M35" s="432" t="str">
        <f>IF(OR($O$28="",$P$28=""),"",IF($O$29="WIN",$M$28,$Q$28))</f>
        <v/>
      </c>
      <c r="N35" s="121"/>
      <c r="O35" s="119"/>
      <c r="P35" s="119"/>
      <c r="Q35" s="432" t="str">
        <f>IF(OR($O$28="",$P$28=""),"",IF($O$29="WIN",$N$28,$R$28))</f>
        <v/>
      </c>
      <c r="R35" s="122"/>
    </row>
    <row r="36" spans="1:18">
      <c r="A36" s="430" t="s">
        <v>234</v>
      </c>
      <c r="B36" s="118" t="s">
        <v>234</v>
      </c>
      <c r="C36" s="14">
        <f>SUM(COUNTIFS(Games_4[ATHLETE 1],Analysis_12[[#This Row],[Atheletes ]],Games_4[RESULT 12],Analysis_9[[#Headers],[WIN]]),COUNTIFS(Games_4[ATHLETE 2],Analysis_12[[#This Row],[Atheletes ]],Games_4[RESULT 12],Analysis_9[[#Headers],[WIN]]),COUNTIFS(Games_4[ATHLETE 3],Analysis_12[[#This Row],[Atheletes ]],Games_4[RESULT 34],Analysis_9[[#Headers],[WIN]]),COUNTIFS(Games_4[ATHLETE 4],Analysis_12[[#This Row],[Atheletes ]],Games_4[RESULT 34],Analysis_9[[#Headers],[WIN]]))</f>
        <v>0</v>
      </c>
      <c r="D36" s="14">
        <f>SUM(COUNTIFS(Games_4[ATHLETE 1],Analysis_12[[#This Row],[Atheletes ]],Games_4[RESULT 12],Analysis_9[[#Headers],[LOSE]]),COUNTIFS(Games_4[ATHLETE 2],Analysis_12[[#This Row],[Atheletes ]],Games_4[RESULT 12],Analysis_9[[#Headers],[LOSE]]),COUNTIFS(Games_4[ATHLETE 3],Analysis_12[[#This Row],[Atheletes ]],Games_4[RESULT 34],Analysis_9[[#Headers],[LOSE]]),COUNTIFS(Games_4[ATHLETE 4],Analysis_12[[#This Row],[Atheletes ]],Games_4[RESULT 34],Analysis_9[[#Headers],[LOSE]]))</f>
        <v>0</v>
      </c>
      <c r="E36" s="19">
        <f>SUM(SUMIF(Games_4[ATHLETE 1],Analysis_12[[#This Row],[Atheletes ]],Games_4[SALDO 12]),SUMIF(Games_4[ATHLETE 2],Analysis_12[[#This Row],[Atheletes ]],Games_4[SALDO 12]),SUMIF(Games_4[ATHLETE 3],Analysis_12[[#This Row],[Atheletes ]],Games_4[SALDO 34]),SUMIF(Games_4[ATHLETE 4],Analysis_12[[#This Row],[Atheletes ]],Games_4[SALDO 34]))</f>
        <v>0</v>
      </c>
      <c r="F36" s="19">
        <f>SUM(SUMIF(Games_4[ATHLETE 1],Analysis_12[[#This Row],[Atheletes ]],Games_4[PM 12]),SUMIF(Games_4[ATHLETE 2],Analysis_12[[#This Row],[Atheletes ]],Games_4[PM 12]),SUMIF(Games_4[ATHLETE 3],Analysis_12[[#This Row],[Atheletes ]],Games_4[PM 34]),SUMIF(Games_4[ATHLETE 4],Analysis_12[[#This Row],[Atheletes ]],Games_4[PM 34]))</f>
        <v>0</v>
      </c>
      <c r="G36" s="14" t="str">
        <f>IF(COUNTBLANK(Games_4[[SCORE 1]:[SCORE 2]])=0,IF(RANK(H36,$H$35:$H$38)=1,RANK(H36,$H$35:$H$38)&amp;"st",IF(RANK(H36,$H$35:$H$38)=2,RANK(H36,$H$35:$H$38)&amp;"nd",IF(RANK(H36,$H$35:$H$38)=3,RANK(H36,$H$35:$H$38)&amp;"rd",RANK(H36,$H$35:$H$38)&amp;"th"))),"")</f>
        <v/>
      </c>
      <c r="H36" s="51" t="str">
        <f>IF(COUNTBLANK(Games_4[[SCORE 1]:[SCORE 2]])=0,Analysis_12[[#This Row],[WIN]]*1000000+Analysis_12[[#This Row],[Saldo]]*1000+Analysis_12[[#This Row],[PM]],"")</f>
        <v/>
      </c>
      <c r="L36" s="44" t="str">
        <f t="shared" ref="L36:L38" si="12">J30</f>
        <v/>
      </c>
      <c r="M36" s="125" t="str">
        <f>IF(O36="","",IF(O36="win",$U$3,$U$4))</f>
        <v/>
      </c>
      <c r="O36" s="2" t="str">
        <f>IF(OR(O35="",P35=""),"",IF((O35&gt;P35),"WIN","LOSE"))</f>
        <v/>
      </c>
      <c r="P36" s="2" t="str">
        <f>IF(OR(O35="",P35=""),"",IF((O35&lt;P35),"WIN","LOSE"))</f>
        <v/>
      </c>
      <c r="Q36" s="125" t="str">
        <f>IF(P36="","",IF(P36="win",$U$3,$U$4))</f>
        <v/>
      </c>
    </row>
    <row r="37" spans="1:18">
      <c r="A37" s="430" t="s">
        <v>235</v>
      </c>
      <c r="B37" s="118" t="s">
        <v>235</v>
      </c>
      <c r="C37" s="14">
        <f>SUM(COUNTIFS(Games_4[ATHLETE 1],Analysis_12[[#This Row],[Atheletes ]],Games_4[RESULT 12],Analysis_9[[#Headers],[WIN]]),COUNTIFS(Games_4[ATHLETE 2],Analysis_12[[#This Row],[Atheletes ]],Games_4[RESULT 12],Analysis_9[[#Headers],[WIN]]),COUNTIFS(Games_4[ATHLETE 3],Analysis_12[[#This Row],[Atheletes ]],Games_4[RESULT 34],Analysis_9[[#Headers],[WIN]]),COUNTIFS(Games_4[ATHLETE 4],Analysis_12[[#This Row],[Atheletes ]],Games_4[RESULT 34],Analysis_9[[#Headers],[WIN]]))</f>
        <v>0</v>
      </c>
      <c r="D37" s="14">
        <f>SUM(COUNTIFS(Games_4[ATHLETE 1],Analysis_12[[#This Row],[Atheletes ]],Games_4[RESULT 12],Analysis_9[[#Headers],[LOSE]]),COUNTIFS(Games_4[ATHLETE 2],Analysis_12[[#This Row],[Atheletes ]],Games_4[RESULT 12],Analysis_9[[#Headers],[LOSE]]),COUNTIFS(Games_4[ATHLETE 3],Analysis_12[[#This Row],[Atheletes ]],Games_4[RESULT 34],Analysis_9[[#Headers],[LOSE]]),COUNTIFS(Games_4[ATHLETE 4],Analysis_12[[#This Row],[Atheletes ]],Games_4[RESULT 34],Analysis_9[[#Headers],[LOSE]]))</f>
        <v>0</v>
      </c>
      <c r="E37" s="19">
        <f>SUM(SUMIF(Games_4[ATHLETE 1],Analysis_12[[#This Row],[Atheletes ]],Games_4[SALDO 12]),SUMIF(Games_4[ATHLETE 2],Analysis_12[[#This Row],[Atheletes ]],Games_4[SALDO 12]),SUMIF(Games_4[ATHLETE 3],Analysis_12[[#This Row],[Atheletes ]],Games_4[SALDO 34]),SUMIF(Games_4[ATHLETE 4],Analysis_12[[#This Row],[Atheletes ]],Games_4[SALDO 34]))</f>
        <v>0</v>
      </c>
      <c r="F37" s="19">
        <f>SUM(SUMIF(Games_4[ATHLETE 1],Analysis_12[[#This Row],[Atheletes ]],Games_4[PM 12]),SUMIF(Games_4[ATHLETE 2],Analysis_12[[#This Row],[Atheletes ]],Games_4[PM 12]),SUMIF(Games_4[ATHLETE 3],Analysis_12[[#This Row],[Atheletes ]],Games_4[PM 34]),SUMIF(Games_4[ATHLETE 4],Analysis_12[[#This Row],[Atheletes ]],Games_4[PM 34]))</f>
        <v>0</v>
      </c>
      <c r="G37" s="14" t="str">
        <f>IF(COUNTBLANK(Games_4[[SCORE 1]:[SCORE 2]])=0,IF(RANK(H37,$H$35:$H$38)=1,RANK(H37,$H$35:$H$38)&amp;"st",IF(RANK(H37,$H$35:$H$38)=2,RANK(H37,$H$35:$H$38)&amp;"nd",IF(RANK(H37,$H$35:$H$38)=3,RANK(H37,$H$35:$H$38)&amp;"rd",RANK(H37,$H$35:$H$38)&amp;"th"))),"")</f>
        <v/>
      </c>
      <c r="H37" s="51" t="str">
        <f>IF(COUNTBLANK(Games_4[[SCORE 1]:[SCORE 2]])=0,Analysis_12[[#This Row],[WIN]]*1000000+Analysis_12[[#This Row],[Saldo]]*1000+Analysis_12[[#This Row],[PM]],"")</f>
        <v/>
      </c>
      <c r="L37" s="44" t="str">
        <f t="shared" si="12"/>
        <v/>
      </c>
    </row>
    <row r="38" spans="1:18">
      <c r="A38" s="430" t="s">
        <v>236</v>
      </c>
      <c r="B38" s="118" t="s">
        <v>236</v>
      </c>
      <c r="C38" s="14">
        <f>SUM(COUNTIFS(Games_4[ATHLETE 1],Analysis_12[[#This Row],[Atheletes ]],Games_4[RESULT 12],Analysis_9[[#Headers],[WIN]]),COUNTIFS(Games_4[ATHLETE 2],Analysis_12[[#This Row],[Atheletes ]],Games_4[RESULT 12],Analysis_9[[#Headers],[WIN]]),COUNTIFS(Games_4[ATHLETE 3],Analysis_12[[#This Row],[Atheletes ]],Games_4[RESULT 34],Analysis_9[[#Headers],[WIN]]),COUNTIFS(Games_4[ATHLETE 4],Analysis_12[[#This Row],[Atheletes ]],Games_4[RESULT 34],Analysis_9[[#Headers],[WIN]]))</f>
        <v>0</v>
      </c>
      <c r="D38" s="14">
        <f>SUM(COUNTIFS(Games_4[ATHLETE 1],Analysis_12[[#This Row],[Atheletes ]],Games_4[RESULT 12],Analysis_9[[#Headers],[LOSE]]),COUNTIFS(Games_4[ATHLETE 2],Analysis_12[[#This Row],[Atheletes ]],Games_4[RESULT 12],Analysis_9[[#Headers],[LOSE]]),COUNTIFS(Games_4[ATHLETE 3],Analysis_12[[#This Row],[Atheletes ]],Games_4[RESULT 34],Analysis_9[[#Headers],[LOSE]]),COUNTIFS(Games_4[ATHLETE 4],Analysis_12[[#This Row],[Atheletes ]],Games_4[RESULT 34],Analysis_9[[#Headers],[LOSE]]))</f>
        <v>0</v>
      </c>
      <c r="E38" s="19">
        <f>SUM(SUMIF(Games_4[ATHLETE 1],Analysis_12[[#This Row],[Atheletes ]],Games_4[SALDO 12]),SUMIF(Games_4[ATHLETE 2],Analysis_12[[#This Row],[Atheletes ]],Games_4[SALDO 12]),SUMIF(Games_4[ATHLETE 3],Analysis_12[[#This Row],[Atheletes ]],Games_4[SALDO 34]),SUMIF(Games_4[ATHLETE 4],Analysis_12[[#This Row],[Atheletes ]],Games_4[SALDO 34]))</f>
        <v>0</v>
      </c>
      <c r="F38" s="19">
        <f>SUM(SUMIF(Games_4[ATHLETE 1],Analysis_12[[#This Row],[Atheletes ]],Games_4[PM 12]),SUMIF(Games_4[ATHLETE 2],Analysis_12[[#This Row],[Atheletes ]],Games_4[PM 12]),SUMIF(Games_4[ATHLETE 3],Analysis_12[[#This Row],[Atheletes ]],Games_4[PM 34]),SUMIF(Games_4[ATHLETE 4],Analysis_12[[#This Row],[Atheletes ]],Games_4[PM 34]))</f>
        <v>0</v>
      </c>
      <c r="G38" s="14" t="str">
        <f>IF(COUNTBLANK(Games_4[[SCORE 1]:[SCORE 2]])=0,IF(RANK(H38,$H$35:$H$38)=1,RANK(H38,$H$35:$H$38)&amp;"st",IF(RANK(H38,$H$35:$H$38)=2,RANK(H38,$H$35:$H$38)&amp;"nd",IF(RANK(H38,$H$35:$H$38)=3,RANK(H38,$H$35:$H$38)&amp;"rd",RANK(H38,$H$35:$H$38)&amp;"th"))),"")</f>
        <v/>
      </c>
      <c r="H38" s="51" t="str">
        <f>IF(COUNTBLANK(Games_4[[SCORE 1]:[SCORE 2]])=0,Analysis_12[[#This Row],[WIN]]*1000000+Analysis_12[[#This Row],[Saldo]]*1000+Analysis_12[[#This Row],[PM]],"")</f>
        <v/>
      </c>
      <c r="L38" s="44" t="str">
        <f t="shared" si="12"/>
        <v/>
      </c>
    </row>
    <row r="40" spans="1:18" ht="15.95" thickBot="1"/>
    <row r="41" spans="1:18" ht="15.95" thickBot="1">
      <c r="A41" s="123" t="s">
        <v>218</v>
      </c>
      <c r="B41" s="124">
        <v>45954</v>
      </c>
    </row>
  </sheetData>
  <sheetProtection algorithmName="SHA-512" hashValue="gBwhWGDCJtM708o7gb+FBsTGtoCf4yDe1ZOK+uP23MNUxClx7epYP18IukXibGbOeR+KpoBn+U3x8EdkqEX0kw==" saltValue="R+k11gUnHYg2q8HRytbHbw==" spinCount="100000" sheet="1" objects="1" scenarios="1"/>
  <mergeCells count="10">
    <mergeCell ref="T1:U1"/>
    <mergeCell ref="A15:G15"/>
    <mergeCell ref="M26:R26"/>
    <mergeCell ref="O27:P27"/>
    <mergeCell ref="M33:R33"/>
    <mergeCell ref="O34:P34"/>
    <mergeCell ref="M15:R15"/>
    <mergeCell ref="O16:P16"/>
    <mergeCell ref="O21:P21"/>
    <mergeCell ref="A1:A12"/>
  </mergeCells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0976-457E-1847-8BD4-A41621FF167B}">
  <sheetPr codeName="Sheet31"/>
  <dimension ref="A1:U41"/>
  <sheetViews>
    <sheetView workbookViewId="0">
      <selection sqref="A1:A12"/>
    </sheetView>
    <sheetView workbookViewId="1">
      <selection sqref="A1:A12"/>
    </sheetView>
  </sheetViews>
  <sheetFormatPr defaultColWidth="8.85546875" defaultRowHeight="15"/>
  <cols>
    <col min="1" max="1" width="9.7109375" customWidth="1"/>
    <col min="2" max="2" width="14.85546875" customWidth="1"/>
    <col min="3" max="4" width="20" customWidth="1"/>
    <col min="5" max="6" width="9.7109375" customWidth="1"/>
    <col min="7" max="7" width="19.7109375" customWidth="1"/>
    <col min="8" max="8" width="11.28515625" hidden="1" customWidth="1"/>
    <col min="9" max="9" width="12" hidden="1" customWidth="1"/>
    <col min="10" max="10" width="10.7109375" hidden="1" customWidth="1"/>
    <col min="11" max="11" width="8" hidden="1" customWidth="1"/>
    <col min="12" max="12" width="20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20" customWidth="1"/>
    <col min="21" max="22" width="9.7109375" bestFit="1" customWidth="1"/>
  </cols>
  <sheetData>
    <row r="1" spans="1:21" ht="15" customHeight="1">
      <c r="A1" s="551" t="s">
        <v>322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323</v>
      </c>
      <c r="U1" s="545"/>
    </row>
    <row r="2" spans="1:21" ht="15" customHeight="1">
      <c r="A2" s="551"/>
      <c r="B2" s="13" t="s">
        <v>178</v>
      </c>
      <c r="C2" s="1" t="str">
        <f>B17</f>
        <v>A1</v>
      </c>
      <c r="D2" s="32" t="str">
        <f>B18</f>
        <v>A2</v>
      </c>
      <c r="E2" s="116"/>
      <c r="F2" s="116"/>
      <c r="G2" s="31" t="str">
        <f>B19</f>
        <v>A3</v>
      </c>
      <c r="H2" s="63"/>
      <c r="I2" s="63"/>
      <c r="J2" s="63"/>
      <c r="K2" s="63"/>
      <c r="L2" s="16" t="str">
        <f>B20</f>
        <v>A4</v>
      </c>
      <c r="M2" s="13" t="str">
        <f>IF(OR(Games_3[[#This Row],[SCORE 1]]="",Games_3[[#This Row],[SCORE 2]]=""),"",Games_3[[#This Row],[SCORE 1]]-Games_3[[#This Row],[SCORE 2]])</f>
        <v/>
      </c>
      <c r="N2" s="13" t="str">
        <f>IF(OR(Games_3[[#This Row],[SCORE 1]]="",Games_3[[#This Row],[SCORE 2]]=""),"",Games_3[[#This Row],[SCORE 2]]-Games_3[[#This Row],[SCORE 1]])</f>
        <v/>
      </c>
      <c r="O2" s="13" t="str">
        <f>IF(Games_3[[#This Row],[SCORE 1]]="","",Games_3[[#This Row],[SCORE 1]])</f>
        <v/>
      </c>
      <c r="P2" s="13" t="str">
        <f>IF(Games_3[[#This Row],[SCORE 2]]="","",Games_3[[#This Row],[SCORE 2]])</f>
        <v/>
      </c>
      <c r="Q2" s="13" t="str">
        <f>IF(OR(Games_3[[#This Row],[SCORE 1]]="",Games_3[[#This Row],[SCORE 2]]=""),"",IF(Games_3[[#This Row],[SALDO 12]]&gt;0, "WIN","LOSE"))</f>
        <v/>
      </c>
      <c r="R2" s="13" t="str">
        <f>IF(OR(Games_3[[#This Row],[SCORE 1]]="",Games_3[[#This Row],[SCORE 2]]=""),"",IF(Games_3[[#This Row],[SALDO 34]]&gt;0, "WIN","LOSE"))</f>
        <v/>
      </c>
      <c r="T2" s="35" t="s">
        <v>179</v>
      </c>
      <c r="U2" s="35" t="s">
        <v>8</v>
      </c>
    </row>
    <row r="3" spans="1:21">
      <c r="A3" s="551"/>
      <c r="B3" s="13" t="s">
        <v>180</v>
      </c>
      <c r="C3" s="1" t="str">
        <f>B23</f>
        <v>B1</v>
      </c>
      <c r="D3" s="32" t="str">
        <f>B24</f>
        <v>B2</v>
      </c>
      <c r="E3" s="116"/>
      <c r="F3" s="116"/>
      <c r="G3" s="31" t="str">
        <f>B25</f>
        <v>B3</v>
      </c>
      <c r="H3" s="63"/>
      <c r="I3" s="63"/>
      <c r="J3" s="63"/>
      <c r="K3" s="63"/>
      <c r="L3" s="16" t="str">
        <f>B26</f>
        <v>B4</v>
      </c>
      <c r="M3" s="13" t="str">
        <f>IF(OR(Games_3[[#This Row],[SCORE 1]]="",Games_3[[#This Row],[SCORE 2]]=""),"",Games_3[[#This Row],[SCORE 1]]-Games_3[[#This Row],[SCORE 2]])</f>
        <v/>
      </c>
      <c r="N3" s="13" t="str">
        <f>IF(OR(Games_3[[#This Row],[SCORE 1]]="",Games_3[[#This Row],[SCORE 2]]=""),"",Games_3[[#This Row],[SCORE 2]]-Games_3[[#This Row],[SCORE 1]])</f>
        <v/>
      </c>
      <c r="O3" s="13" t="str">
        <f>IF(Games_3[[#This Row],[SCORE 1]]="","",Games_3[[#This Row],[SCORE 1]])</f>
        <v/>
      </c>
      <c r="P3" s="13" t="str">
        <f>IF(Games_3[[#This Row],[SCORE 2]]="","",Games_3[[#This Row],[SCORE 2]])</f>
        <v/>
      </c>
      <c r="Q3" s="13" t="str">
        <f>IF(OR(Games_3[[#This Row],[SCORE 1]]="",Games_3[[#This Row],[SCORE 2]]=""),"",IF(Games_3[[#This Row],[SALDO 12]]&gt;0, "WIN","LOSE"))</f>
        <v/>
      </c>
      <c r="R3" s="13" t="str">
        <f>IF(OR(Games_3[[#This Row],[SCORE 1]]="",Games_3[[#This Row],[SCORE 2]]=""),"",IF(Games_3[[#This Row],[SALDO 34]]&gt;0, "WIN","LOSE"))</f>
        <v/>
      </c>
      <c r="T3" s="66" t="str">
        <f>IFERROR(_xlfn.XLOOKUP(Table1520283250607293[[#This Row],[Rank]],$M$25:$R$25,$M$24:$R$24),"")</f>
        <v/>
      </c>
      <c r="U3" s="67" t="s">
        <v>19</v>
      </c>
    </row>
    <row r="4" spans="1:21">
      <c r="A4" s="551"/>
      <c r="B4" s="13" t="s">
        <v>181</v>
      </c>
      <c r="C4" s="1" t="str">
        <f>B29</f>
        <v>C1</v>
      </c>
      <c r="D4" s="32" t="str">
        <f>B30</f>
        <v>C2</v>
      </c>
      <c r="E4" s="116"/>
      <c r="F4" s="116"/>
      <c r="G4" s="31" t="str">
        <f>B31</f>
        <v>C3</v>
      </c>
      <c r="H4" s="63"/>
      <c r="I4" s="63"/>
      <c r="J4" s="63"/>
      <c r="K4" s="63"/>
      <c r="L4" s="16" t="str">
        <f>B32</f>
        <v>C4</v>
      </c>
      <c r="M4" s="13" t="str">
        <f>IF(OR(Games_3[[#This Row],[SCORE 1]]="",Games_3[[#This Row],[SCORE 2]]=""),"",Games_3[[#This Row],[SCORE 1]]-Games_3[[#This Row],[SCORE 2]])</f>
        <v/>
      </c>
      <c r="N4" s="13" t="str">
        <f>IF(OR(Games_3[[#This Row],[SCORE 1]]="",Games_3[[#This Row],[SCORE 2]]=""),"",Games_3[[#This Row],[SCORE 2]]-Games_3[[#This Row],[SCORE 1]])</f>
        <v/>
      </c>
      <c r="O4" s="13" t="str">
        <f>IF(Games_3[[#This Row],[SCORE 1]]="","",Games_3[[#This Row],[SCORE 1]])</f>
        <v/>
      </c>
      <c r="P4" s="13" t="str">
        <f>IF(Games_3[[#This Row],[SCORE 2]]="","",Games_3[[#This Row],[SCORE 2]])</f>
        <v/>
      </c>
      <c r="Q4" s="13" t="str">
        <f>IF(OR(Games_3[[#This Row],[SCORE 1]]="",Games_3[[#This Row],[SCORE 2]]=""),"",IF(Games_3[[#This Row],[SALDO 12]]&gt;0, "WIN","LOSE"))</f>
        <v/>
      </c>
      <c r="R4" s="13" t="str">
        <f>IF(OR(Games_3[[#This Row],[SCORE 1]]="",Games_3[[#This Row],[SCORE 2]]=""),"",IF(Games_3[[#This Row],[SALDO 34]]&gt;0, "WIN","LOSE"))</f>
        <v/>
      </c>
      <c r="T4" s="66" t="str">
        <f>IFERROR(_xlfn.XLOOKUP(Table1520283250607293[[#This Row],[Rank]],$M$25:$R$25,$M$24:$R$24),"")</f>
        <v/>
      </c>
      <c r="U4" s="67" t="s">
        <v>22</v>
      </c>
    </row>
    <row r="5" spans="1:21">
      <c r="A5" s="551"/>
      <c r="B5" s="13" t="s">
        <v>225</v>
      </c>
      <c r="C5" s="1" t="str">
        <f>B35</f>
        <v>D1</v>
      </c>
      <c r="D5" s="32" t="str">
        <f>B36</f>
        <v>D2</v>
      </c>
      <c r="E5" s="116"/>
      <c r="F5" s="116"/>
      <c r="G5" s="31" t="str">
        <f>B37</f>
        <v>D3</v>
      </c>
      <c r="H5" s="63"/>
      <c r="I5" s="63"/>
      <c r="J5" s="63"/>
      <c r="K5" s="63"/>
      <c r="L5" s="16" t="str">
        <f>B38</f>
        <v>D4</v>
      </c>
      <c r="M5" s="13" t="str">
        <f>IF(OR(Games_3[[#This Row],[SCORE 1]]="",Games_3[[#This Row],[SCORE 2]]=""),"",Games_3[[#This Row],[SCORE 1]]-Games_3[[#This Row],[SCORE 2]])</f>
        <v/>
      </c>
      <c r="N5" s="13" t="str">
        <f>IF(OR(Games_3[[#This Row],[SCORE 1]]="",Games_3[[#This Row],[SCORE 2]]=""),"",Games_3[[#This Row],[SCORE 2]]-Games_3[[#This Row],[SCORE 1]])</f>
        <v/>
      </c>
      <c r="O5" s="13" t="str">
        <f>IF(Games_3[[#This Row],[SCORE 1]]="","",Games_3[[#This Row],[SCORE 1]])</f>
        <v/>
      </c>
      <c r="P5" s="13" t="str">
        <f>IF(Games_3[[#This Row],[SCORE 2]]="","",Games_3[[#This Row],[SCORE 2]])</f>
        <v/>
      </c>
      <c r="Q5" s="13" t="str">
        <f>IF(OR(Games_3[[#This Row],[SCORE 1]]="",Games_3[[#This Row],[SCORE 2]]=""),"",IF(Games_3[[#This Row],[SALDO 12]]&gt;0, "WIN","LOSE"))</f>
        <v/>
      </c>
      <c r="R5" s="13" t="str">
        <f>IF(OR(Games_3[[#This Row],[SCORE 1]]="",Games_3[[#This Row],[SCORE 2]]=""),"",IF(Games_3[[#This Row],[SALDO 34]]&gt;0, "WIN","LOSE"))</f>
        <v/>
      </c>
      <c r="T5" s="66" t="str">
        <f>IFERROR(_xlfn.XLOOKUP(Table1520283250607293[[#This Row],[Rank]],$M$18:$R$18,$M$17:$R$17),"")</f>
        <v/>
      </c>
      <c r="U5" s="67" t="s">
        <v>25</v>
      </c>
    </row>
    <row r="6" spans="1:21">
      <c r="A6" s="551"/>
      <c r="B6" s="13" t="s">
        <v>178</v>
      </c>
      <c r="C6" s="1" t="str">
        <f>B17</f>
        <v>A1</v>
      </c>
      <c r="D6" s="32" t="str">
        <f>B20</f>
        <v>A4</v>
      </c>
      <c r="E6" s="116"/>
      <c r="F6" s="116"/>
      <c r="G6" s="31" t="str">
        <f>B18</f>
        <v>A2</v>
      </c>
      <c r="H6" s="63"/>
      <c r="I6" s="63"/>
      <c r="J6" s="63"/>
      <c r="K6" s="63"/>
      <c r="L6" s="16" t="str">
        <f>B19</f>
        <v>A3</v>
      </c>
      <c r="M6" s="13" t="str">
        <f>IF(OR(Games_3[[#This Row],[SCORE 1]]="",Games_3[[#This Row],[SCORE 2]]=""),"",Games_3[[#This Row],[SCORE 1]]-Games_3[[#This Row],[SCORE 2]])</f>
        <v/>
      </c>
      <c r="N6" s="13" t="str">
        <f>IF(OR(Games_3[[#This Row],[SCORE 1]]="",Games_3[[#This Row],[SCORE 2]]=""),"",Games_3[[#This Row],[SCORE 2]]-Games_3[[#This Row],[SCORE 1]])</f>
        <v/>
      </c>
      <c r="O6" s="13" t="str">
        <f>IF(Games_3[[#This Row],[SCORE 1]]="","",Games_3[[#This Row],[SCORE 1]])</f>
        <v/>
      </c>
      <c r="P6" s="13" t="str">
        <f>IF(Games_3[[#This Row],[SCORE 2]]="","",Games_3[[#This Row],[SCORE 2]])</f>
        <v/>
      </c>
      <c r="Q6" s="13" t="str">
        <f>IF(OR(Games_3[[#This Row],[SCORE 1]]="",Games_3[[#This Row],[SCORE 2]]=""),"",IF(Games_3[[#This Row],[SALDO 12]]&gt;0, "WIN","LOSE"))</f>
        <v/>
      </c>
      <c r="R6" s="13" t="str">
        <f>IF(OR(Games_3[[#This Row],[SCORE 1]]="",Games_3[[#This Row],[SCORE 2]]=""),"",IF(Games_3[[#This Row],[SALDO 34]]&gt;0, "WIN","LOSE"))</f>
        <v/>
      </c>
      <c r="T6" s="66" t="str">
        <f>IFERROR(_xlfn.XLOOKUP(Table1520283250607293[[#This Row],[Rank]],$M$18:$R$18,$M$17:$R$17),"")</f>
        <v/>
      </c>
      <c r="U6" s="67" t="s">
        <v>28</v>
      </c>
    </row>
    <row r="7" spans="1:21">
      <c r="A7" s="551"/>
      <c r="B7" s="13" t="s">
        <v>180</v>
      </c>
      <c r="C7" s="1" t="str">
        <f>B23</f>
        <v>B1</v>
      </c>
      <c r="D7" s="32" t="str">
        <f>B26</f>
        <v>B4</v>
      </c>
      <c r="E7" s="116"/>
      <c r="F7" s="116"/>
      <c r="G7" s="31" t="str">
        <f>B24</f>
        <v>B2</v>
      </c>
      <c r="H7" s="63"/>
      <c r="I7" s="63"/>
      <c r="J7" s="63"/>
      <c r="K7" s="63"/>
      <c r="L7" s="16" t="str">
        <f>B25</f>
        <v>B3</v>
      </c>
      <c r="M7" s="13" t="str">
        <f>IF(OR(Games_3[[#This Row],[SCORE 1]]="",Games_3[[#This Row],[SCORE 2]]=""),"",Games_3[[#This Row],[SCORE 1]]-Games_3[[#This Row],[SCORE 2]])</f>
        <v/>
      </c>
      <c r="N7" s="13" t="str">
        <f>IF(OR(Games_3[[#This Row],[SCORE 1]]="",Games_3[[#This Row],[SCORE 2]]=""),"",Games_3[[#This Row],[SCORE 2]]-Games_3[[#This Row],[SCORE 1]])</f>
        <v/>
      </c>
      <c r="O7" s="13" t="str">
        <f>IF(Games_3[[#This Row],[SCORE 1]]="","",Games_3[[#This Row],[SCORE 1]])</f>
        <v/>
      </c>
      <c r="P7" s="13" t="str">
        <f>IF(Games_3[[#This Row],[SCORE 2]]="","",Games_3[[#This Row],[SCORE 2]])</f>
        <v/>
      </c>
      <c r="Q7" s="13" t="str">
        <f>IF(OR(Games_3[[#This Row],[SCORE 1]]="",Games_3[[#This Row],[SCORE 2]]=""),"",IF(Games_3[[#This Row],[SALDO 12]]&gt;0, "WIN","LOSE"))</f>
        <v/>
      </c>
      <c r="R7" s="13" t="str">
        <f>IF(OR(Games_3[[#This Row],[SCORE 1]]="",Games_3[[#This Row],[SCORE 2]]=""),"",IF(Games_3[[#This Row],[SALDO 34]]&gt;0, "WIN","LOSE"))</f>
        <v/>
      </c>
      <c r="T7" s="66" t="str" cm="1">
        <f t="array" ref="T7">_xlfn.TEXTJOIN(", ", TRUE, _xlfn._xlws.FILTER($K$17:$K$32, $J$17:$J$32=U7, ""))</f>
        <v/>
      </c>
      <c r="U7" s="67" t="s">
        <v>31</v>
      </c>
    </row>
    <row r="8" spans="1:21">
      <c r="A8" s="551"/>
      <c r="B8" s="13" t="s">
        <v>181</v>
      </c>
      <c r="C8" s="1" t="str">
        <f>B29</f>
        <v>C1</v>
      </c>
      <c r="D8" s="32" t="str">
        <f>B32</f>
        <v>C4</v>
      </c>
      <c r="E8" s="116"/>
      <c r="F8" s="116"/>
      <c r="G8" s="31" t="str">
        <f>B30</f>
        <v>C2</v>
      </c>
      <c r="H8" s="63"/>
      <c r="I8" s="63"/>
      <c r="J8" s="63"/>
      <c r="K8" s="63"/>
      <c r="L8" s="16" t="str">
        <f>B31</f>
        <v>C3</v>
      </c>
      <c r="M8" s="13" t="str">
        <f>IF(OR(Games_3[[#This Row],[SCORE 1]]="",Games_3[[#This Row],[SCORE 2]]=""),"",Games_3[[#This Row],[SCORE 1]]-Games_3[[#This Row],[SCORE 2]])</f>
        <v/>
      </c>
      <c r="N8" s="13" t="str">
        <f>IF(OR(Games_3[[#This Row],[SCORE 1]]="",Games_3[[#This Row],[SCORE 2]]=""),"",Games_3[[#This Row],[SCORE 2]]-Games_3[[#This Row],[SCORE 1]])</f>
        <v/>
      </c>
      <c r="O8" s="13" t="str">
        <f>IF(Games_3[[#This Row],[SCORE 1]]="","",Games_3[[#This Row],[SCORE 1]])</f>
        <v/>
      </c>
      <c r="P8" s="13" t="str">
        <f>IF(Games_3[[#This Row],[SCORE 2]]="","",Games_3[[#This Row],[SCORE 2]])</f>
        <v/>
      </c>
      <c r="Q8" s="13" t="str">
        <f>IF(OR(Games_3[[#This Row],[SCORE 1]]="",Games_3[[#This Row],[SCORE 2]]=""),"",IF(Games_3[[#This Row],[SALDO 12]]&gt;0, "WIN","LOSE"))</f>
        <v/>
      </c>
      <c r="R8" s="13" t="str">
        <f>IF(OR(Games_3[[#This Row],[SCORE 1]]="",Games_3[[#This Row],[SCORE 2]]=""),"",IF(Games_3[[#This Row],[SALDO 34]]&gt;0, "WIN","LOSE"))</f>
        <v/>
      </c>
      <c r="T8" s="66" t="str" cm="1">
        <f t="array" ref="T8">_xlfn.TEXTJOIN(", ", TRUE, _xlfn._xlws.FILTER($K$17:$K$32, $J$17:$J$32=U8, ""))</f>
        <v/>
      </c>
      <c r="U8" s="67" t="s">
        <v>34</v>
      </c>
    </row>
    <row r="9" spans="1:21">
      <c r="A9" s="551"/>
      <c r="B9" s="13" t="s">
        <v>225</v>
      </c>
      <c r="C9" s="1" t="str">
        <f>B35</f>
        <v>D1</v>
      </c>
      <c r="D9" s="32" t="str">
        <f>B38</f>
        <v>D4</v>
      </c>
      <c r="E9" s="116"/>
      <c r="F9" s="116"/>
      <c r="G9" s="31" t="str">
        <f>B36</f>
        <v>D2</v>
      </c>
      <c r="H9" s="63"/>
      <c r="I9" s="63"/>
      <c r="J9" s="63"/>
      <c r="K9" s="63"/>
      <c r="L9" s="16" t="str">
        <f>B37</f>
        <v>D3</v>
      </c>
      <c r="M9" s="13" t="str">
        <f>IF(OR(Games_3[[#This Row],[SCORE 1]]="",Games_3[[#This Row],[SCORE 2]]=""),"",Games_3[[#This Row],[SCORE 1]]-Games_3[[#This Row],[SCORE 2]])</f>
        <v/>
      </c>
      <c r="N9" s="13" t="str">
        <f>IF(OR(Games_3[[#This Row],[SCORE 1]]="",Games_3[[#This Row],[SCORE 2]]=""),"",Games_3[[#This Row],[SCORE 2]]-Games_3[[#This Row],[SCORE 1]])</f>
        <v/>
      </c>
      <c r="O9" s="13" t="str">
        <f>IF(Games_3[[#This Row],[SCORE 1]]="","",Games_3[[#This Row],[SCORE 1]])</f>
        <v/>
      </c>
      <c r="P9" s="13" t="str">
        <f>IF(Games_3[[#This Row],[SCORE 2]]="","",Games_3[[#This Row],[SCORE 2]])</f>
        <v/>
      </c>
      <c r="Q9" s="13" t="str">
        <f>IF(OR(Games_3[[#This Row],[SCORE 1]]="",Games_3[[#This Row],[SCORE 2]]=""),"",IF(Games_3[[#This Row],[SALDO 12]]&gt;0, "WIN","LOSE"))</f>
        <v/>
      </c>
      <c r="R9" s="13" t="str">
        <f>IF(OR(Games_3[[#This Row],[SCORE 1]]="",Games_3[[#This Row],[SCORE 2]]=""),"",IF(Games_3[[#This Row],[SALDO 34]]&gt;0, "WIN","LOSE"))</f>
        <v/>
      </c>
      <c r="T9" s="66" t="str" cm="1">
        <f t="array" ref="T9">_xlfn.TEXTJOIN(", ", TRUE, _xlfn._xlws.FILTER($K$17:$K$32, $J$17:$J$32=U9, ""))</f>
        <v/>
      </c>
      <c r="U9" s="67" t="s">
        <v>37</v>
      </c>
    </row>
    <row r="10" spans="1:21">
      <c r="A10" s="551"/>
      <c r="B10" s="13" t="s">
        <v>178</v>
      </c>
      <c r="C10" s="1" t="str">
        <f>B17</f>
        <v>A1</v>
      </c>
      <c r="D10" s="32" t="str">
        <f>B19</f>
        <v>A3</v>
      </c>
      <c r="E10" s="116"/>
      <c r="F10" s="116"/>
      <c r="G10" s="31" t="str">
        <f>B20</f>
        <v>A4</v>
      </c>
      <c r="H10" s="63"/>
      <c r="I10" s="63"/>
      <c r="J10" s="63"/>
      <c r="K10" s="63"/>
      <c r="L10" s="16" t="str">
        <f>B18</f>
        <v>A2</v>
      </c>
      <c r="M10" s="13" t="str">
        <f>IF(OR(Games_3[[#This Row],[SCORE 1]]="",Games_3[[#This Row],[SCORE 2]]=""),"",Games_3[[#This Row],[SCORE 1]]-Games_3[[#This Row],[SCORE 2]])</f>
        <v/>
      </c>
      <c r="N10" s="13" t="str">
        <f>IF(OR(Games_3[[#This Row],[SCORE 1]]="",Games_3[[#This Row],[SCORE 2]]=""),"",Games_3[[#This Row],[SCORE 2]]-Games_3[[#This Row],[SCORE 1]])</f>
        <v/>
      </c>
      <c r="O10" s="13" t="str">
        <f>IF(Games_3[[#This Row],[SCORE 1]]="","",Games_3[[#This Row],[SCORE 1]])</f>
        <v/>
      </c>
      <c r="P10" s="13" t="str">
        <f>IF(Games_3[[#This Row],[SCORE 2]]="","",Games_3[[#This Row],[SCORE 2]])</f>
        <v/>
      </c>
      <c r="Q10" s="13" t="str">
        <f>IF(OR(Games_3[[#This Row],[SCORE 1]]="",Games_3[[#This Row],[SCORE 2]]=""),"",IF(Games_3[[#This Row],[SALDO 12]]&gt;0, "WIN","LOSE"))</f>
        <v/>
      </c>
      <c r="R10" s="13" t="str">
        <f>IF(OR(Games_3[[#This Row],[SCORE 1]]="",Games_3[[#This Row],[SCORE 2]]=""),"",IF(Games_3[[#This Row],[SALDO 34]]&gt;0, "WIN","LOSE"))</f>
        <v/>
      </c>
      <c r="T10" s="66" t="str" cm="1">
        <f t="array" ref="T10">_xlfn.TEXTJOIN(", ", TRUE, _xlfn._xlws.FILTER($K$17:$K$32, $J$17:$J$32=U10, ""))</f>
        <v/>
      </c>
      <c r="U10" s="67" t="s">
        <v>41</v>
      </c>
    </row>
    <row r="11" spans="1:21">
      <c r="A11" s="551"/>
      <c r="B11" s="13" t="s">
        <v>180</v>
      </c>
      <c r="C11" s="1" t="str">
        <f>B23</f>
        <v>B1</v>
      </c>
      <c r="D11" s="32" t="str">
        <f>B25</f>
        <v>B3</v>
      </c>
      <c r="E11" s="116"/>
      <c r="F11" s="116"/>
      <c r="G11" s="31" t="str">
        <f>B26</f>
        <v>B4</v>
      </c>
      <c r="H11" s="63"/>
      <c r="I11" s="63"/>
      <c r="J11" s="63"/>
      <c r="K11" s="63"/>
      <c r="L11" s="16" t="str">
        <f>B24</f>
        <v>B2</v>
      </c>
      <c r="M11" s="13" t="str">
        <f>IF(OR(Games_3[[#This Row],[SCORE 1]]="",Games_3[[#This Row],[SCORE 2]]=""),"",Games_3[[#This Row],[SCORE 1]]-Games_3[[#This Row],[SCORE 2]])</f>
        <v/>
      </c>
      <c r="N11" s="13" t="str">
        <f>IF(OR(Games_3[[#This Row],[SCORE 1]]="",Games_3[[#This Row],[SCORE 2]]=""),"",Games_3[[#This Row],[SCORE 2]]-Games_3[[#This Row],[SCORE 1]])</f>
        <v/>
      </c>
      <c r="O11" s="13" t="str">
        <f>IF(Games_3[[#This Row],[SCORE 1]]="","",Games_3[[#This Row],[SCORE 1]])</f>
        <v/>
      </c>
      <c r="P11" s="13" t="str">
        <f>IF(Games_3[[#This Row],[SCORE 2]]="","",Games_3[[#This Row],[SCORE 2]])</f>
        <v/>
      </c>
      <c r="Q11" s="13" t="str">
        <f>IF(OR(Games_3[[#This Row],[SCORE 1]]="",Games_3[[#This Row],[SCORE 2]]=""),"",IF(Games_3[[#This Row],[SALDO 12]]&gt;0, "WIN","LOSE"))</f>
        <v/>
      </c>
      <c r="R11" s="13" t="str">
        <f>IF(OR(Games_3[[#This Row],[SCORE 1]]="",Games_3[[#This Row],[SCORE 2]]=""),"",IF(Games_3[[#This Row],[SALDO 34]]&gt;0, "WIN","LOSE"))</f>
        <v/>
      </c>
      <c r="T11" s="66" t="str" cm="1">
        <f t="array" ref="T11">_xlfn.TEXTJOIN(", ", TRUE, _xlfn._xlws.FILTER($K$17:$K$32, $J$17:$J$32=U11, ""))</f>
        <v/>
      </c>
      <c r="U11" s="67" t="s">
        <v>44</v>
      </c>
    </row>
    <row r="12" spans="1:21">
      <c r="A12" s="551"/>
      <c r="B12" s="13" t="s">
        <v>181</v>
      </c>
      <c r="C12" s="1" t="str">
        <f>B29</f>
        <v>C1</v>
      </c>
      <c r="D12" s="32" t="str">
        <f>B31</f>
        <v>C3</v>
      </c>
      <c r="E12" s="116"/>
      <c r="F12" s="116"/>
      <c r="G12" s="31" t="str">
        <f>B32</f>
        <v>C4</v>
      </c>
      <c r="H12" s="63"/>
      <c r="I12" s="63"/>
      <c r="J12" s="63"/>
      <c r="K12" s="63"/>
      <c r="L12" s="16" t="str">
        <f>B30</f>
        <v>C2</v>
      </c>
      <c r="M12" s="13" t="str">
        <f>IF(OR(Games_3[[#This Row],[SCORE 1]]="",Games_3[[#This Row],[SCORE 2]]=""),"",Games_3[[#This Row],[SCORE 1]]-Games_3[[#This Row],[SCORE 2]])</f>
        <v/>
      </c>
      <c r="N12" s="13" t="str">
        <f>IF(OR(Games_3[[#This Row],[SCORE 1]]="",Games_3[[#This Row],[SCORE 2]]=""),"",Games_3[[#This Row],[SCORE 2]]-Games_3[[#This Row],[SCORE 1]])</f>
        <v/>
      </c>
      <c r="O12" s="13" t="str">
        <f>IF(Games_3[[#This Row],[SCORE 1]]="","",Games_3[[#This Row],[SCORE 1]])</f>
        <v/>
      </c>
      <c r="P12" s="13" t="str">
        <f>IF(Games_3[[#This Row],[SCORE 2]]="","",Games_3[[#This Row],[SCORE 2]])</f>
        <v/>
      </c>
      <c r="Q12" s="13" t="str">
        <f>IF(OR(Games_3[[#This Row],[SCORE 1]]="",Games_3[[#This Row],[SCORE 2]]=""),"",IF(Games_3[[#This Row],[SALDO 12]]&gt;0, "WIN","LOSE"))</f>
        <v/>
      </c>
      <c r="R12" s="13" t="str">
        <f>IF(OR(Games_3[[#This Row],[SCORE 1]]="",Games_3[[#This Row],[SCORE 2]]=""),"",IF(Games_3[[#This Row],[SALDO 34]]&gt;0, "WIN","LOSE"))</f>
        <v/>
      </c>
      <c r="T12" s="66" t="str" cm="1">
        <f t="array" ref="T12">_xlfn.TEXTJOIN(", ", TRUE, _xlfn._xlws.FILTER($K$17:$K$32, $J$17:$J$32=U12, ""))</f>
        <v/>
      </c>
      <c r="U12" s="67" t="s">
        <v>39</v>
      </c>
    </row>
    <row r="13" spans="1:21">
      <c r="A13" s="423"/>
      <c r="B13" s="429" t="s">
        <v>225</v>
      </c>
      <c r="C13" s="1" t="str">
        <f>B35</f>
        <v>D1</v>
      </c>
      <c r="D13" s="77" t="str">
        <f>B37</f>
        <v>D3</v>
      </c>
      <c r="E13" s="117"/>
      <c r="F13" s="117"/>
      <c r="G13" s="76" t="str">
        <f>B38</f>
        <v>D4</v>
      </c>
      <c r="H13" s="76"/>
      <c r="I13" s="76"/>
      <c r="J13" s="76"/>
      <c r="K13" s="76"/>
      <c r="L13" s="22" t="str">
        <f>B36</f>
        <v>D2</v>
      </c>
      <c r="M13" s="429" t="str">
        <f>IF(OR(Games_3[[#This Row],[SCORE 1]]="",Games_3[[#This Row],[SCORE 2]]=""),"",Games_3[[#This Row],[SCORE 1]]-Games_3[[#This Row],[SCORE 2]])</f>
        <v/>
      </c>
      <c r="N13" s="429" t="str">
        <f>IF(OR(Games_3[[#This Row],[SCORE 1]]="",Games_3[[#This Row],[SCORE 2]]=""),"",Games_3[[#This Row],[SCORE 2]]-Games_3[[#This Row],[SCORE 1]])</f>
        <v/>
      </c>
      <c r="O13" s="429" t="str">
        <f>IF(Games_3[[#This Row],[SCORE 1]]="","",Games_3[[#This Row],[SCORE 1]])</f>
        <v/>
      </c>
      <c r="P13" s="429" t="str">
        <f>IF(Games_3[[#This Row],[SCORE 2]]="","",Games_3[[#This Row],[SCORE 2]])</f>
        <v/>
      </c>
      <c r="Q13" s="429" t="str">
        <f>IF(OR(Games_3[[#This Row],[SCORE 1]]="",Games_3[[#This Row],[SCORE 2]]=""),"",IF(Games_3[[#This Row],[SALDO 12]]&gt;0, "WIN","LOSE"))</f>
        <v/>
      </c>
      <c r="R13" s="429" t="str">
        <f>IF(OR(Games_3[[#This Row],[SCORE 1]]="",Games_3[[#This Row],[SCORE 2]]=""),"",IF(Games_3[[#This Row],[SALDO 34]]&gt;0, "WIN","LOSE"))</f>
        <v/>
      </c>
      <c r="T13" s="66" t="str" cm="1">
        <f t="array" ref="T13">_xlfn.TEXTJOIN(", ", TRUE, _xlfn._xlws.FILTER($K$17:$K$32, $J$17:$J$32=U13, ""))</f>
        <v/>
      </c>
      <c r="U13" s="67" t="s">
        <v>49</v>
      </c>
    </row>
    <row r="14" spans="1:21">
      <c r="T14" s="66" t="str" cm="1">
        <f t="array" ref="T14">_xlfn.TEXTJOIN(", ", TRUE, _xlfn._xlws.FILTER($K$17:$K$32, $J$17:$J$32=U14, ""))</f>
        <v/>
      </c>
      <c r="U14" s="67" t="s">
        <v>51</v>
      </c>
    </row>
    <row r="15" spans="1:21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48" t="s">
        <v>199</v>
      </c>
      <c r="N15" s="549"/>
      <c r="O15" s="549"/>
      <c r="P15" s="549"/>
      <c r="Q15" s="549"/>
      <c r="R15" s="549"/>
      <c r="T15" s="66" t="str" cm="1">
        <f t="array" ref="T15">_xlfn.TEXTJOIN(", ", TRUE, _xlfn._xlws.FILTER($K$17:$K$32, $J$17:$J$32=U15, ""))</f>
        <v/>
      </c>
      <c r="U15" s="67" t="s">
        <v>47</v>
      </c>
    </row>
    <row r="16" spans="1:21" ht="15.95">
      <c r="A16" s="6" t="s">
        <v>184</v>
      </c>
      <c r="B16" s="7" t="s">
        <v>185</v>
      </c>
      <c r="C16" s="7" t="s">
        <v>186</v>
      </c>
      <c r="D16" s="7" t="s">
        <v>187</v>
      </c>
      <c r="E16" s="7" t="s">
        <v>188</v>
      </c>
      <c r="F16" s="7" t="s">
        <v>189</v>
      </c>
      <c r="G16" s="7" t="s">
        <v>8</v>
      </c>
      <c r="H16" s="80" t="s">
        <v>204</v>
      </c>
      <c r="I16" s="20" t="s">
        <v>191</v>
      </c>
      <c r="J16" s="20" t="s">
        <v>192</v>
      </c>
      <c r="K16" s="20" t="s">
        <v>1</v>
      </c>
      <c r="M16" s="418" t="s">
        <v>193</v>
      </c>
      <c r="N16" s="418" t="s">
        <v>194</v>
      </c>
      <c r="O16" s="542" t="s">
        <v>195</v>
      </c>
      <c r="P16" s="543"/>
      <c r="Q16" s="418" t="s">
        <v>196</v>
      </c>
      <c r="R16" s="418" t="s">
        <v>197</v>
      </c>
      <c r="T16" s="66" t="str" cm="1">
        <f t="array" ref="T16">_xlfn.TEXTJOIN(", ", TRUE, _xlfn._xlws.FILTER($K$17:$K$32, $J$17:$J$32=U16, ""))</f>
        <v/>
      </c>
      <c r="U16" s="67" t="s">
        <v>57</v>
      </c>
    </row>
    <row r="17" spans="1:21">
      <c r="A17" s="4" t="s">
        <v>205</v>
      </c>
      <c r="B17" s="118" t="s">
        <v>205</v>
      </c>
      <c r="C17" s="14">
        <f>SUM(COUNTIFS(Games_3[ATHLETE 1],Analysis_5[[#This Row],[Atheletes ]],Games_3[RESULT 12],Analysis_5[[#Headers],[WIN]]),COUNTIFS(Games_3[ATHLETE 2],Analysis_5[[#This Row],[Atheletes ]],Games_3[RESULT 12],Analysis_5[[#Headers],[WIN]]),COUNTIFS(Games_3[ATHLETE 3],Analysis_5[[#This Row],[Atheletes ]],Games_3[RESULT 34],Analysis_5[[#Headers],[WIN]]),COUNTIFS(Games_3[ATHLETE 4],Analysis_5[[#This Row],[Atheletes ]],Games_3[RESULT 34],Analysis_5[[#Headers],[WIN]]))</f>
        <v>0</v>
      </c>
      <c r="D17" s="14">
        <f>SUM(COUNTIFS(Games_3[ATHLETE 1],Analysis_5[[#This Row],[Atheletes ]],Games_3[RESULT 12],Analysis_5[[#Headers],[LOSE]]),COUNTIFS(Games_3[ATHLETE 2],Analysis_5[[#This Row],[Atheletes ]],Games_3[RESULT 12],Analysis_5[[#Headers],[LOSE]]),COUNTIFS(Games_3[ATHLETE 3],Analysis_5[[#This Row],[Atheletes ]],Games_3[RESULT 34],Analysis_5[[#Headers],[LOSE]]),COUNTIFS(Games_3[ATHLETE 4],Analysis_5[[#This Row],[Atheletes ]],Games_3[RESULT 34],Analysis_5[[#Headers],[LOSE]]))</f>
        <v>0</v>
      </c>
      <c r="E17" s="19">
        <f>SUM(SUMIF(Games_3[ATHLETE 1],Analysis_5[[#This Row],[Atheletes ]],Games_3[SALDO 12]),SUMIF(Games_3[ATHLETE 2],Analysis_5[[#This Row],[Atheletes ]],Games_3[SALDO 12]),SUMIF(Games_3[ATHLETE 3],Analysis_5[[#This Row],[Atheletes ]],Games_3[SALDO 34]),SUMIF(Games_3[ATHLETE 4],Analysis_5[[#This Row],[Atheletes ]],Games_3[SALDO 34]))</f>
        <v>0</v>
      </c>
      <c r="F17" s="19">
        <f>SUM(SUMIF(Games_3[ATHLETE 1],Analysis_5[[#This Row],[Atheletes ]],Games_3[PM 12]),SUMIF(Games_3[ATHLETE 2],Analysis_5[[#This Row],[Atheletes ]],Games_3[PM 12]),SUMIF(Games_3[ATHLETE 3],Analysis_5[[#This Row],[Atheletes ]],Games_3[PM 34]),SUMIF(Games_3[ATHLETE 4],Analysis_5[[#This Row],[Atheletes ]],Games_3[PM 34]))</f>
        <v>0</v>
      </c>
      <c r="G17" s="14" t="str">
        <f>IF(COUNTBLANK(Games_3[[SCORE 1]:[SCORE 2]])=0,IF(RANK(H17,$H$17:$H$20)=1,RANK(H17,$H$17:$H$20)&amp;"st",IF(RANK(H17,$H$17:$H$20)=2,RANK(H17,$H$17:$H$20)&amp;"nd",IF(RANK(H17,$H$17:$H$20)=3,RANK(H17,$H$17:$H$20)&amp;"rd",RANK(H17,$H$17:$H$20)&amp;"th"))),"")</f>
        <v/>
      </c>
      <c r="H17" s="51">
        <f>Analysis_5[[#This Row],[WIN]]*1000000+Analysis_5[[#This Row],[Saldo]]*1000+Analysis_5[[#This Row],[PM]]</f>
        <v>0</v>
      </c>
      <c r="I17" s="2">
        <f>H17</f>
        <v>0</v>
      </c>
      <c r="J17" s="2" t="str">
        <f>IF(RANK(I17,$I$17:$I$32)=1,RANK(I17,$I$17:$I$32)&amp;"st",IF(RANK(I17,$I$17:$I$32)=2,RANK(I17,$I$17:$I$32)&amp;"nd",IF(RANK(I17,$I$17:$I$32)=3,RANK(I17,$I$17:$I$32)&amp;"rd",RANK(I17,$I$17:$I$32)&amp;"th")))</f>
        <v>1st</v>
      </c>
      <c r="K17" s="38" t="str">
        <f>Analysis_5[[#This Row],[Atheletes ]]</f>
        <v>A1</v>
      </c>
      <c r="M17" s="428" t="str">
        <f>_xlfn.XLOOKUP($U$3,Analysis_5[Rank],Analysis_5[[Atheletes ]],"")</f>
        <v/>
      </c>
      <c r="N17" s="428" t="str">
        <f>_xlfn.XLOOKUP($U$3,Analysis_6[Rank],Analysis_6[[Atheletes ]],"")</f>
        <v/>
      </c>
      <c r="O17" s="119"/>
      <c r="P17" s="120"/>
      <c r="Q17" s="428" t="str">
        <f>_xlfn.XLOOKUP($U$3,Analysis_7[Rank],Analysis_7[[Atheletes ]],"")</f>
        <v/>
      </c>
      <c r="R17" s="428" t="str">
        <f>_xlfn.XLOOKUP($U$3,Analysis_8[Rank],Analysis_8[[Atheletes ]],"")</f>
        <v/>
      </c>
      <c r="S17" s="68"/>
      <c r="T17" s="66" t="str" cm="1">
        <f t="array" ref="T17">_xlfn.TEXTJOIN(", ", TRUE, _xlfn._xlws.FILTER($K$17:$K$32, $J$17:$J$32=U17, ""))</f>
        <v/>
      </c>
      <c r="U17" s="67" t="s">
        <v>60</v>
      </c>
    </row>
    <row r="18" spans="1:21">
      <c r="A18" s="3" t="s">
        <v>206</v>
      </c>
      <c r="B18" s="118" t="s">
        <v>206</v>
      </c>
      <c r="C18" s="14">
        <f>SUM(COUNTIFS(Games_3[ATHLETE 1],Analysis_5[[#This Row],[Atheletes ]],Games_3[RESULT 12],Analysis_5[[#Headers],[WIN]]),COUNTIFS(Games_3[ATHLETE 2],Analysis_5[[#This Row],[Atheletes ]],Games_3[RESULT 12],Analysis_5[[#Headers],[WIN]]),COUNTIFS(Games_3[ATHLETE 3],Analysis_5[[#This Row],[Atheletes ]],Games_3[RESULT 34],Analysis_5[[#Headers],[WIN]]),COUNTIFS(Games_3[ATHLETE 4],Analysis_5[[#This Row],[Atheletes ]],Games_3[RESULT 34],Analysis_5[[#Headers],[WIN]]))</f>
        <v>0</v>
      </c>
      <c r="D18" s="14">
        <f>SUM(COUNTIFS(Games_3[ATHLETE 1],Analysis_5[[#This Row],[Atheletes ]],Games_3[RESULT 12],Analysis_5[[#Headers],[LOSE]]),COUNTIFS(Games_3[ATHLETE 2],Analysis_5[[#This Row],[Atheletes ]],Games_3[RESULT 12],Analysis_5[[#Headers],[LOSE]]),COUNTIFS(Games_3[ATHLETE 3],Analysis_5[[#This Row],[Atheletes ]],Games_3[RESULT 34],Analysis_5[[#Headers],[LOSE]]),COUNTIFS(Games_3[ATHLETE 4],Analysis_5[[#This Row],[Atheletes ]],Games_3[RESULT 34],Analysis_5[[#Headers],[LOSE]]))</f>
        <v>0</v>
      </c>
      <c r="E18" s="19">
        <f>SUM(SUMIF(Games_3[ATHLETE 1],Analysis_5[[#This Row],[Atheletes ]],Games_3[SALDO 12]),SUMIF(Games_3[ATHLETE 2],Analysis_5[[#This Row],[Atheletes ]],Games_3[SALDO 12]),SUMIF(Games_3[ATHLETE 3],Analysis_5[[#This Row],[Atheletes ]],Games_3[SALDO 34]),SUMIF(Games_3[ATHLETE 4],Analysis_5[[#This Row],[Atheletes ]],Games_3[SALDO 34]))</f>
        <v>0</v>
      </c>
      <c r="F18" s="19">
        <f>SUM(SUMIF(Games_3[ATHLETE 1],Analysis_5[[#This Row],[Atheletes ]],Games_3[PM 12]),SUMIF(Games_3[ATHLETE 2],Analysis_5[[#This Row],[Atheletes ]],Games_3[PM 12]),SUMIF(Games_3[ATHLETE 3],Analysis_5[[#This Row],[Atheletes ]],Games_3[PM 34]),SUMIF(Games_3[ATHLETE 4],Analysis_5[[#This Row],[Atheletes ]],Games_3[PM 34]))</f>
        <v>0</v>
      </c>
      <c r="G18" s="14" t="str">
        <f>IF(COUNTBLANK(Games_3[[SCORE 1]:[SCORE 2]])=0,IF(RANK(H18,$H$17:$H$20)=1,RANK(H18,$H$17:$H$20)&amp;"st",IF(RANK(H18,$H$17:$H$20)=2,RANK(H18,$H$17:$H$20)&amp;"nd",IF(RANK(H18,$H$17:$H$20)=3,RANK(H18,$H$17:$H$20)&amp;"rd",RANK(H18,$H$17:$H$20)&amp;"th"))),"")</f>
        <v/>
      </c>
      <c r="H18" s="51">
        <f>Analysis_5[[#This Row],[WIN]]*1000000+Analysis_5[[#This Row],[Saldo]]*1000+Analysis_5[[#This Row],[PM]]</f>
        <v>0</v>
      </c>
      <c r="I18" s="2">
        <f t="shared" ref="I18:I20" si="0">H18</f>
        <v>0</v>
      </c>
      <c r="J18" s="2" t="str">
        <f t="shared" ref="J18:J32" si="1">IF(RANK(I18,$I$17:$I$32)=1,RANK(I18,$I$17:$I$32)&amp;"st",IF(RANK(I18,$I$17:$I$32)=2,RANK(I18,$I$17:$I$32)&amp;"nd",IF(RANK(I18,$I$17:$I$32)=3,RANK(I18,$I$17:$I$32)&amp;"rd",RANK(I18,$I$17:$I$32)&amp;"th")))</f>
        <v>1st</v>
      </c>
      <c r="K18" s="38" t="str">
        <f>Analysis_5[[#This Row],[Atheletes ]]</f>
        <v>A2</v>
      </c>
      <c r="M18" s="62" t="str">
        <f>IF(OR($O$17="",$P$17="",$O$18="win"),"",IF($M$19&gt;$N$19,$U$5,$U$6))</f>
        <v/>
      </c>
      <c r="N18" s="62" t="str">
        <f>IF(OR($O$17="",$P$17="",$O$18="win"),"",IF($M$19&lt;$N$19,$U$5,$U$6))</f>
        <v/>
      </c>
      <c r="O18" s="2" t="str">
        <f>IF(OR(O17="",P17=""),"",IF((O17&gt;P17),"WIN","LOSE"))</f>
        <v/>
      </c>
      <c r="P18" s="2" t="str">
        <f>IF(OR(O17="",P17=""),"",IF((O17&lt;P17),"WIN","LOSE"))</f>
        <v/>
      </c>
      <c r="Q18" s="62" t="str">
        <f>IF(OR($O$17="",$P$17="",$P$18="win"),"",IF($Q$19&gt;$R$19,$U$5,$U$6))</f>
        <v/>
      </c>
      <c r="R18" s="62" t="str">
        <f>IF(OR($O$17="",$P$17="",$P$18="win"),"",IF($Q$19&lt;$R$19,$U$5,$U$6))</f>
        <v/>
      </c>
      <c r="S18" s="17"/>
      <c r="T18" s="66" t="str" cm="1">
        <f t="array" ref="T18">_xlfn.TEXTJOIN(", ", TRUE, _xlfn._xlws.FILTER($K$17:$K$32, $J$17:$J$32=U18, ""))</f>
        <v/>
      </c>
      <c r="U18" s="67" t="s">
        <v>55</v>
      </c>
    </row>
    <row r="19" spans="1:21">
      <c r="A19" s="3" t="s">
        <v>207</v>
      </c>
      <c r="B19" s="118" t="s">
        <v>207</v>
      </c>
      <c r="C19" s="14">
        <f>SUM(COUNTIFS(Games_3[ATHLETE 1],Analysis_5[[#This Row],[Atheletes ]],Games_3[RESULT 12],Analysis_5[[#Headers],[WIN]]),COUNTIFS(Games_3[ATHLETE 2],Analysis_5[[#This Row],[Atheletes ]],Games_3[RESULT 12],Analysis_5[[#Headers],[WIN]]),COUNTIFS(Games_3[ATHLETE 3],Analysis_5[[#This Row],[Atheletes ]],Games_3[RESULT 34],Analysis_5[[#Headers],[WIN]]),COUNTIFS(Games_3[ATHLETE 4],Analysis_5[[#This Row],[Atheletes ]],Games_3[RESULT 34],Analysis_5[[#Headers],[WIN]]))</f>
        <v>0</v>
      </c>
      <c r="D19" s="14">
        <f>SUM(COUNTIFS(Games_3[ATHLETE 1],Analysis_5[[#This Row],[Atheletes ]],Games_3[RESULT 12],Analysis_5[[#Headers],[LOSE]]),COUNTIFS(Games_3[ATHLETE 2],Analysis_5[[#This Row],[Atheletes ]],Games_3[RESULT 12],Analysis_5[[#Headers],[LOSE]]),COUNTIFS(Games_3[ATHLETE 3],Analysis_5[[#This Row],[Atheletes ]],Games_3[RESULT 34],Analysis_5[[#Headers],[LOSE]]),COUNTIFS(Games_3[ATHLETE 4],Analysis_5[[#This Row],[Atheletes ]],Games_3[RESULT 34],Analysis_5[[#Headers],[LOSE]]))</f>
        <v>0</v>
      </c>
      <c r="E19" s="19">
        <f>SUM(SUMIF(Games_3[ATHLETE 1],Analysis_5[[#This Row],[Atheletes ]],Games_3[SALDO 12]),SUMIF(Games_3[ATHLETE 2],Analysis_5[[#This Row],[Atheletes ]],Games_3[SALDO 12]),SUMIF(Games_3[ATHLETE 3],Analysis_5[[#This Row],[Atheletes ]],Games_3[SALDO 34]),SUMIF(Games_3[ATHLETE 4],Analysis_5[[#This Row],[Atheletes ]],Games_3[SALDO 34]))</f>
        <v>0</v>
      </c>
      <c r="F19" s="19">
        <f>SUM(SUMIF(Games_3[ATHLETE 1],Analysis_5[[#This Row],[Atheletes ]],Games_3[PM 12]),SUMIF(Games_3[ATHLETE 2],Analysis_5[[#This Row],[Atheletes ]],Games_3[PM 12]),SUMIF(Games_3[ATHLETE 3],Analysis_5[[#This Row],[Atheletes ]],Games_3[PM 34]),SUMIF(Games_3[ATHLETE 4],Analysis_5[[#This Row],[Atheletes ]],Games_3[PM 34]))</f>
        <v>0</v>
      </c>
      <c r="G19" s="14" t="str">
        <f>IF(COUNTBLANK(Games_3[[SCORE 1]:[SCORE 2]])=0,IF(RANK(H19,$H$17:$H$20)=1,RANK(H19,$H$17:$H$20)&amp;"st",IF(RANK(H19,$H$17:$H$20)=2,RANK(H19,$H$17:$H$20)&amp;"nd",IF(RANK(H19,$H$17:$H$20)=3,RANK(H19,$H$17:$H$20)&amp;"rd",RANK(H19,$H$17:$H$20)&amp;"th"))),"")</f>
        <v/>
      </c>
      <c r="H19" s="51">
        <f>Analysis_5[[#This Row],[WIN]]*1000000+Analysis_5[[#This Row],[Saldo]]*1000+Analysis_5[[#This Row],[PM]]</f>
        <v>0</v>
      </c>
      <c r="I19" s="2">
        <f t="shared" si="0"/>
        <v>0</v>
      </c>
      <c r="J19" s="2" t="str">
        <f t="shared" si="1"/>
        <v>1st</v>
      </c>
      <c r="K19" s="38" t="str">
        <f>Analysis_5[[#This Row],[Atheletes ]]</f>
        <v>A3</v>
      </c>
      <c r="M19" s="91" t="str">
        <f>IF(M20="","",_xlfn.XLOOKUP(M20,$K$17:$K$32,$I$17:$I$32))</f>
        <v/>
      </c>
      <c r="N19" s="91" t="str">
        <f>IF(N20="","",_xlfn.XLOOKUP(N20,$K$17:$K$32,$I$17:$I$32))</f>
        <v/>
      </c>
      <c r="O19" s="91"/>
      <c r="P19" s="91"/>
      <c r="Q19" s="91" t="str">
        <f>IF(Q20="","",_xlfn.XLOOKUP(Q20,$K$17:$K$32,$I$17:$I$32))</f>
        <v/>
      </c>
      <c r="R19" s="91" t="str">
        <f>IF(R20="","",_xlfn.XLOOKUP(R20,$K$17:$K$32,$I$17:$I$32))</f>
        <v/>
      </c>
    </row>
    <row r="20" spans="1:21" ht="15.95">
      <c r="A20" s="5" t="s">
        <v>208</v>
      </c>
      <c r="B20" s="118" t="s">
        <v>208</v>
      </c>
      <c r="C20" s="14">
        <f>SUM(COUNTIFS(Games_3[ATHLETE 1],Analysis_5[[#This Row],[Atheletes ]],Games_3[RESULT 12],Analysis_5[[#Headers],[WIN]]),COUNTIFS(Games_3[ATHLETE 2],Analysis_5[[#This Row],[Atheletes ]],Games_3[RESULT 12],Analysis_5[[#Headers],[WIN]]),COUNTIFS(Games_3[ATHLETE 3],Analysis_5[[#This Row],[Atheletes ]],Games_3[RESULT 34],Analysis_5[[#Headers],[WIN]]),COUNTIFS(Games_3[ATHLETE 4],Analysis_5[[#This Row],[Atheletes ]],Games_3[RESULT 34],Analysis_5[[#Headers],[WIN]]))</f>
        <v>0</v>
      </c>
      <c r="D20" s="14">
        <f>SUM(COUNTIFS(Games_3[ATHLETE 1],Analysis_5[[#This Row],[Atheletes ]],Games_3[RESULT 12],Analysis_5[[#Headers],[LOSE]]),COUNTIFS(Games_3[ATHLETE 2],Analysis_5[[#This Row],[Atheletes ]],Games_3[RESULT 12],Analysis_5[[#Headers],[LOSE]]),COUNTIFS(Games_3[ATHLETE 3],Analysis_5[[#This Row],[Atheletes ]],Games_3[RESULT 34],Analysis_5[[#Headers],[LOSE]]),COUNTIFS(Games_3[ATHLETE 4],Analysis_5[[#This Row],[Atheletes ]],Games_3[RESULT 34],Analysis_5[[#Headers],[LOSE]]))</f>
        <v>0</v>
      </c>
      <c r="E20" s="19">
        <f>SUM(SUMIF(Games_3[ATHLETE 1],Analysis_5[[#This Row],[Atheletes ]],Games_3[SALDO 12]),SUMIF(Games_3[ATHLETE 2],Analysis_5[[#This Row],[Atheletes ]],Games_3[SALDO 12]),SUMIF(Games_3[ATHLETE 3],Analysis_5[[#This Row],[Atheletes ]],Games_3[SALDO 34]),SUMIF(Games_3[ATHLETE 4],Analysis_5[[#This Row],[Atheletes ]],Games_3[SALDO 34]))</f>
        <v>0</v>
      </c>
      <c r="F20" s="19">
        <f>SUM(SUMIF(Games_3[ATHLETE 1],Analysis_5[[#This Row],[Atheletes ]],Games_3[PM 12]),SUMIF(Games_3[ATHLETE 2],Analysis_5[[#This Row],[Atheletes ]],Games_3[PM 12]),SUMIF(Games_3[ATHLETE 3],Analysis_5[[#This Row],[Atheletes ]],Games_3[PM 34]),SUMIF(Games_3[ATHLETE 4],Analysis_5[[#This Row],[Atheletes ]],Games_3[PM 34]))</f>
        <v>0</v>
      </c>
      <c r="G20" s="14" t="str">
        <f>IF(COUNTBLANK(Games_3[[SCORE 1]:[SCORE 2]])=0,IF(RANK(H20,$H$17:$H$20)=1,RANK(H20,$H$17:$H$20)&amp;"st",IF(RANK(H20,$H$17:$H$20)=2,RANK(H20,$H$17:$H$20)&amp;"nd",IF(RANK(H20,$H$17:$H$20)=3,RANK(H20,$H$17:$H$20)&amp;"rd",RANK(H20,$H$17:$H$20)&amp;"th"))),"")</f>
        <v/>
      </c>
      <c r="H20" s="51">
        <f>Analysis_5[[#This Row],[WIN]]*1000000+Analysis_5[[#This Row],[Saldo]]*1000+Analysis_5[[#This Row],[PM]]</f>
        <v>0</v>
      </c>
      <c r="I20" s="2">
        <f t="shared" si="0"/>
        <v>0</v>
      </c>
      <c r="J20" s="2" t="str">
        <f t="shared" si="1"/>
        <v>1st</v>
      </c>
      <c r="K20" s="38" t="str">
        <f>Analysis_5[[#This Row],[Atheletes ]]</f>
        <v>A4</v>
      </c>
      <c r="M20" s="91" t="str">
        <f>$M$17</f>
        <v/>
      </c>
      <c r="N20" s="91" t="str">
        <f>$N$17</f>
        <v/>
      </c>
      <c r="O20" s="91"/>
      <c r="P20" s="91"/>
      <c r="Q20" s="91" t="str">
        <f>$Q$17</f>
        <v/>
      </c>
      <c r="R20" s="91" t="str">
        <f>$R$17</f>
        <v/>
      </c>
    </row>
    <row r="21" spans="1:21">
      <c r="I21" s="2">
        <f>H23</f>
        <v>0</v>
      </c>
      <c r="J21" s="2" t="str">
        <f t="shared" si="1"/>
        <v>1st</v>
      </c>
      <c r="K21" s="38" t="str">
        <f>B23</f>
        <v>B1</v>
      </c>
      <c r="M21" s="91" t="str">
        <f>IF(COUNTBLANK(Games_3[[SCORE 1]:[SCORE 2]])=0,RANK(M19,$M$19:$R$19),"")</f>
        <v/>
      </c>
      <c r="N21" s="91" t="str">
        <f>IF(COUNTBLANK(Games_3[[SCORE 1]:[SCORE 2]])=0,RANK(N19,$M$19:$R$19),"")</f>
        <v/>
      </c>
      <c r="O21" s="91"/>
      <c r="P21" s="91"/>
      <c r="Q21" s="91" t="str">
        <f>IF(COUNTBLANK(Games_3[[SCORE 1]:[SCORE 2]])=0,RANK(Q19,$M$19:$R$19),"")</f>
        <v/>
      </c>
      <c r="R21" s="91" t="str">
        <f>IF(COUNTBLANK(Games_3[[SCORE 1]:[SCORE 2]])=0,RANK(R19,$M$19:$R$19),"")</f>
        <v/>
      </c>
    </row>
    <row r="22" spans="1:21" s="44" customFormat="1" ht="28.5" customHeight="1">
      <c r="A22" s="9" t="s">
        <v>184</v>
      </c>
      <c r="B22" s="43" t="s">
        <v>185</v>
      </c>
      <c r="C22" s="48" t="s">
        <v>186</v>
      </c>
      <c r="D22" s="48" t="s">
        <v>187</v>
      </c>
      <c r="E22" s="48" t="s">
        <v>188</v>
      </c>
      <c r="F22" s="48" t="s">
        <v>189</v>
      </c>
      <c r="G22" s="43" t="s">
        <v>8</v>
      </c>
      <c r="H22" s="79" t="s">
        <v>204</v>
      </c>
      <c r="I22" s="2">
        <f t="shared" ref="I22:I24" si="2">H24</f>
        <v>0</v>
      </c>
      <c r="J22" s="2" t="str">
        <f t="shared" si="1"/>
        <v>1st</v>
      </c>
      <c r="K22" s="38" t="str">
        <f t="shared" ref="K22:K24" si="3">B24</f>
        <v>B2</v>
      </c>
      <c r="M22" s="548" t="s">
        <v>200</v>
      </c>
      <c r="N22" s="549"/>
      <c r="O22" s="549"/>
      <c r="P22" s="549"/>
      <c r="Q22" s="549"/>
      <c r="R22" s="549"/>
    </row>
    <row r="23" spans="1:21">
      <c r="A23" s="430" t="s">
        <v>209</v>
      </c>
      <c r="B23" s="118" t="s">
        <v>209</v>
      </c>
      <c r="C23" s="14">
        <f>SUM(COUNTIFS(Games_3[ATHLETE 1],Analysis_6[[#This Row],[Atheletes ]],Games_3[RESULT 12],Analysis_5[[#Headers],[WIN]]),COUNTIFS(Games_3[ATHLETE 2],Analysis_6[[#This Row],[Atheletes ]],Games_3[RESULT 12],Analysis_5[[#Headers],[WIN]]),COUNTIFS(Games_3[ATHLETE 3],Analysis_6[[#This Row],[Atheletes ]],Games_3[RESULT 34],Analysis_5[[#Headers],[WIN]]),COUNTIFS(Games_3[ATHLETE 4],Analysis_6[[#This Row],[Atheletes ]],Games_3[RESULT 34],Analysis_5[[#Headers],[WIN]]))</f>
        <v>0</v>
      </c>
      <c r="D23" s="14">
        <f>SUM(COUNTIFS(Games_3[ATHLETE 1],Analysis_6[[#This Row],[Atheletes ]],Games_3[RESULT 12],Analysis_5[[#Headers],[LOSE]]),COUNTIFS(Games_3[ATHLETE 2],Analysis_6[[#This Row],[Atheletes ]],Games_3[RESULT 12],Analysis_5[[#Headers],[LOSE]]),COUNTIFS(Games_3[ATHLETE 3],Analysis_6[[#This Row],[Atheletes ]],Games_3[RESULT 34],Analysis_5[[#Headers],[LOSE]]),COUNTIFS(Games_3[ATHLETE 4],Analysis_6[[#This Row],[Atheletes ]],Games_3[RESULT 34],Analysis_5[[#Headers],[LOSE]]))</f>
        <v>0</v>
      </c>
      <c r="E23" s="19">
        <f>SUM(SUMIF(Games_3[ATHLETE 1],Analysis_6[[#This Row],[Atheletes ]],Games_3[SALDO 12]),SUMIF(Games_3[ATHLETE 2],Analysis_6[[#This Row],[Atheletes ]],Games_3[SALDO 12]),SUMIF(Games_3[ATHLETE 3],Analysis_6[[#This Row],[Atheletes ]],Games_3[SALDO 34]),SUMIF(Games_3[ATHLETE 4],Analysis_6[[#This Row],[Atheletes ]],Games_3[SALDO 34]))</f>
        <v>0</v>
      </c>
      <c r="F23" s="19">
        <f>SUM(SUMIF(Games_3[ATHLETE 1],Analysis_6[[#This Row],[Atheletes ]],Games_3[PM 12]),SUMIF(Games_3[ATHLETE 2],Analysis_6[[#This Row],[Atheletes ]],Games_3[PM 12]),SUMIF(Games_3[ATHLETE 3],Analysis_6[[#This Row],[Atheletes ]],Games_3[PM 34]),SUMIF(Games_3[ATHLETE 4],Analysis_6[[#This Row],[Atheletes ]],Games_3[PM 34]))</f>
        <v>0</v>
      </c>
      <c r="G23" s="14" t="str">
        <f>IF(COUNTBLANK(Games_3[[SCORE 1]:[SCORE 2]])=0,IF(RANK(H23,$H$23:$H$26)=1,RANK(H23,$H$23:$H$26)&amp;"st",IF(RANK(H23,$H$23:$H$26)=2,RANK(H23,$H$23:$H$26)&amp;"nd",IF(RANK(H23,$H$23:$H$26)=3,RANK(H23,$H$23:$H$26)&amp;"rd",RANK(H23,$H$23:$H$26)&amp;"th"))),"")</f>
        <v/>
      </c>
      <c r="H23" s="51">
        <f>Analysis_6[[#This Row],[WIN]]*1000000+Analysis_6[[#This Row],[Saldo]]*1000+Analysis_6[[#This Row],[PM]]</f>
        <v>0</v>
      </c>
      <c r="I23" s="2">
        <f t="shared" si="2"/>
        <v>0</v>
      </c>
      <c r="J23" s="2" t="str">
        <f t="shared" si="1"/>
        <v>1st</v>
      </c>
      <c r="K23" s="38" t="str">
        <f t="shared" si="3"/>
        <v>B3</v>
      </c>
      <c r="M23" s="418" t="s">
        <v>193</v>
      </c>
      <c r="N23" s="418" t="s">
        <v>194</v>
      </c>
      <c r="O23" s="542" t="s">
        <v>195</v>
      </c>
      <c r="P23" s="543"/>
      <c r="Q23" s="418" t="s">
        <v>196</v>
      </c>
      <c r="R23" s="418" t="s">
        <v>197</v>
      </c>
    </row>
    <row r="24" spans="1:21">
      <c r="A24" s="430" t="s">
        <v>210</v>
      </c>
      <c r="B24" s="118" t="s">
        <v>210</v>
      </c>
      <c r="C24" s="14">
        <f>SUM(COUNTIFS(Games_3[ATHLETE 1],Analysis_6[[#This Row],[Atheletes ]],Games_3[RESULT 12],Analysis_5[[#Headers],[WIN]]),COUNTIFS(Games_3[ATHLETE 2],Analysis_6[[#This Row],[Atheletes ]],Games_3[RESULT 12],Analysis_5[[#Headers],[WIN]]),COUNTIFS(Games_3[ATHLETE 3],Analysis_6[[#This Row],[Atheletes ]],Games_3[RESULT 34],Analysis_5[[#Headers],[WIN]]),COUNTIFS(Games_3[ATHLETE 4],Analysis_6[[#This Row],[Atheletes ]],Games_3[RESULT 34],Analysis_5[[#Headers],[WIN]]))</f>
        <v>0</v>
      </c>
      <c r="D24" s="14">
        <f>SUM(COUNTIFS(Games_3[ATHLETE 1],Analysis_6[[#This Row],[Atheletes ]],Games_3[RESULT 12],Analysis_5[[#Headers],[LOSE]]),COUNTIFS(Games_3[ATHLETE 2],Analysis_6[[#This Row],[Atheletes ]],Games_3[RESULT 12],Analysis_5[[#Headers],[LOSE]]),COUNTIFS(Games_3[ATHLETE 3],Analysis_6[[#This Row],[Atheletes ]],Games_3[RESULT 34],Analysis_5[[#Headers],[LOSE]]),COUNTIFS(Games_3[ATHLETE 4],Analysis_6[[#This Row],[Atheletes ]],Games_3[RESULT 34],Analysis_5[[#Headers],[LOSE]]))</f>
        <v>0</v>
      </c>
      <c r="E24" s="19">
        <f>SUM(SUMIF(Games_3[ATHLETE 1],Analysis_6[[#This Row],[Atheletes ]],Games_3[SALDO 12]),SUMIF(Games_3[ATHLETE 2],Analysis_6[[#This Row],[Atheletes ]],Games_3[SALDO 12]),SUMIF(Games_3[ATHLETE 3],Analysis_6[[#This Row],[Atheletes ]],Games_3[SALDO 34]),SUMIF(Games_3[ATHLETE 4],Analysis_6[[#This Row],[Atheletes ]],Games_3[SALDO 34]))</f>
        <v>0</v>
      </c>
      <c r="F24" s="19">
        <f>SUM(SUMIF(Games_3[ATHLETE 1],Analysis_6[[#This Row],[Atheletes ]],Games_3[PM 12]),SUMIF(Games_3[ATHLETE 2],Analysis_6[[#This Row],[Atheletes ]],Games_3[PM 12]),SUMIF(Games_3[ATHLETE 3],Analysis_6[[#This Row],[Atheletes ]],Games_3[PM 34]),SUMIF(Games_3[ATHLETE 4],Analysis_6[[#This Row],[Atheletes ]],Games_3[PM 34]))</f>
        <v>0</v>
      </c>
      <c r="G24" s="14" t="str">
        <f>IF(COUNTBLANK(Games_3[[SCORE 1]:[SCORE 2]])=0,IF(RANK(H24,$H$23:$H$26)=1,RANK(H24,$H$23:$H$26)&amp;"st",IF(RANK(H24,$H$23:$H$26)=2,RANK(H24,$H$23:$H$26)&amp;"nd",IF(RANK(H24,$H$23:$H$26)=3,RANK(H24,$H$23:$H$26)&amp;"rd",RANK(H24,$H$23:$H$26)&amp;"th"))),"")</f>
        <v/>
      </c>
      <c r="H24" s="51">
        <f>Analysis_6[[#This Row],[WIN]]*1000000+Analysis_6[[#This Row],[Saldo]]*1000+Analysis_6[[#This Row],[PM]]</f>
        <v>0</v>
      </c>
      <c r="I24" s="2">
        <f t="shared" si="2"/>
        <v>0</v>
      </c>
      <c r="J24" s="2" t="str">
        <f t="shared" si="1"/>
        <v>1st</v>
      </c>
      <c r="K24" s="38" t="str">
        <f t="shared" si="3"/>
        <v>B4</v>
      </c>
      <c r="M24" s="432" t="str">
        <f>IF(OR($O$17="",$P$17=""),"",IF($O$18="WIN",$M$17,$Q$17))</f>
        <v/>
      </c>
      <c r="N24" s="121"/>
      <c r="O24" s="119"/>
      <c r="P24" s="119"/>
      <c r="Q24" s="432" t="str">
        <f>IF(OR($O$17="",$P$17=""),"",IF($O$18="WIN",$N$17,$R$17))</f>
        <v/>
      </c>
      <c r="R24" s="122"/>
      <c r="S24" s="68"/>
    </row>
    <row r="25" spans="1:21">
      <c r="A25" s="430" t="s">
        <v>211</v>
      </c>
      <c r="B25" s="118" t="s">
        <v>211</v>
      </c>
      <c r="C25" s="14">
        <f>SUM(COUNTIFS(Games_3[ATHLETE 1],Analysis_6[[#This Row],[Atheletes ]],Games_3[RESULT 12],Analysis_5[[#Headers],[WIN]]),COUNTIFS(Games_3[ATHLETE 2],Analysis_6[[#This Row],[Atheletes ]],Games_3[RESULT 12],Analysis_5[[#Headers],[WIN]]),COUNTIFS(Games_3[ATHLETE 3],Analysis_6[[#This Row],[Atheletes ]],Games_3[RESULT 34],Analysis_5[[#Headers],[WIN]]),COUNTIFS(Games_3[ATHLETE 4],Analysis_6[[#This Row],[Atheletes ]],Games_3[RESULT 34],Analysis_5[[#Headers],[WIN]]))</f>
        <v>0</v>
      </c>
      <c r="D25" s="14">
        <f>SUM(COUNTIFS(Games_3[ATHLETE 1],Analysis_6[[#This Row],[Atheletes ]],Games_3[RESULT 12],Analysis_5[[#Headers],[LOSE]]),COUNTIFS(Games_3[ATHLETE 2],Analysis_6[[#This Row],[Atheletes ]],Games_3[RESULT 12],Analysis_5[[#Headers],[LOSE]]),COUNTIFS(Games_3[ATHLETE 3],Analysis_6[[#This Row],[Atheletes ]],Games_3[RESULT 34],Analysis_5[[#Headers],[LOSE]]),COUNTIFS(Games_3[ATHLETE 4],Analysis_6[[#This Row],[Atheletes ]],Games_3[RESULT 34],Analysis_5[[#Headers],[LOSE]]))</f>
        <v>0</v>
      </c>
      <c r="E25" s="19">
        <f>SUM(SUMIF(Games_3[ATHLETE 1],Analysis_6[[#This Row],[Atheletes ]],Games_3[SALDO 12]),SUMIF(Games_3[ATHLETE 2],Analysis_6[[#This Row],[Atheletes ]],Games_3[SALDO 12]),SUMIF(Games_3[ATHLETE 3],Analysis_6[[#This Row],[Atheletes ]],Games_3[SALDO 34]),SUMIF(Games_3[ATHLETE 4],Analysis_6[[#This Row],[Atheletes ]],Games_3[SALDO 34]))</f>
        <v>0</v>
      </c>
      <c r="F25" s="19">
        <f>SUM(SUMIF(Games_3[ATHLETE 1],Analysis_6[[#This Row],[Atheletes ]],Games_3[PM 12]),SUMIF(Games_3[ATHLETE 2],Analysis_6[[#This Row],[Atheletes ]],Games_3[PM 12]),SUMIF(Games_3[ATHLETE 3],Analysis_6[[#This Row],[Atheletes ]],Games_3[PM 34]),SUMIF(Games_3[ATHLETE 4],Analysis_6[[#This Row],[Atheletes ]],Games_3[PM 34]))</f>
        <v>0</v>
      </c>
      <c r="G25" s="14" t="str">
        <f>IF(COUNTBLANK(Games_3[[SCORE 1]:[SCORE 2]])=0,IF(RANK(H25,$H$23:$H$26)=1,RANK(H25,$H$23:$H$26)&amp;"st",IF(RANK(H25,$H$23:$H$26)=2,RANK(H25,$H$23:$H$26)&amp;"nd",IF(RANK(H25,$H$23:$H$26)=3,RANK(H25,$H$23:$H$26)&amp;"rd",RANK(H25,$H$23:$H$26)&amp;"th"))),"")</f>
        <v/>
      </c>
      <c r="H25" s="51">
        <f>Analysis_6[[#This Row],[WIN]]*1000000+Analysis_6[[#This Row],[Saldo]]*1000+Analysis_6[[#This Row],[PM]]</f>
        <v>0</v>
      </c>
      <c r="I25" s="2">
        <f>H29</f>
        <v>0</v>
      </c>
      <c r="J25" s="2" t="str">
        <f t="shared" si="1"/>
        <v>1st</v>
      </c>
      <c r="K25" s="38" t="str">
        <f>B29</f>
        <v>C1</v>
      </c>
      <c r="M25" s="62" t="str">
        <f>IF(OR($O$24="",$P$24=""),"",IF($O$25="win",$U$3,$U$4))</f>
        <v/>
      </c>
      <c r="N25" s="66"/>
      <c r="O25" s="67" t="str">
        <f>IF(OR(O24="",P24=""),"",IF((O24&gt;P24),"WIN","LOSE"))</f>
        <v/>
      </c>
      <c r="P25" s="67" t="str">
        <f>IF(OR(O24="",P24=""),"",IF((O24&lt;P24),"WIN","LOSE"))</f>
        <v/>
      </c>
      <c r="Q25" s="62" t="str">
        <f>IF(OR($O$24="",$P$24=""),"",IF($P$25="win",$U$3,$U$4))</f>
        <v/>
      </c>
      <c r="R25" s="66"/>
      <c r="T25" t="str" cm="1">
        <f t="array" ref="T25">_xlfn.TEXTJOIN(", ", TRUE, _xlfn._xlws.FILTER(B2:B100, A2:A100="John", ""))</f>
        <v/>
      </c>
    </row>
    <row r="26" spans="1:21">
      <c r="A26" s="430" t="s">
        <v>212</v>
      </c>
      <c r="B26" s="118" t="s">
        <v>212</v>
      </c>
      <c r="C26" s="14">
        <f>SUM(COUNTIFS(Games_3[ATHLETE 1],Analysis_6[[#This Row],[Atheletes ]],Games_3[RESULT 12],Analysis_5[[#Headers],[WIN]]),COUNTIFS(Games_3[ATHLETE 2],Analysis_6[[#This Row],[Atheletes ]],Games_3[RESULT 12],Analysis_5[[#Headers],[WIN]]),COUNTIFS(Games_3[ATHLETE 3],Analysis_6[[#This Row],[Atheletes ]],Games_3[RESULT 34],Analysis_5[[#Headers],[WIN]]),COUNTIFS(Games_3[ATHLETE 4],Analysis_6[[#This Row],[Atheletes ]],Games_3[RESULT 34],Analysis_5[[#Headers],[WIN]]))</f>
        <v>0</v>
      </c>
      <c r="D26" s="14">
        <f>SUM(COUNTIFS(Games_3[ATHLETE 1],Analysis_6[[#This Row],[Atheletes ]],Games_3[RESULT 12],Analysis_5[[#Headers],[LOSE]]),COUNTIFS(Games_3[ATHLETE 2],Analysis_6[[#This Row],[Atheletes ]],Games_3[RESULT 12],Analysis_5[[#Headers],[LOSE]]),COUNTIFS(Games_3[ATHLETE 3],Analysis_6[[#This Row],[Atheletes ]],Games_3[RESULT 34],Analysis_5[[#Headers],[LOSE]]),COUNTIFS(Games_3[ATHLETE 4],Analysis_6[[#This Row],[Atheletes ]],Games_3[RESULT 34],Analysis_5[[#Headers],[LOSE]]))</f>
        <v>0</v>
      </c>
      <c r="E26" s="19">
        <f>SUM(SUMIF(Games_3[ATHLETE 1],Analysis_6[[#This Row],[Atheletes ]],Games_3[SALDO 12]),SUMIF(Games_3[ATHLETE 2],Analysis_6[[#This Row],[Atheletes ]],Games_3[SALDO 12]),SUMIF(Games_3[ATHLETE 3],Analysis_6[[#This Row],[Atheletes ]],Games_3[SALDO 34]),SUMIF(Games_3[ATHLETE 4],Analysis_6[[#This Row],[Atheletes ]],Games_3[SALDO 34]))</f>
        <v>0</v>
      </c>
      <c r="F26" s="19">
        <f>SUM(SUMIF(Games_3[ATHLETE 1],Analysis_6[[#This Row],[Atheletes ]],Games_3[PM 12]),SUMIF(Games_3[ATHLETE 2],Analysis_6[[#This Row],[Atheletes ]],Games_3[PM 12]),SUMIF(Games_3[ATHLETE 3],Analysis_6[[#This Row],[Atheletes ]],Games_3[PM 34]),SUMIF(Games_3[ATHLETE 4],Analysis_6[[#This Row],[Atheletes ]],Games_3[PM 34]))</f>
        <v>0</v>
      </c>
      <c r="G26" s="14" t="str">
        <f>IF(COUNTBLANK(Games_3[[SCORE 1]:[SCORE 2]])=0,IF(RANK(H26,$H$23:$H$26)=1,RANK(H26,$H$23:$H$26)&amp;"st",IF(RANK(H26,$H$23:$H$26)=2,RANK(H26,$H$23:$H$26)&amp;"nd",IF(RANK(H26,$H$23:$H$26)=3,RANK(H26,$H$23:$H$26)&amp;"rd",RANK(H26,$H$23:$H$26)&amp;"th"))),"")</f>
        <v/>
      </c>
      <c r="H26" s="51">
        <f>Analysis_6[[#This Row],[WIN]]*1000000+Analysis_6[[#This Row],[Saldo]]*1000+Analysis_6[[#This Row],[PM]]</f>
        <v>0</v>
      </c>
      <c r="I26" s="2">
        <f t="shared" ref="I26:I28" si="4">H30</f>
        <v>0</v>
      </c>
      <c r="J26" s="2" t="str">
        <f t="shared" si="1"/>
        <v>1st</v>
      </c>
      <c r="K26" s="38" t="str">
        <f t="shared" ref="K26:K28" si="5">B30</f>
        <v>C2</v>
      </c>
    </row>
    <row r="27" spans="1:21">
      <c r="I27" s="2">
        <f t="shared" si="4"/>
        <v>0</v>
      </c>
      <c r="J27" s="2" t="str">
        <f t="shared" si="1"/>
        <v>1st</v>
      </c>
      <c r="K27" s="38" t="str">
        <f t="shared" si="5"/>
        <v>C3</v>
      </c>
      <c r="M27" s="90"/>
      <c r="N27" s="90"/>
      <c r="O27" s="90"/>
      <c r="P27" s="90"/>
      <c r="Q27" s="90"/>
      <c r="R27" s="90"/>
    </row>
    <row r="28" spans="1:21" ht="15.95">
      <c r="A28" s="9" t="s">
        <v>184</v>
      </c>
      <c r="B28" s="10" t="s">
        <v>185</v>
      </c>
      <c r="C28" s="10" t="s">
        <v>186</v>
      </c>
      <c r="D28" s="10" t="s">
        <v>187</v>
      </c>
      <c r="E28" s="10" t="s">
        <v>188</v>
      </c>
      <c r="F28" s="10" t="s">
        <v>189</v>
      </c>
      <c r="G28" s="7" t="s">
        <v>8</v>
      </c>
      <c r="H28" s="78" t="s">
        <v>204</v>
      </c>
      <c r="I28" s="2">
        <f t="shared" si="4"/>
        <v>0</v>
      </c>
      <c r="J28" s="2" t="str">
        <f t="shared" si="1"/>
        <v>1st</v>
      </c>
      <c r="K28" s="38" t="str">
        <f t="shared" si="5"/>
        <v>C4</v>
      </c>
      <c r="M28" s="90"/>
      <c r="N28" s="90"/>
      <c r="O28" s="90"/>
      <c r="P28" s="90"/>
      <c r="Q28" s="90"/>
      <c r="R28" s="90"/>
    </row>
    <row r="29" spans="1:21">
      <c r="A29" s="430" t="s">
        <v>213</v>
      </c>
      <c r="B29" s="118" t="s">
        <v>213</v>
      </c>
      <c r="C29" s="14">
        <f>SUM(COUNTIFS(Games_3[ATHLETE 1],Analysis_7[[#This Row],[Atheletes ]],Games_3[RESULT 12],Analysis_5[[#Headers],[WIN]]),COUNTIFS(Games_3[ATHLETE 2],Analysis_7[[#This Row],[Atheletes ]],Games_3[RESULT 12],Analysis_5[[#Headers],[WIN]]),COUNTIFS(Games_3[ATHLETE 3],Analysis_7[[#This Row],[Atheletes ]],Games_3[RESULT 34],Analysis_5[[#Headers],[WIN]]),COUNTIFS(Games_3[ATHLETE 4],Analysis_7[[#This Row],[Atheletes ]],Games_3[RESULT 34],Analysis_5[[#Headers],[WIN]]))</f>
        <v>0</v>
      </c>
      <c r="D29" s="14">
        <f>SUM(COUNTIFS(Games_3[ATHLETE 1],Analysis_7[[#This Row],[Atheletes ]],Games_3[RESULT 12],Analysis_5[[#Headers],[LOSE]]),COUNTIFS(Games_3[ATHLETE 2],Analysis_7[[#This Row],[Atheletes ]],Games_3[RESULT 12],Analysis_5[[#Headers],[LOSE]]),COUNTIFS(Games_3[ATHLETE 3],Analysis_7[[#This Row],[Atheletes ]],Games_3[RESULT 34],Analysis_5[[#Headers],[LOSE]]),COUNTIFS(Games_3[ATHLETE 4],Analysis_7[[#This Row],[Atheletes ]],Games_3[RESULT 34],Analysis_5[[#Headers],[LOSE]]))</f>
        <v>0</v>
      </c>
      <c r="E29" s="19">
        <f>SUM(SUMIF(Games_3[ATHLETE 1],Analysis_7[[#This Row],[Atheletes ]],Games_3[SALDO 12]),SUMIF(Games_3[ATHLETE 2],Analysis_7[[#This Row],[Atheletes ]],Games_3[SALDO 12]),SUMIF(Games_3[ATHLETE 3],Analysis_7[[#This Row],[Atheletes ]],Games_3[SALDO 34]),SUMIF(Games_3[ATHLETE 4],Analysis_7[[#This Row],[Atheletes ]],Games_3[SALDO 34]))</f>
        <v>0</v>
      </c>
      <c r="F29" s="19">
        <f>SUM(SUMIF(Games_3[ATHLETE 1],Analysis_7[[#This Row],[Atheletes ]],Games_3[PM 12]),SUMIF(Games_3[ATHLETE 2],Analysis_7[[#This Row],[Atheletes ]],Games_3[PM 12]),SUMIF(Games_3[ATHLETE 3],Analysis_7[[#This Row],[Atheletes ]],Games_3[PM 34]),SUMIF(Games_3[ATHLETE 4],Analysis_7[[#This Row],[Atheletes ]],Games_3[PM 34]))</f>
        <v>0</v>
      </c>
      <c r="G29" s="14" t="str">
        <f>IF(COUNTBLANK(Games_3[[SCORE 1]:[SCORE 2]])=0,IF(RANK(H29,$H$29:$H$32)=1,RANK(H29,$H$29:$H$32)&amp;"st",IF(RANK(H29,$H$29:$H$32)=2,RANK(H29,$H$29:$H$32)&amp;"nd",IF(RANK(H29,$H$29:$H$32)=3,RANK(H29,$H$29:$H$32)&amp;"rd",RANK(H29,$H$29:$H$32)&amp;"th"))),"")</f>
        <v/>
      </c>
      <c r="H29" s="51">
        <f>Analysis_7[[#This Row],[WIN]]*1000000+Analysis_7[[#This Row],[Saldo]]*1000+Analysis_7[[#This Row],[PM]]</f>
        <v>0</v>
      </c>
      <c r="I29" s="2">
        <f>H35</f>
        <v>0</v>
      </c>
      <c r="J29" s="2" t="str">
        <f t="shared" si="1"/>
        <v>1st</v>
      </c>
      <c r="K29" s="38" t="str">
        <f>B35</f>
        <v>D1</v>
      </c>
      <c r="M29" s="90"/>
      <c r="N29" s="90"/>
      <c r="O29" s="90"/>
      <c r="P29" s="90"/>
      <c r="Q29" s="90"/>
      <c r="R29" s="90"/>
    </row>
    <row r="30" spans="1:21">
      <c r="A30" s="430" t="s">
        <v>214</v>
      </c>
      <c r="B30" s="118" t="s">
        <v>214</v>
      </c>
      <c r="C30" s="14">
        <f>SUM(COUNTIFS(Games_3[ATHLETE 1],Analysis_7[[#This Row],[Atheletes ]],Games_3[RESULT 12],Analysis_5[[#Headers],[WIN]]),COUNTIFS(Games_3[ATHLETE 2],Analysis_7[[#This Row],[Atheletes ]],Games_3[RESULT 12],Analysis_5[[#Headers],[WIN]]),COUNTIFS(Games_3[ATHLETE 3],Analysis_7[[#This Row],[Atheletes ]],Games_3[RESULT 34],Analysis_5[[#Headers],[WIN]]),COUNTIFS(Games_3[ATHLETE 4],Analysis_7[[#This Row],[Atheletes ]],Games_3[RESULT 34],Analysis_5[[#Headers],[WIN]]))</f>
        <v>0</v>
      </c>
      <c r="D30" s="14">
        <f>SUM(COUNTIFS(Games_3[ATHLETE 1],Analysis_7[[#This Row],[Atheletes ]],Games_3[RESULT 12],Analysis_5[[#Headers],[LOSE]]),COUNTIFS(Games_3[ATHLETE 2],Analysis_7[[#This Row],[Atheletes ]],Games_3[RESULT 12],Analysis_5[[#Headers],[LOSE]]),COUNTIFS(Games_3[ATHLETE 3],Analysis_7[[#This Row],[Atheletes ]],Games_3[RESULT 34],Analysis_5[[#Headers],[LOSE]]),COUNTIFS(Games_3[ATHLETE 4],Analysis_7[[#This Row],[Atheletes ]],Games_3[RESULT 34],Analysis_5[[#Headers],[LOSE]]))</f>
        <v>0</v>
      </c>
      <c r="E30" s="19">
        <f>SUM(SUMIF(Games_3[ATHLETE 1],Analysis_7[[#This Row],[Atheletes ]],Games_3[SALDO 12]),SUMIF(Games_3[ATHLETE 2],Analysis_7[[#This Row],[Atheletes ]],Games_3[SALDO 12]),SUMIF(Games_3[ATHLETE 3],Analysis_7[[#This Row],[Atheletes ]],Games_3[SALDO 34]),SUMIF(Games_3[ATHLETE 4],Analysis_7[[#This Row],[Atheletes ]],Games_3[SALDO 34]))</f>
        <v>0</v>
      </c>
      <c r="F30" s="19">
        <f>SUM(SUMIF(Games_3[ATHLETE 1],Analysis_7[[#This Row],[Atheletes ]],Games_3[PM 12]),SUMIF(Games_3[ATHLETE 2],Analysis_7[[#This Row],[Atheletes ]],Games_3[PM 12]),SUMIF(Games_3[ATHLETE 3],Analysis_7[[#This Row],[Atheletes ]],Games_3[PM 34]),SUMIF(Games_3[ATHLETE 4],Analysis_7[[#This Row],[Atheletes ]],Games_3[PM 34]))</f>
        <v>0</v>
      </c>
      <c r="G30" s="14" t="str">
        <f>IF(COUNTBLANK(Games_3[[SCORE 1]:[SCORE 2]])=0,IF(RANK(H30,$H$29:$H$32)=1,RANK(H30,$H$29:$H$32)&amp;"st",IF(RANK(H30,$H$29:$H$32)=2,RANK(H30,$H$29:$H$32)&amp;"nd",IF(RANK(H30,$H$29:$H$32)=3,RANK(H30,$H$29:$H$32)&amp;"rd",RANK(H30,$H$29:$H$32)&amp;"th"))),"")</f>
        <v/>
      </c>
      <c r="H30" s="51">
        <f>Analysis_7[[#This Row],[WIN]]*1000000+Analysis_7[[#This Row],[Saldo]]*1000+Analysis_7[[#This Row],[PM]]</f>
        <v>0</v>
      </c>
      <c r="I30" s="2">
        <f t="shared" ref="I30:I32" si="6">H36</f>
        <v>0</v>
      </c>
      <c r="J30" s="2" t="str">
        <f t="shared" si="1"/>
        <v>1st</v>
      </c>
      <c r="K30" s="38" t="str">
        <f t="shared" ref="K30:K32" si="7">B36</f>
        <v>D2</v>
      </c>
      <c r="M30" s="90"/>
      <c r="N30" s="90"/>
      <c r="O30" s="90"/>
      <c r="P30" s="90"/>
      <c r="Q30" s="90"/>
      <c r="R30" s="90"/>
    </row>
    <row r="31" spans="1:21">
      <c r="A31" s="430" t="s">
        <v>216</v>
      </c>
      <c r="B31" s="118" t="s">
        <v>216</v>
      </c>
      <c r="C31" s="14">
        <f>SUM(COUNTIFS(Games_3[ATHLETE 1],Analysis_7[[#This Row],[Atheletes ]],Games_3[RESULT 12],Analysis_5[[#Headers],[WIN]]),COUNTIFS(Games_3[ATHLETE 2],Analysis_7[[#This Row],[Atheletes ]],Games_3[RESULT 12],Analysis_5[[#Headers],[WIN]]),COUNTIFS(Games_3[ATHLETE 3],Analysis_7[[#This Row],[Atheletes ]],Games_3[RESULT 34],Analysis_5[[#Headers],[WIN]]),COUNTIFS(Games_3[ATHLETE 4],Analysis_7[[#This Row],[Atheletes ]],Games_3[RESULT 34],Analysis_5[[#Headers],[WIN]]))</f>
        <v>0</v>
      </c>
      <c r="D31" s="14">
        <f>SUM(COUNTIFS(Games_3[ATHLETE 1],Analysis_7[[#This Row],[Atheletes ]],Games_3[RESULT 12],Analysis_5[[#Headers],[LOSE]]),COUNTIFS(Games_3[ATHLETE 2],Analysis_7[[#This Row],[Atheletes ]],Games_3[RESULT 12],Analysis_5[[#Headers],[LOSE]]),COUNTIFS(Games_3[ATHLETE 3],Analysis_7[[#This Row],[Atheletes ]],Games_3[RESULT 34],Analysis_5[[#Headers],[LOSE]]),COUNTIFS(Games_3[ATHLETE 4],Analysis_7[[#This Row],[Atheletes ]],Games_3[RESULT 34],Analysis_5[[#Headers],[LOSE]]))</f>
        <v>0</v>
      </c>
      <c r="E31" s="19">
        <f>SUM(SUMIF(Games_3[ATHLETE 1],Analysis_7[[#This Row],[Atheletes ]],Games_3[SALDO 12]),SUMIF(Games_3[ATHLETE 2],Analysis_7[[#This Row],[Atheletes ]],Games_3[SALDO 12]),SUMIF(Games_3[ATHLETE 3],Analysis_7[[#This Row],[Atheletes ]],Games_3[SALDO 34]),SUMIF(Games_3[ATHLETE 4],Analysis_7[[#This Row],[Atheletes ]],Games_3[SALDO 34]))</f>
        <v>0</v>
      </c>
      <c r="F31" s="19">
        <f>SUM(SUMIF(Games_3[ATHLETE 1],Analysis_7[[#This Row],[Atheletes ]],Games_3[PM 12]),SUMIF(Games_3[ATHLETE 2],Analysis_7[[#This Row],[Atheletes ]],Games_3[PM 12]),SUMIF(Games_3[ATHLETE 3],Analysis_7[[#This Row],[Atheletes ]],Games_3[PM 34]),SUMIF(Games_3[ATHLETE 4],Analysis_7[[#This Row],[Atheletes ]],Games_3[PM 34]))</f>
        <v>0</v>
      </c>
      <c r="G31" s="14" t="str">
        <f>IF(COUNTBLANK(Games_3[[SCORE 1]:[SCORE 2]])=0,IF(RANK(H31,$H$29:$H$32)=1,RANK(H31,$H$29:$H$32)&amp;"st",IF(RANK(H31,$H$29:$H$32)=2,RANK(H31,$H$29:$H$32)&amp;"nd",IF(RANK(H31,$H$29:$H$32)=3,RANK(H31,$H$29:$H$32)&amp;"rd",RANK(H31,$H$29:$H$32)&amp;"th"))),"")</f>
        <v/>
      </c>
      <c r="H31" s="51">
        <f>Analysis_7[[#This Row],[WIN]]*1000000+Analysis_7[[#This Row],[Saldo]]*1000+Analysis_7[[#This Row],[PM]]</f>
        <v>0</v>
      </c>
      <c r="I31" s="2">
        <f t="shared" si="6"/>
        <v>0</v>
      </c>
      <c r="J31" s="2" t="str">
        <f t="shared" si="1"/>
        <v>1st</v>
      </c>
      <c r="K31" s="38" t="str">
        <f t="shared" si="7"/>
        <v>D3</v>
      </c>
    </row>
    <row r="32" spans="1:21">
      <c r="A32" s="430" t="s">
        <v>217</v>
      </c>
      <c r="B32" s="118" t="s">
        <v>217</v>
      </c>
      <c r="C32" s="14">
        <f>SUM(COUNTIFS(Games_3[ATHLETE 1],Analysis_7[[#This Row],[Atheletes ]],Games_3[RESULT 12],Analysis_5[[#Headers],[WIN]]),COUNTIFS(Games_3[ATHLETE 2],Analysis_7[[#This Row],[Atheletes ]],Games_3[RESULT 12],Analysis_5[[#Headers],[WIN]]),COUNTIFS(Games_3[ATHLETE 3],Analysis_7[[#This Row],[Atheletes ]],Games_3[RESULT 34],Analysis_5[[#Headers],[WIN]]),COUNTIFS(Games_3[ATHLETE 4],Analysis_7[[#This Row],[Atheletes ]],Games_3[RESULT 34],Analysis_5[[#Headers],[WIN]]))</f>
        <v>0</v>
      </c>
      <c r="D32" s="14">
        <f>SUM(COUNTIFS(Games_3[ATHLETE 1],Analysis_7[[#This Row],[Atheletes ]],Games_3[RESULT 12],Analysis_5[[#Headers],[LOSE]]),COUNTIFS(Games_3[ATHLETE 2],Analysis_7[[#This Row],[Atheletes ]],Games_3[RESULT 12],Analysis_5[[#Headers],[LOSE]]),COUNTIFS(Games_3[ATHLETE 3],Analysis_7[[#This Row],[Atheletes ]],Games_3[RESULT 34],Analysis_5[[#Headers],[LOSE]]),COUNTIFS(Games_3[ATHLETE 4],Analysis_7[[#This Row],[Atheletes ]],Games_3[RESULT 34],Analysis_5[[#Headers],[LOSE]]))</f>
        <v>0</v>
      </c>
      <c r="E32" s="19">
        <f>SUM(SUMIF(Games_3[ATHLETE 1],Analysis_7[[#This Row],[Atheletes ]],Games_3[SALDO 12]),SUMIF(Games_3[ATHLETE 2],Analysis_7[[#This Row],[Atheletes ]],Games_3[SALDO 12]),SUMIF(Games_3[ATHLETE 3],Analysis_7[[#This Row],[Atheletes ]],Games_3[SALDO 34]),SUMIF(Games_3[ATHLETE 4],Analysis_7[[#This Row],[Atheletes ]],Games_3[SALDO 34]))</f>
        <v>0</v>
      </c>
      <c r="F32" s="19">
        <f>SUM(SUMIF(Games_3[ATHLETE 1],Analysis_7[[#This Row],[Atheletes ]],Games_3[PM 12]),SUMIF(Games_3[ATHLETE 2],Analysis_7[[#This Row],[Atheletes ]],Games_3[PM 12]),SUMIF(Games_3[ATHLETE 3],Analysis_7[[#This Row],[Atheletes ]],Games_3[PM 34]),SUMIF(Games_3[ATHLETE 4],Analysis_7[[#This Row],[Atheletes ]],Games_3[PM 34]))</f>
        <v>0</v>
      </c>
      <c r="G32" s="14" t="str">
        <f>IF(COUNTBLANK(Games_3[[SCORE 1]:[SCORE 2]])=0,IF(RANK(H32,$H$29:$H$32)=1,RANK(H32,$H$29:$H$32)&amp;"st",IF(RANK(H32,$H$29:$H$32)=2,RANK(H32,$H$29:$H$32)&amp;"nd",IF(RANK(H32,$H$29:$H$32)=3,RANK(H32,$H$29:$H$32)&amp;"rd",RANK(H32,$H$29:$H$32)&amp;"th"))),"")</f>
        <v/>
      </c>
      <c r="H32" s="51">
        <f>Analysis_7[[#This Row],[WIN]]*1000000+Analysis_7[[#This Row],[Saldo]]*1000+Analysis_7[[#This Row],[PM]]</f>
        <v>0</v>
      </c>
      <c r="I32" s="2">
        <f t="shared" si="6"/>
        <v>0</v>
      </c>
      <c r="J32" s="2" t="str">
        <f t="shared" si="1"/>
        <v>1st</v>
      </c>
      <c r="K32" s="38" t="str">
        <f t="shared" si="7"/>
        <v>D4</v>
      </c>
    </row>
    <row r="34" spans="1:8" ht="15.95">
      <c r="A34" s="9" t="s">
        <v>184</v>
      </c>
      <c r="B34" s="10" t="s">
        <v>185</v>
      </c>
      <c r="C34" s="10" t="s">
        <v>186</v>
      </c>
      <c r="D34" s="10" t="s">
        <v>187</v>
      </c>
      <c r="E34" s="10" t="s">
        <v>188</v>
      </c>
      <c r="F34" s="10" t="s">
        <v>189</v>
      </c>
      <c r="G34" s="7" t="s">
        <v>8</v>
      </c>
      <c r="H34" s="20" t="s">
        <v>204</v>
      </c>
    </row>
    <row r="35" spans="1:8">
      <c r="A35" s="430" t="s">
        <v>233</v>
      </c>
      <c r="B35" s="118" t="s">
        <v>233</v>
      </c>
      <c r="C35" s="14">
        <f>SUM(COUNTIFS(Games_3[ATHLETE 1],Analysis_8[[#This Row],[Atheletes ]],Games_3[RESULT 12],Analysis_5[[#Headers],[WIN]]),COUNTIFS(Games_3[ATHLETE 2],Analysis_8[[#This Row],[Atheletes ]],Games_3[RESULT 12],Analysis_5[[#Headers],[WIN]]),COUNTIFS(Games_3[ATHLETE 3],Analysis_8[[#This Row],[Atheletes ]],Games_3[RESULT 34],Analysis_5[[#Headers],[WIN]]),COUNTIFS(Games_3[ATHLETE 4],Analysis_8[[#This Row],[Atheletes ]],Games_3[RESULT 34],Analysis_5[[#Headers],[WIN]]))</f>
        <v>0</v>
      </c>
      <c r="D35" s="14">
        <f>SUM(COUNTIFS(Games_3[ATHLETE 1],Analysis_8[[#This Row],[Atheletes ]],Games_3[RESULT 12],Analysis_5[[#Headers],[LOSE]]),COUNTIFS(Games_3[ATHLETE 2],Analysis_8[[#This Row],[Atheletes ]],Games_3[RESULT 12],Analysis_5[[#Headers],[LOSE]]),COUNTIFS(Games_3[ATHLETE 3],Analysis_8[[#This Row],[Atheletes ]],Games_3[RESULT 34],Analysis_5[[#Headers],[LOSE]]),COUNTIFS(Games_3[ATHLETE 4],Analysis_8[[#This Row],[Atheletes ]],Games_3[RESULT 34],Analysis_5[[#Headers],[LOSE]]))</f>
        <v>0</v>
      </c>
      <c r="E35" s="19">
        <f>SUM(SUMIF(Games_3[ATHLETE 1],Analysis_8[[#This Row],[Atheletes ]],Games_3[SALDO 12]),SUMIF(Games_3[ATHLETE 2],Analysis_8[[#This Row],[Atheletes ]],Games_3[SALDO 12]),SUMIF(Games_3[ATHLETE 3],Analysis_8[[#This Row],[Atheletes ]],Games_3[SALDO 34]),SUMIF(Games_3[ATHLETE 4],Analysis_8[[#This Row],[Atheletes ]],Games_3[SALDO 34]))</f>
        <v>0</v>
      </c>
      <c r="F35" s="19">
        <f>SUM(SUMIF(Games_3[ATHLETE 1],Analysis_8[[#This Row],[Atheletes ]],Games_3[PM 12]),SUMIF(Games_3[ATHLETE 2],Analysis_8[[#This Row],[Atheletes ]],Games_3[PM 12]),SUMIF(Games_3[ATHLETE 3],Analysis_8[[#This Row],[Atheletes ]],Games_3[PM 34]),SUMIF(Games_3[ATHLETE 4],Analysis_8[[#This Row],[Atheletes ]],Games_3[PM 34]))</f>
        <v>0</v>
      </c>
      <c r="G35" s="14" t="str">
        <f>IF(COUNTBLANK(Games_3[[SCORE 1]:[SCORE 2]])=0,IF(RANK(H35,$H$35:$H$38)=1,RANK(H35,$H$35:$H$38)&amp;"st",IF(RANK(H35,$H$35:$H$38)=2,RANK(H35,$H$35:$H$38)&amp;"nd",IF(RANK(H35,$H$35:$H$38)=3,RANK(H35,$H$35:$H$38)&amp;"rd",RANK(H35,$H$35:$H$38)&amp;"th"))),"")</f>
        <v/>
      </c>
      <c r="H35" s="51">
        <f>Analysis_8[[#This Row],[WIN]]*1000000+Analysis_8[[#This Row],[Saldo]]*1000+Analysis_8[[#This Row],[PM]]</f>
        <v>0</v>
      </c>
    </row>
    <row r="36" spans="1:8">
      <c r="A36" s="430" t="s">
        <v>234</v>
      </c>
      <c r="B36" s="118" t="s">
        <v>234</v>
      </c>
      <c r="C36" s="14">
        <f>SUM(COUNTIFS(Games_3[ATHLETE 1],Analysis_8[[#This Row],[Atheletes ]],Games_3[RESULT 12],Analysis_5[[#Headers],[WIN]]),COUNTIFS(Games_3[ATHLETE 2],Analysis_8[[#This Row],[Atheletes ]],Games_3[RESULT 12],Analysis_5[[#Headers],[WIN]]),COUNTIFS(Games_3[ATHLETE 3],Analysis_8[[#This Row],[Atheletes ]],Games_3[RESULT 34],Analysis_5[[#Headers],[WIN]]),COUNTIFS(Games_3[ATHLETE 4],Analysis_8[[#This Row],[Atheletes ]],Games_3[RESULT 34],Analysis_5[[#Headers],[WIN]]))</f>
        <v>0</v>
      </c>
      <c r="D36" s="14">
        <f>SUM(COUNTIFS(Games_3[ATHLETE 1],Analysis_8[[#This Row],[Atheletes ]],Games_3[RESULT 12],Analysis_5[[#Headers],[LOSE]]),COUNTIFS(Games_3[ATHLETE 2],Analysis_8[[#This Row],[Atheletes ]],Games_3[RESULT 12],Analysis_5[[#Headers],[LOSE]]),COUNTIFS(Games_3[ATHLETE 3],Analysis_8[[#This Row],[Atheletes ]],Games_3[RESULT 34],Analysis_5[[#Headers],[LOSE]]),COUNTIFS(Games_3[ATHLETE 4],Analysis_8[[#This Row],[Atheletes ]],Games_3[RESULT 34],Analysis_5[[#Headers],[LOSE]]))</f>
        <v>0</v>
      </c>
      <c r="E36" s="19">
        <f>SUM(SUMIF(Games_3[ATHLETE 1],Analysis_8[[#This Row],[Atheletes ]],Games_3[SALDO 12]),SUMIF(Games_3[ATHLETE 2],Analysis_8[[#This Row],[Atheletes ]],Games_3[SALDO 12]),SUMIF(Games_3[ATHLETE 3],Analysis_8[[#This Row],[Atheletes ]],Games_3[SALDO 34]),SUMIF(Games_3[ATHLETE 4],Analysis_8[[#This Row],[Atheletes ]],Games_3[SALDO 34]))</f>
        <v>0</v>
      </c>
      <c r="F36" s="19">
        <f>SUM(SUMIF(Games_3[ATHLETE 1],Analysis_8[[#This Row],[Atheletes ]],Games_3[PM 12]),SUMIF(Games_3[ATHLETE 2],Analysis_8[[#This Row],[Atheletes ]],Games_3[PM 12]),SUMIF(Games_3[ATHLETE 3],Analysis_8[[#This Row],[Atheletes ]],Games_3[PM 34]),SUMIF(Games_3[ATHLETE 4],Analysis_8[[#This Row],[Atheletes ]],Games_3[PM 34]))</f>
        <v>0</v>
      </c>
      <c r="G36" s="14" t="str">
        <f>IF(COUNTBLANK(Games_3[[SCORE 1]:[SCORE 2]])=0,IF(RANK(H36,$H$35:$H$38)=1,RANK(H36,$H$35:$H$38)&amp;"st",IF(RANK(H36,$H$35:$H$38)=2,RANK(H36,$H$35:$H$38)&amp;"nd",IF(RANK(H36,$H$35:$H$38)=3,RANK(H36,$H$35:$H$38)&amp;"rd",RANK(H36,$H$35:$H$38)&amp;"th"))),"")</f>
        <v/>
      </c>
      <c r="H36" s="51">
        <f>Analysis_8[[#This Row],[WIN]]*1000000+Analysis_8[[#This Row],[Saldo]]*1000+Analysis_8[[#This Row],[PM]]</f>
        <v>0</v>
      </c>
    </row>
    <row r="37" spans="1:8">
      <c r="A37" s="430" t="s">
        <v>235</v>
      </c>
      <c r="B37" s="118" t="s">
        <v>235</v>
      </c>
      <c r="C37" s="14">
        <f>SUM(COUNTIFS(Games_3[ATHLETE 1],Analysis_8[[#This Row],[Atheletes ]],Games_3[RESULT 12],Analysis_5[[#Headers],[WIN]]),COUNTIFS(Games_3[ATHLETE 2],Analysis_8[[#This Row],[Atheletes ]],Games_3[RESULT 12],Analysis_5[[#Headers],[WIN]]),COUNTIFS(Games_3[ATHLETE 3],Analysis_8[[#This Row],[Atheletes ]],Games_3[RESULT 34],Analysis_5[[#Headers],[WIN]]),COUNTIFS(Games_3[ATHLETE 4],Analysis_8[[#This Row],[Atheletes ]],Games_3[RESULT 34],Analysis_5[[#Headers],[WIN]]))</f>
        <v>0</v>
      </c>
      <c r="D37" s="14">
        <f>SUM(COUNTIFS(Games_3[ATHLETE 1],Analysis_8[[#This Row],[Atheletes ]],Games_3[RESULT 12],Analysis_5[[#Headers],[LOSE]]),COUNTIFS(Games_3[ATHLETE 2],Analysis_8[[#This Row],[Atheletes ]],Games_3[RESULT 12],Analysis_5[[#Headers],[LOSE]]),COUNTIFS(Games_3[ATHLETE 3],Analysis_8[[#This Row],[Atheletes ]],Games_3[RESULT 34],Analysis_5[[#Headers],[LOSE]]),COUNTIFS(Games_3[ATHLETE 4],Analysis_8[[#This Row],[Atheletes ]],Games_3[RESULT 34],Analysis_5[[#Headers],[LOSE]]))</f>
        <v>0</v>
      </c>
      <c r="E37" s="19">
        <f>SUM(SUMIF(Games_3[ATHLETE 1],Analysis_8[[#This Row],[Atheletes ]],Games_3[SALDO 12]),SUMIF(Games_3[ATHLETE 2],Analysis_8[[#This Row],[Atheletes ]],Games_3[SALDO 12]),SUMIF(Games_3[ATHLETE 3],Analysis_8[[#This Row],[Atheletes ]],Games_3[SALDO 34]),SUMIF(Games_3[ATHLETE 4],Analysis_8[[#This Row],[Atheletes ]],Games_3[SALDO 34]))</f>
        <v>0</v>
      </c>
      <c r="F37" s="19">
        <f>SUM(SUMIF(Games_3[ATHLETE 1],Analysis_8[[#This Row],[Atheletes ]],Games_3[PM 12]),SUMIF(Games_3[ATHLETE 2],Analysis_8[[#This Row],[Atheletes ]],Games_3[PM 12]),SUMIF(Games_3[ATHLETE 3],Analysis_8[[#This Row],[Atheletes ]],Games_3[PM 34]),SUMIF(Games_3[ATHLETE 4],Analysis_8[[#This Row],[Atheletes ]],Games_3[PM 34]))</f>
        <v>0</v>
      </c>
      <c r="G37" s="14" t="str">
        <f>IF(COUNTBLANK(Games_3[[SCORE 1]:[SCORE 2]])=0,IF(RANK(H37,$H$35:$H$38)=1,RANK(H37,$H$35:$H$38)&amp;"st",IF(RANK(H37,$H$35:$H$38)=2,RANK(H37,$H$35:$H$38)&amp;"nd",IF(RANK(H37,$H$35:$H$38)=3,RANK(H37,$H$35:$H$38)&amp;"rd",RANK(H37,$H$35:$H$38)&amp;"th"))),"")</f>
        <v/>
      </c>
      <c r="H37" s="51">
        <f>Analysis_8[[#This Row],[WIN]]*1000000+Analysis_8[[#This Row],[Saldo]]*1000+Analysis_8[[#This Row],[PM]]</f>
        <v>0</v>
      </c>
    </row>
    <row r="38" spans="1:8">
      <c r="A38" s="430" t="s">
        <v>236</v>
      </c>
      <c r="B38" s="118" t="s">
        <v>236</v>
      </c>
      <c r="C38" s="14">
        <f>SUM(COUNTIFS(Games_3[ATHLETE 1],Analysis_8[[#This Row],[Atheletes ]],Games_3[RESULT 12],Analysis_5[[#Headers],[WIN]]),COUNTIFS(Games_3[ATHLETE 2],Analysis_8[[#This Row],[Atheletes ]],Games_3[RESULT 12],Analysis_5[[#Headers],[WIN]]),COUNTIFS(Games_3[ATHLETE 3],Analysis_8[[#This Row],[Atheletes ]],Games_3[RESULT 34],Analysis_5[[#Headers],[WIN]]),COUNTIFS(Games_3[ATHLETE 4],Analysis_8[[#This Row],[Atheletes ]],Games_3[RESULT 34],Analysis_5[[#Headers],[WIN]]))</f>
        <v>0</v>
      </c>
      <c r="D38" s="14">
        <f>SUM(COUNTIFS(Games_3[ATHLETE 1],Analysis_8[[#This Row],[Atheletes ]],Games_3[RESULT 12],Analysis_5[[#Headers],[LOSE]]),COUNTIFS(Games_3[ATHLETE 2],Analysis_8[[#This Row],[Atheletes ]],Games_3[RESULT 12],Analysis_5[[#Headers],[LOSE]]),COUNTIFS(Games_3[ATHLETE 3],Analysis_8[[#This Row],[Atheletes ]],Games_3[RESULT 34],Analysis_5[[#Headers],[LOSE]]),COUNTIFS(Games_3[ATHLETE 4],Analysis_8[[#This Row],[Atheletes ]],Games_3[RESULT 34],Analysis_5[[#Headers],[LOSE]]))</f>
        <v>0</v>
      </c>
      <c r="E38" s="19">
        <f>SUM(SUMIF(Games_3[ATHLETE 1],Analysis_8[[#This Row],[Atheletes ]],Games_3[SALDO 12]),SUMIF(Games_3[ATHLETE 2],Analysis_8[[#This Row],[Atheletes ]],Games_3[SALDO 12]),SUMIF(Games_3[ATHLETE 3],Analysis_8[[#This Row],[Atheletes ]],Games_3[SALDO 34]),SUMIF(Games_3[ATHLETE 4],Analysis_8[[#This Row],[Atheletes ]],Games_3[SALDO 34]))</f>
        <v>0</v>
      </c>
      <c r="F38" s="19">
        <f>SUM(SUMIF(Games_3[ATHLETE 1],Analysis_8[[#This Row],[Atheletes ]],Games_3[PM 12]),SUMIF(Games_3[ATHLETE 2],Analysis_8[[#This Row],[Atheletes ]],Games_3[PM 12]),SUMIF(Games_3[ATHLETE 3],Analysis_8[[#This Row],[Atheletes ]],Games_3[PM 34]),SUMIF(Games_3[ATHLETE 4],Analysis_8[[#This Row],[Atheletes ]],Games_3[PM 34]))</f>
        <v>0</v>
      </c>
      <c r="G38" s="14" t="str">
        <f>IF(COUNTBLANK(Games_3[[SCORE 1]:[SCORE 2]])=0,IF(RANK(H38,$H$35:$H$38)=1,RANK(H38,$H$35:$H$38)&amp;"st",IF(RANK(H38,$H$35:$H$38)=2,RANK(H38,$H$35:$H$38)&amp;"nd",IF(RANK(H38,$H$35:$H$38)=3,RANK(H38,$H$35:$H$38)&amp;"rd",RANK(H38,$H$35:$H$38)&amp;"th"))),"")</f>
        <v/>
      </c>
      <c r="H38" s="51">
        <f>Analysis_8[[#This Row],[WIN]]*1000000+Analysis_8[[#This Row],[Saldo]]*1000+Analysis_8[[#This Row],[PM]]</f>
        <v>0</v>
      </c>
    </row>
    <row r="40" spans="1:8" ht="15.95" thickBot="1"/>
    <row r="41" spans="1:8" ht="15.95" thickBot="1">
      <c r="A41" s="123" t="s">
        <v>218</v>
      </c>
      <c r="B41" s="124">
        <v>45755</v>
      </c>
    </row>
  </sheetData>
  <sheetProtection algorithmName="SHA-512" hashValue="2SdHWkoYdJMsblmfScHlrfjk8FK1g7TygonfDHkIZZoX+fBGjCNvsylOfHrtmyhEvof0IV6qtfgOFNg2VMupPQ==" saltValue="PmnnUzgPvDBGMSuu7MLIgA==" spinCount="100000" sheet="1" objects="1" scenarios="1"/>
  <mergeCells count="7">
    <mergeCell ref="O23:P23"/>
    <mergeCell ref="M22:R22"/>
    <mergeCell ref="A1:A12"/>
    <mergeCell ref="T1:U1"/>
    <mergeCell ref="A15:G15"/>
    <mergeCell ref="M15:R15"/>
    <mergeCell ref="O16:P16"/>
  </mergeCells>
  <phoneticPr fontId="1" type="noConversion"/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5EBF-6265-D243-A9AE-8F3746BAE4DD}">
  <sheetPr codeName="Sheet32"/>
  <dimension ref="A1:AA56"/>
  <sheetViews>
    <sheetView workbookViewId="0">
      <selection sqref="A1:A12"/>
    </sheetView>
    <sheetView workbookViewId="1">
      <selection sqref="A1:A12"/>
    </sheetView>
  </sheetViews>
  <sheetFormatPr defaultColWidth="8.85546875" defaultRowHeight="15"/>
  <cols>
    <col min="1" max="1" width="9.7109375" customWidth="1"/>
    <col min="2" max="4" width="20" customWidth="1"/>
    <col min="5" max="6" width="9.7109375" customWidth="1"/>
    <col min="7" max="7" width="20" customWidth="1"/>
    <col min="8" max="8" width="20" hidden="1" customWidth="1"/>
    <col min="9" max="9" width="12" hidden="1" customWidth="1"/>
    <col min="10" max="10" width="10.7109375" hidden="1" customWidth="1"/>
    <col min="11" max="11" width="8" hidden="1" customWidth="1"/>
    <col min="12" max="12" width="20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20" customWidth="1"/>
    <col min="21" max="22" width="9.7109375" bestFit="1" customWidth="1"/>
  </cols>
  <sheetData>
    <row r="1" spans="1:21" ht="15" customHeight="1">
      <c r="A1" s="551" t="s">
        <v>322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323</v>
      </c>
      <c r="U1" s="545"/>
    </row>
    <row r="2" spans="1:21" ht="15" customHeight="1">
      <c r="A2" s="551"/>
      <c r="B2" s="13" t="s">
        <v>178</v>
      </c>
      <c r="C2" s="1" t="str">
        <f>$B$25</f>
        <v>A1</v>
      </c>
      <c r="D2" s="32" t="str">
        <f>$B$28</f>
        <v>A4</v>
      </c>
      <c r="E2" s="146"/>
      <c r="F2" s="116"/>
      <c r="G2" s="31" t="str">
        <f>$B$26</f>
        <v>A2</v>
      </c>
      <c r="H2" s="63"/>
      <c r="I2" s="63"/>
      <c r="J2" s="63"/>
      <c r="K2" s="63"/>
      <c r="L2" s="16" t="str">
        <f>$B$27</f>
        <v>A3</v>
      </c>
      <c r="M2" s="13" t="str">
        <f>IF(OR(Games_450[[#This Row],[SCORE 1]]="",Games_450[[#This Row],[SCORE 2]]=""),"",Games_450[[#This Row],[SCORE 1]]-Games_450[[#This Row],[SCORE 2]])</f>
        <v/>
      </c>
      <c r="N2" s="13" t="str">
        <f>IF(OR(Games_450[[#This Row],[SCORE 1]]="",Games_450[[#This Row],[SCORE 2]]=""),"",Games_450[[#This Row],[SCORE 2]]-Games_450[[#This Row],[SCORE 1]])</f>
        <v/>
      </c>
      <c r="O2" s="13" t="str">
        <f>IF(Games_450[[#This Row],[SCORE 1]]="","",Games_450[[#This Row],[SCORE 1]])</f>
        <v/>
      </c>
      <c r="P2" s="13" t="str">
        <f>IF(Games_450[[#This Row],[SCORE 2]]="","",Games_450[[#This Row],[SCORE 2]])</f>
        <v/>
      </c>
      <c r="Q2" s="13" t="str">
        <f>IF(OR(Games_450[[#This Row],[SCORE 1]]="",Games_450[[#This Row],[SCORE 2]]=""),"",IF(Games_450[[#This Row],[SALDO 12]]&gt;0, "WIN","LOSE"))</f>
        <v/>
      </c>
      <c r="R2" s="13" t="str">
        <f>IF(OR(Games_450[[#This Row],[SCORE 1]]="",Games_450[[#This Row],[SCORE 2]]=""),"",IF(Games_450[[#This Row],[SALDO 34]]&gt;0, "WIN","LOSE"))</f>
        <v/>
      </c>
      <c r="T2" s="35" t="s">
        <v>179</v>
      </c>
      <c r="U2" s="35" t="s">
        <v>8</v>
      </c>
    </row>
    <row r="3" spans="1:21">
      <c r="A3" s="551"/>
      <c r="B3" s="13" t="s">
        <v>180</v>
      </c>
      <c r="C3" s="1" t="str">
        <f>$B$32</f>
        <v>B1</v>
      </c>
      <c r="D3" s="32" t="str">
        <f>$B$35</f>
        <v>B4</v>
      </c>
      <c r="E3" s="146"/>
      <c r="F3" s="116"/>
      <c r="G3" s="31" t="str">
        <f>$B$33</f>
        <v>B2</v>
      </c>
      <c r="H3" s="63"/>
      <c r="I3" s="63"/>
      <c r="J3" s="63"/>
      <c r="K3" s="63"/>
      <c r="L3" s="16" t="str">
        <f>$B$34</f>
        <v>B3</v>
      </c>
      <c r="M3" s="13" t="str">
        <f>IF(OR(Games_450[[#This Row],[SCORE 1]]="",Games_450[[#This Row],[SCORE 2]]=""),"",Games_450[[#This Row],[SCORE 1]]-Games_450[[#This Row],[SCORE 2]])</f>
        <v/>
      </c>
      <c r="N3" s="13" t="str">
        <f>IF(OR(Games_450[[#This Row],[SCORE 1]]="",Games_450[[#This Row],[SCORE 2]]=""),"",Games_450[[#This Row],[SCORE 2]]-Games_450[[#This Row],[SCORE 1]])</f>
        <v/>
      </c>
      <c r="O3" s="13" t="str">
        <f>IF(Games_450[[#This Row],[SCORE 1]]="","",Games_450[[#This Row],[SCORE 1]])</f>
        <v/>
      </c>
      <c r="P3" s="13" t="str">
        <f>IF(Games_450[[#This Row],[SCORE 2]]="","",Games_450[[#This Row],[SCORE 2]])</f>
        <v/>
      </c>
      <c r="Q3" s="13" t="str">
        <f>IF(OR(Games_450[[#This Row],[SCORE 1]]="",Games_450[[#This Row],[SCORE 2]]=""),"",IF(Games_450[[#This Row],[SALDO 12]]&gt;0, "WIN","LOSE"))</f>
        <v/>
      </c>
      <c r="R3" s="13" t="str">
        <f>IF(OR(Games_450[[#This Row],[SCORE 1]]="",Games_450[[#This Row],[SCORE 2]]=""),"",IF(Games_450[[#This Row],[SALDO 34]]&gt;0, "WIN","LOSE"))</f>
        <v/>
      </c>
      <c r="T3" s="66" t="str">
        <f>_xlfn.XLOOKUP(Table15202832506072932153[[#This Row],[Rank]],$M$44:$R$44,$M$43:$R$43,"")</f>
        <v/>
      </c>
      <c r="U3" s="67" t="s">
        <v>19</v>
      </c>
    </row>
    <row r="4" spans="1:21">
      <c r="A4" s="551"/>
      <c r="B4" s="13" t="s">
        <v>181</v>
      </c>
      <c r="C4" s="1" t="str">
        <f>$B$39</f>
        <v>C1</v>
      </c>
      <c r="D4" s="32" t="str">
        <f>$B$42</f>
        <v>C4</v>
      </c>
      <c r="E4" s="146"/>
      <c r="F4" s="116"/>
      <c r="G4" s="31" t="str">
        <f>$B$40</f>
        <v>C2</v>
      </c>
      <c r="H4" s="63"/>
      <c r="I4" s="63"/>
      <c r="J4" s="63"/>
      <c r="K4" s="63"/>
      <c r="L4" s="16" t="str">
        <f>$B$41</f>
        <v>C3</v>
      </c>
      <c r="M4" s="13" t="str">
        <f>IF(OR(Games_450[[#This Row],[SCORE 1]]="",Games_450[[#This Row],[SCORE 2]]=""),"",Games_450[[#This Row],[SCORE 1]]-Games_450[[#This Row],[SCORE 2]])</f>
        <v/>
      </c>
      <c r="N4" s="13" t="str">
        <f>IF(OR(Games_450[[#This Row],[SCORE 1]]="",Games_450[[#This Row],[SCORE 2]]=""),"",Games_450[[#This Row],[SCORE 2]]-Games_450[[#This Row],[SCORE 1]])</f>
        <v/>
      </c>
      <c r="O4" s="13" t="str">
        <f>IF(Games_450[[#This Row],[SCORE 1]]="","",Games_450[[#This Row],[SCORE 1]])</f>
        <v/>
      </c>
      <c r="P4" s="13" t="str">
        <f>IF(Games_450[[#This Row],[SCORE 2]]="","",Games_450[[#This Row],[SCORE 2]])</f>
        <v/>
      </c>
      <c r="Q4" s="13" t="str">
        <f>IF(OR(Games_450[[#This Row],[SCORE 1]]="",Games_450[[#This Row],[SCORE 2]]=""),"",IF(Games_450[[#This Row],[SALDO 12]]&gt;0, "WIN","LOSE"))</f>
        <v/>
      </c>
      <c r="R4" s="13" t="str">
        <f>IF(OR(Games_450[[#This Row],[SCORE 1]]="",Games_450[[#This Row],[SCORE 2]]=""),"",IF(Games_450[[#This Row],[SALDO 34]]&gt;0, "WIN","LOSE"))</f>
        <v/>
      </c>
      <c r="T4" s="66" t="str">
        <f>_xlfn.XLOOKUP(Table15202832506072932153[[#This Row],[Rank]],$M$44:$R$44,$M$43:$R$43,"")</f>
        <v/>
      </c>
      <c r="U4" s="67" t="s">
        <v>22</v>
      </c>
    </row>
    <row r="5" spans="1:21">
      <c r="A5" s="551"/>
      <c r="B5" s="13" t="s">
        <v>225</v>
      </c>
      <c r="C5" s="1" t="str">
        <f>$B$46</f>
        <v>D1</v>
      </c>
      <c r="D5" s="32" t="str">
        <f>$B$49</f>
        <v>D4</v>
      </c>
      <c r="E5" s="146"/>
      <c r="F5" s="116"/>
      <c r="G5" s="31" t="str">
        <f>$B$47</f>
        <v>D2</v>
      </c>
      <c r="H5" s="63"/>
      <c r="I5" s="63"/>
      <c r="J5" s="63"/>
      <c r="K5" s="63"/>
      <c r="L5" s="16" t="str">
        <f>$B$48</f>
        <v>D3</v>
      </c>
      <c r="M5" s="13" t="str">
        <f>IF(OR(Games_450[[#This Row],[SCORE 1]]="",Games_450[[#This Row],[SCORE 2]]=""),"",Games_450[[#This Row],[SCORE 1]]-Games_450[[#This Row],[SCORE 2]])</f>
        <v/>
      </c>
      <c r="N5" s="13" t="str">
        <f>IF(OR(Games_450[[#This Row],[SCORE 1]]="",Games_450[[#This Row],[SCORE 2]]=""),"",Games_450[[#This Row],[SCORE 2]]-Games_450[[#This Row],[SCORE 1]])</f>
        <v/>
      </c>
      <c r="O5" s="13" t="str">
        <f>IF(Games_450[[#This Row],[SCORE 1]]="","",Games_450[[#This Row],[SCORE 1]])</f>
        <v/>
      </c>
      <c r="P5" s="13" t="str">
        <f>IF(Games_450[[#This Row],[SCORE 2]]="","",Games_450[[#This Row],[SCORE 2]])</f>
        <v/>
      </c>
      <c r="Q5" s="13" t="str">
        <f>IF(OR(Games_450[[#This Row],[SCORE 1]]="",Games_450[[#This Row],[SCORE 2]]=""),"",IF(Games_450[[#This Row],[SALDO 12]]&gt;0, "WIN","LOSE"))</f>
        <v/>
      </c>
      <c r="R5" s="13" t="str">
        <f>IF(OR(Games_450[[#This Row],[SCORE 1]]="",Games_450[[#This Row],[SCORE 2]]=""),"",IF(Games_450[[#This Row],[SALDO 34]]&gt;0, "WIN","LOSE"))</f>
        <v/>
      </c>
      <c r="T5" s="66" t="str">
        <f>_xlfn.XLOOKUP(Table15202832506072932153[[#This Row],[Rank]],$M$37:$R$37,$M$36:$R$36,"")</f>
        <v/>
      </c>
      <c r="U5" s="67" t="s">
        <v>25</v>
      </c>
    </row>
    <row r="6" spans="1:21">
      <c r="A6" s="551"/>
      <c r="B6" s="13" t="s">
        <v>178</v>
      </c>
      <c r="C6" s="1" t="str">
        <f>$B$25</f>
        <v>A1</v>
      </c>
      <c r="D6" s="32" t="str">
        <f>$B$27</f>
        <v>A3</v>
      </c>
      <c r="E6" s="146"/>
      <c r="F6" s="116"/>
      <c r="G6" s="31" t="str">
        <f>$B$26</f>
        <v>A2</v>
      </c>
      <c r="H6" s="63"/>
      <c r="I6" s="63"/>
      <c r="J6" s="63"/>
      <c r="K6" s="63"/>
      <c r="L6" s="16" t="str">
        <f>$B$29</f>
        <v>A5</v>
      </c>
      <c r="M6" s="13" t="str">
        <f>IF(OR(Games_450[[#This Row],[SCORE 1]]="",Games_450[[#This Row],[SCORE 2]]=""),"",Games_450[[#This Row],[SCORE 1]]-Games_450[[#This Row],[SCORE 2]])</f>
        <v/>
      </c>
      <c r="N6" s="13" t="str">
        <f>IF(OR(Games_450[[#This Row],[SCORE 1]]="",Games_450[[#This Row],[SCORE 2]]=""),"",Games_450[[#This Row],[SCORE 2]]-Games_450[[#This Row],[SCORE 1]])</f>
        <v/>
      </c>
      <c r="O6" s="13" t="str">
        <f>IF(Games_450[[#This Row],[SCORE 1]]="","",Games_450[[#This Row],[SCORE 1]])</f>
        <v/>
      </c>
      <c r="P6" s="13" t="str">
        <f>IF(Games_450[[#This Row],[SCORE 2]]="","",Games_450[[#This Row],[SCORE 2]])</f>
        <v/>
      </c>
      <c r="Q6" s="13" t="str">
        <f>IF(OR(Games_450[[#This Row],[SCORE 1]]="",Games_450[[#This Row],[SCORE 2]]=""),"",IF(Games_450[[#This Row],[SALDO 12]]&gt;0, "WIN","LOSE"))</f>
        <v/>
      </c>
      <c r="R6" s="13" t="str">
        <f>IF(OR(Games_450[[#This Row],[SCORE 1]]="",Games_450[[#This Row],[SCORE 2]]=""),"",IF(Games_450[[#This Row],[SALDO 34]]&gt;0, "WIN","LOSE"))</f>
        <v/>
      </c>
      <c r="T6" s="66" t="str">
        <f>_xlfn.XLOOKUP(Table15202832506072932153[[#This Row],[Rank]],$M$37:$R$37,$M$36:$R$36,"")</f>
        <v/>
      </c>
      <c r="U6" s="67" t="s">
        <v>28</v>
      </c>
    </row>
    <row r="7" spans="1:21">
      <c r="A7" s="551"/>
      <c r="B7" s="13" t="s">
        <v>180</v>
      </c>
      <c r="C7" s="1" t="str">
        <f>$B$32</f>
        <v>B1</v>
      </c>
      <c r="D7" s="32" t="str">
        <f>$B$34</f>
        <v>B3</v>
      </c>
      <c r="E7" s="146"/>
      <c r="F7" s="116"/>
      <c r="G7" s="31" t="str">
        <f>$B$33</f>
        <v>B2</v>
      </c>
      <c r="H7" s="63"/>
      <c r="I7" s="63"/>
      <c r="J7" s="63"/>
      <c r="K7" s="63"/>
      <c r="L7" s="16" t="str">
        <f>$B$36</f>
        <v>B5</v>
      </c>
      <c r="M7" s="13" t="str">
        <f>IF(OR(Games_450[[#This Row],[SCORE 1]]="",Games_450[[#This Row],[SCORE 2]]=""),"",Games_450[[#This Row],[SCORE 1]]-Games_450[[#This Row],[SCORE 2]])</f>
        <v/>
      </c>
      <c r="N7" s="13" t="str">
        <f>IF(OR(Games_450[[#This Row],[SCORE 1]]="",Games_450[[#This Row],[SCORE 2]]=""),"",Games_450[[#This Row],[SCORE 2]]-Games_450[[#This Row],[SCORE 1]])</f>
        <v/>
      </c>
      <c r="O7" s="13" t="str">
        <f>IF(Games_450[[#This Row],[SCORE 1]]="","",Games_450[[#This Row],[SCORE 1]])</f>
        <v/>
      </c>
      <c r="P7" s="13" t="str">
        <f>IF(Games_450[[#This Row],[SCORE 2]]="","",Games_450[[#This Row],[SCORE 2]])</f>
        <v/>
      </c>
      <c r="Q7" s="13" t="str">
        <f>IF(OR(Games_450[[#This Row],[SCORE 1]]="",Games_450[[#This Row],[SCORE 2]]=""),"",IF(Games_450[[#This Row],[SALDO 12]]&gt;0, "WIN","LOSE"))</f>
        <v/>
      </c>
      <c r="R7" s="13" t="str">
        <f>IF(OR(Games_450[[#This Row],[SCORE 1]]="",Games_450[[#This Row],[SCORE 2]]=""),"",IF(Games_450[[#This Row],[SALDO 34]]&gt;0, "WIN","LOSE"))</f>
        <v/>
      </c>
      <c r="T7" s="66" t="str" cm="1">
        <f t="array" ref="T7">_xlfn.TEXTJOIN(", ", TRUE, _xlfn._xlws.FILTER($T$35:$W$35, $T$34:$W$34=U7,""))</f>
        <v/>
      </c>
      <c r="U7" s="67" t="s">
        <v>31</v>
      </c>
    </row>
    <row r="8" spans="1:21">
      <c r="A8" s="551"/>
      <c r="B8" s="13" t="s">
        <v>181</v>
      </c>
      <c r="C8" s="1" t="str">
        <f>$B$39</f>
        <v>C1</v>
      </c>
      <c r="D8" s="32" t="str">
        <f>$B$41</f>
        <v>C3</v>
      </c>
      <c r="E8" s="146"/>
      <c r="F8" s="116"/>
      <c r="G8" s="31" t="str">
        <f>$B$40</f>
        <v>C2</v>
      </c>
      <c r="H8" s="63"/>
      <c r="I8" s="63"/>
      <c r="J8" s="63"/>
      <c r="K8" s="63"/>
      <c r="L8" s="16" t="str">
        <f>$B$43</f>
        <v>C5</v>
      </c>
      <c r="M8" s="13" t="str">
        <f>IF(OR(Games_450[[#This Row],[SCORE 1]]="",Games_450[[#This Row],[SCORE 2]]=""),"",Games_450[[#This Row],[SCORE 1]]-Games_450[[#This Row],[SCORE 2]])</f>
        <v/>
      </c>
      <c r="N8" s="13" t="str">
        <f>IF(OR(Games_450[[#This Row],[SCORE 1]]="",Games_450[[#This Row],[SCORE 2]]=""),"",Games_450[[#This Row],[SCORE 2]]-Games_450[[#This Row],[SCORE 1]])</f>
        <v/>
      </c>
      <c r="O8" s="13" t="str">
        <f>IF(Games_450[[#This Row],[SCORE 1]]="","",Games_450[[#This Row],[SCORE 1]])</f>
        <v/>
      </c>
      <c r="P8" s="13" t="str">
        <f>IF(Games_450[[#This Row],[SCORE 2]]="","",Games_450[[#This Row],[SCORE 2]])</f>
        <v/>
      </c>
      <c r="Q8" s="13" t="str">
        <f>IF(OR(Games_450[[#This Row],[SCORE 1]]="",Games_450[[#This Row],[SCORE 2]]=""),"",IF(Games_450[[#This Row],[SALDO 12]]&gt;0, "WIN","LOSE"))</f>
        <v/>
      </c>
      <c r="R8" s="13" t="str">
        <f>IF(OR(Games_450[[#This Row],[SCORE 1]]="",Games_450[[#This Row],[SCORE 2]]=""),"",IF(Games_450[[#This Row],[SALDO 34]]&gt;0, "WIN","LOSE"))</f>
        <v/>
      </c>
      <c r="T8" s="66" t="str" cm="1">
        <f t="array" ref="T8">_xlfn.TEXTJOIN(", ", TRUE, _xlfn._xlws.FILTER($T$35:$W$35, $T$34:$W$34=U8,""))</f>
        <v/>
      </c>
      <c r="U8" s="67" t="s">
        <v>34</v>
      </c>
    </row>
    <row r="9" spans="1:21">
      <c r="A9" s="551"/>
      <c r="B9" s="13" t="s">
        <v>225</v>
      </c>
      <c r="C9" s="1" t="str">
        <f>$B$46</f>
        <v>D1</v>
      </c>
      <c r="D9" s="32" t="str">
        <f>$B$48</f>
        <v>D3</v>
      </c>
      <c r="E9" s="146"/>
      <c r="F9" s="116"/>
      <c r="G9" s="31" t="str">
        <f>$B$47</f>
        <v>D2</v>
      </c>
      <c r="H9" s="63"/>
      <c r="I9" s="63"/>
      <c r="J9" s="63"/>
      <c r="K9" s="63"/>
      <c r="L9" s="16" t="str">
        <f>$B$50</f>
        <v>D5</v>
      </c>
      <c r="M9" s="13" t="str">
        <f>IF(OR(Games_450[[#This Row],[SCORE 1]]="",Games_450[[#This Row],[SCORE 2]]=""),"",Games_450[[#This Row],[SCORE 1]]-Games_450[[#This Row],[SCORE 2]])</f>
        <v/>
      </c>
      <c r="N9" s="13" t="str">
        <f>IF(OR(Games_450[[#This Row],[SCORE 1]]="",Games_450[[#This Row],[SCORE 2]]=""),"",Games_450[[#This Row],[SCORE 2]]-Games_450[[#This Row],[SCORE 1]])</f>
        <v/>
      </c>
      <c r="O9" s="13" t="str">
        <f>IF(Games_450[[#This Row],[SCORE 1]]="","",Games_450[[#This Row],[SCORE 1]])</f>
        <v/>
      </c>
      <c r="P9" s="13" t="str">
        <f>IF(Games_450[[#This Row],[SCORE 2]]="","",Games_450[[#This Row],[SCORE 2]])</f>
        <v/>
      </c>
      <c r="Q9" s="13" t="str">
        <f>IF(OR(Games_450[[#This Row],[SCORE 1]]="",Games_450[[#This Row],[SCORE 2]]=""),"",IF(Games_450[[#This Row],[SALDO 12]]&gt;0, "WIN","LOSE"))</f>
        <v/>
      </c>
      <c r="R9" s="13" t="str">
        <f>IF(OR(Games_450[[#This Row],[SCORE 1]]="",Games_450[[#This Row],[SCORE 2]]=""),"",IF(Games_450[[#This Row],[SALDO 34]]&gt;0, "WIN","LOSE"))</f>
        <v/>
      </c>
      <c r="T9" s="66" t="str" cm="1">
        <f t="array" ref="T9">_xlfn.TEXTJOIN(", ", TRUE, _xlfn._xlws.FILTER($T$35:$W$35, $T$34:$W$34=U9,""))</f>
        <v/>
      </c>
      <c r="U9" s="67" t="s">
        <v>37</v>
      </c>
    </row>
    <row r="10" spans="1:21">
      <c r="A10" s="551"/>
      <c r="B10" s="13" t="s">
        <v>178</v>
      </c>
      <c r="C10" s="1" t="str">
        <f>$B$25</f>
        <v>A1</v>
      </c>
      <c r="D10" s="32" t="str">
        <f>$B$26</f>
        <v>A2</v>
      </c>
      <c r="E10" s="146"/>
      <c r="F10" s="116"/>
      <c r="G10" s="31" t="str">
        <f>$B$28</f>
        <v>A4</v>
      </c>
      <c r="H10" s="63"/>
      <c r="I10" s="63"/>
      <c r="J10" s="63"/>
      <c r="K10" s="63"/>
      <c r="L10" s="16" t="str">
        <f>$B$29</f>
        <v>A5</v>
      </c>
      <c r="M10" s="13" t="str">
        <f>IF(OR(Games_450[[#This Row],[SCORE 1]]="",Games_450[[#This Row],[SCORE 2]]=""),"",Games_450[[#This Row],[SCORE 1]]-Games_450[[#This Row],[SCORE 2]])</f>
        <v/>
      </c>
      <c r="N10" s="13" t="str">
        <f>IF(OR(Games_450[[#This Row],[SCORE 1]]="",Games_450[[#This Row],[SCORE 2]]=""),"",Games_450[[#This Row],[SCORE 2]]-Games_450[[#This Row],[SCORE 1]])</f>
        <v/>
      </c>
      <c r="O10" s="13" t="str">
        <f>IF(Games_450[[#This Row],[SCORE 1]]="","",Games_450[[#This Row],[SCORE 1]])</f>
        <v/>
      </c>
      <c r="P10" s="13" t="str">
        <f>IF(Games_450[[#This Row],[SCORE 2]]="","",Games_450[[#This Row],[SCORE 2]])</f>
        <v/>
      </c>
      <c r="Q10" s="13" t="str">
        <f>IF(OR(Games_450[[#This Row],[SCORE 1]]="",Games_450[[#This Row],[SCORE 2]]=""),"",IF(Games_450[[#This Row],[SALDO 12]]&gt;0, "WIN","LOSE"))</f>
        <v/>
      </c>
      <c r="R10" s="13" t="str">
        <f>IF(OR(Games_450[[#This Row],[SCORE 1]]="",Games_450[[#This Row],[SCORE 2]]=""),"",IF(Games_450[[#This Row],[SALDO 34]]&gt;0, "WIN","LOSE"))</f>
        <v/>
      </c>
      <c r="T10" s="66" t="str" cm="1">
        <f t="array" ref="T10">_xlfn.TEXTJOIN(", ", TRUE, _xlfn._xlws.FILTER($T$35:$W$35, $T$34:$W$34=U10,""))</f>
        <v/>
      </c>
      <c r="U10" s="67" t="s">
        <v>41</v>
      </c>
    </row>
    <row r="11" spans="1:21">
      <c r="A11" s="551"/>
      <c r="B11" s="13" t="s">
        <v>180</v>
      </c>
      <c r="C11" s="1" t="str">
        <f>$B$32</f>
        <v>B1</v>
      </c>
      <c r="D11" s="32" t="str">
        <f>$B$33</f>
        <v>B2</v>
      </c>
      <c r="E11" s="146"/>
      <c r="F11" s="116"/>
      <c r="G11" s="31" t="str">
        <f>$B$35</f>
        <v>B4</v>
      </c>
      <c r="H11" s="63"/>
      <c r="I11" s="63"/>
      <c r="J11" s="63"/>
      <c r="K11" s="63"/>
      <c r="L11" s="16" t="str">
        <f>$B$36</f>
        <v>B5</v>
      </c>
      <c r="M11" s="13" t="str">
        <f>IF(OR(Games_450[[#This Row],[SCORE 1]]="",Games_450[[#This Row],[SCORE 2]]=""),"",Games_450[[#This Row],[SCORE 1]]-Games_450[[#This Row],[SCORE 2]])</f>
        <v/>
      </c>
      <c r="N11" s="13" t="str">
        <f>IF(OR(Games_450[[#This Row],[SCORE 1]]="",Games_450[[#This Row],[SCORE 2]]=""),"",Games_450[[#This Row],[SCORE 2]]-Games_450[[#This Row],[SCORE 1]])</f>
        <v/>
      </c>
      <c r="O11" s="13" t="str">
        <f>IF(Games_450[[#This Row],[SCORE 1]]="","",Games_450[[#This Row],[SCORE 1]])</f>
        <v/>
      </c>
      <c r="P11" s="13" t="str">
        <f>IF(Games_450[[#This Row],[SCORE 2]]="","",Games_450[[#This Row],[SCORE 2]])</f>
        <v/>
      </c>
      <c r="Q11" s="13" t="str">
        <f>IF(OR(Games_450[[#This Row],[SCORE 1]]="",Games_450[[#This Row],[SCORE 2]]=""),"",IF(Games_450[[#This Row],[SALDO 12]]&gt;0, "WIN","LOSE"))</f>
        <v/>
      </c>
      <c r="R11" s="13" t="str">
        <f>IF(OR(Games_450[[#This Row],[SCORE 1]]="",Games_450[[#This Row],[SCORE 2]]=""),"",IF(Games_450[[#This Row],[SALDO 34]]&gt;0, "WIN","LOSE"))</f>
        <v/>
      </c>
      <c r="T11" s="66" t="str" cm="1">
        <f t="array" ref="T11">IF(COUNTBLANK(Games_450[[SCORE 1]:[SCORE 2]])=0,_xlfn.TEXTJOIN(", ", TRUE, _xlfn._xlws.FILTER($K$25:$K$44, $J$25:$J$44=U11, "")),"")</f>
        <v/>
      </c>
      <c r="U11" s="67" t="s">
        <v>44</v>
      </c>
    </row>
    <row r="12" spans="1:21">
      <c r="A12" s="551"/>
      <c r="B12" s="13" t="s">
        <v>181</v>
      </c>
      <c r="C12" s="1" t="str">
        <f>$B$39</f>
        <v>C1</v>
      </c>
      <c r="D12" s="32" t="str">
        <f>$B$40</f>
        <v>C2</v>
      </c>
      <c r="E12" s="146"/>
      <c r="F12" s="116"/>
      <c r="G12" s="31" t="str">
        <f>$B$42</f>
        <v>C4</v>
      </c>
      <c r="H12" s="63"/>
      <c r="I12" s="63"/>
      <c r="J12" s="63"/>
      <c r="K12" s="63"/>
      <c r="L12" s="16" t="str">
        <f>$B$43</f>
        <v>C5</v>
      </c>
      <c r="M12" s="13" t="str">
        <f>IF(OR(Games_450[[#This Row],[SCORE 1]]="",Games_450[[#This Row],[SCORE 2]]=""),"",Games_450[[#This Row],[SCORE 1]]-Games_450[[#This Row],[SCORE 2]])</f>
        <v/>
      </c>
      <c r="N12" s="13" t="str">
        <f>IF(OR(Games_450[[#This Row],[SCORE 1]]="",Games_450[[#This Row],[SCORE 2]]=""),"",Games_450[[#This Row],[SCORE 2]]-Games_450[[#This Row],[SCORE 1]])</f>
        <v/>
      </c>
      <c r="O12" s="13" t="str">
        <f>IF(Games_450[[#This Row],[SCORE 1]]="","",Games_450[[#This Row],[SCORE 1]])</f>
        <v/>
      </c>
      <c r="P12" s="13" t="str">
        <f>IF(Games_450[[#This Row],[SCORE 2]]="","",Games_450[[#This Row],[SCORE 2]])</f>
        <v/>
      </c>
      <c r="Q12" s="13" t="str">
        <f>IF(OR(Games_450[[#This Row],[SCORE 1]]="",Games_450[[#This Row],[SCORE 2]]=""),"",IF(Games_450[[#This Row],[SALDO 12]]&gt;0, "WIN","LOSE"))</f>
        <v/>
      </c>
      <c r="R12" s="13" t="str">
        <f>IF(OR(Games_450[[#This Row],[SCORE 1]]="",Games_450[[#This Row],[SCORE 2]]=""),"",IF(Games_450[[#This Row],[SALDO 34]]&gt;0, "WIN","LOSE"))</f>
        <v/>
      </c>
      <c r="T12" s="66" t="str" cm="1">
        <f t="array" ref="T12">IF(COUNTBLANK(Games_450[[SCORE 1]:[SCORE 2]])=0,_xlfn.TEXTJOIN(", ", TRUE, _xlfn._xlws.FILTER($K$25:$K$44, $J$25:$J$44=U12, "")),"")</f>
        <v/>
      </c>
      <c r="U12" s="67" t="s">
        <v>39</v>
      </c>
    </row>
    <row r="13" spans="1:21">
      <c r="A13" s="423"/>
      <c r="B13" s="429" t="s">
        <v>225</v>
      </c>
      <c r="C13" s="1" t="str">
        <f>$B$46</f>
        <v>D1</v>
      </c>
      <c r="D13" s="32" t="str">
        <f>$B$47</f>
        <v>D2</v>
      </c>
      <c r="E13" s="146"/>
      <c r="F13" s="117"/>
      <c r="G13" s="31" t="str">
        <f>$B$49</f>
        <v>D4</v>
      </c>
      <c r="H13" s="63"/>
      <c r="I13" s="63"/>
      <c r="J13" s="63"/>
      <c r="K13" s="63"/>
      <c r="L13" s="16" t="str">
        <f>$B$50</f>
        <v>D5</v>
      </c>
      <c r="M13" s="429" t="str">
        <f>IF(OR(Games_450[[#This Row],[SCORE 1]]="",Games_450[[#This Row],[SCORE 2]]=""),"",Games_450[[#This Row],[SCORE 1]]-Games_450[[#This Row],[SCORE 2]])</f>
        <v/>
      </c>
      <c r="N13" s="429" t="str">
        <f>IF(OR(Games_450[[#This Row],[SCORE 1]]="",Games_450[[#This Row],[SCORE 2]]=""),"",Games_450[[#This Row],[SCORE 2]]-Games_450[[#This Row],[SCORE 1]])</f>
        <v/>
      </c>
      <c r="O13" s="429" t="str">
        <f>IF(Games_450[[#This Row],[SCORE 1]]="","",Games_450[[#This Row],[SCORE 1]])</f>
        <v/>
      </c>
      <c r="P13" s="429" t="str">
        <f>IF(Games_450[[#This Row],[SCORE 2]]="","",Games_450[[#This Row],[SCORE 2]])</f>
        <v/>
      </c>
      <c r="Q13" s="429" t="str">
        <f>IF(OR(Games_450[[#This Row],[SCORE 1]]="",Games_450[[#This Row],[SCORE 2]]=""),"",IF(Games_450[[#This Row],[SALDO 12]]&gt;0, "WIN","LOSE"))</f>
        <v/>
      </c>
      <c r="R13" s="429" t="str">
        <f>IF(OR(Games_450[[#This Row],[SCORE 1]]="",Games_450[[#This Row],[SCORE 2]]=""),"",IF(Games_450[[#This Row],[SALDO 34]]&gt;0, "WIN","LOSE"))</f>
        <v/>
      </c>
      <c r="T13" s="66" t="str" cm="1">
        <f t="array" ref="T13">IF(COUNTBLANK(Games_450[[SCORE 1]:[SCORE 2]])=0,_xlfn.TEXTJOIN(", ", TRUE, _xlfn._xlws.FILTER($K$25:$K$44, $J$25:$J$44=U13, "")),"")</f>
        <v/>
      </c>
      <c r="U13" s="67" t="s">
        <v>49</v>
      </c>
    </row>
    <row r="14" spans="1:21">
      <c r="A14" s="423"/>
      <c r="B14" s="13" t="s">
        <v>178</v>
      </c>
      <c r="C14" s="1" t="str">
        <f>$B$25</f>
        <v>A1</v>
      </c>
      <c r="D14" s="32" t="str">
        <f>$B$29</f>
        <v>A5</v>
      </c>
      <c r="E14" s="146"/>
      <c r="F14" s="116"/>
      <c r="G14" s="31" t="str">
        <f>$B$27</f>
        <v>A3</v>
      </c>
      <c r="H14" s="63"/>
      <c r="I14" s="63"/>
      <c r="J14" s="63"/>
      <c r="K14" s="63"/>
      <c r="L14" s="16" t="str">
        <f>$B$28</f>
        <v>A4</v>
      </c>
      <c r="M14" s="13" t="str">
        <f>IF(OR(Games_450[[#This Row],[SCORE 1]]="",Games_450[[#This Row],[SCORE 2]]=""),"",Games_450[[#This Row],[SCORE 1]]-Games_450[[#This Row],[SCORE 2]])</f>
        <v/>
      </c>
      <c r="N14" s="13" t="str">
        <f>IF(OR(Games_450[[#This Row],[SCORE 1]]="",Games_450[[#This Row],[SCORE 2]]=""),"",Games_450[[#This Row],[SCORE 2]]-Games_450[[#This Row],[SCORE 1]])</f>
        <v/>
      </c>
      <c r="O14" s="13" t="str">
        <f>IF(Games_450[[#This Row],[SCORE 1]]="","",Games_450[[#This Row],[SCORE 1]])</f>
        <v/>
      </c>
      <c r="P14" s="13" t="str">
        <f>IF(Games_450[[#This Row],[SCORE 2]]="","",Games_450[[#This Row],[SCORE 2]])</f>
        <v/>
      </c>
      <c r="Q14" s="13" t="str">
        <f>IF(OR(Games_450[[#This Row],[SCORE 1]]="",Games_450[[#This Row],[SCORE 2]]=""),"",IF(Games_450[[#This Row],[SALDO 12]]&gt;0, "WIN","LOSE"))</f>
        <v/>
      </c>
      <c r="R14" s="13" t="str">
        <f>IF(OR(Games_450[[#This Row],[SCORE 1]]="",Games_450[[#This Row],[SCORE 2]]=""),"",IF(Games_450[[#This Row],[SALDO 34]]&gt;0, "WIN","LOSE"))</f>
        <v/>
      </c>
      <c r="T14" s="66" t="str" cm="1">
        <f t="array" ref="T14">IF(COUNTBLANK(Games_450[[SCORE 1]:[SCORE 2]])=0,_xlfn.TEXTJOIN(", ", TRUE, _xlfn._xlws.FILTER($K$25:$K$44, $J$25:$J$44=U14, "")),"")</f>
        <v/>
      </c>
      <c r="U14" s="67" t="s">
        <v>51</v>
      </c>
    </row>
    <row r="15" spans="1:21">
      <c r="A15" s="423"/>
      <c r="B15" s="13" t="s">
        <v>180</v>
      </c>
      <c r="C15" s="1" t="str">
        <f>$B$32</f>
        <v>B1</v>
      </c>
      <c r="D15" s="32" t="str">
        <f>$B$36</f>
        <v>B5</v>
      </c>
      <c r="E15" s="146"/>
      <c r="F15" s="116"/>
      <c r="G15" s="31" t="str">
        <f>$B$34</f>
        <v>B3</v>
      </c>
      <c r="H15" s="63"/>
      <c r="I15" s="63"/>
      <c r="J15" s="63"/>
      <c r="K15" s="63"/>
      <c r="L15" s="16" t="str">
        <f>$B$35</f>
        <v>B4</v>
      </c>
      <c r="M15" s="13" t="str">
        <f>IF(OR(Games_450[[#This Row],[SCORE 1]]="",Games_450[[#This Row],[SCORE 2]]=""),"",Games_450[[#This Row],[SCORE 1]]-Games_450[[#This Row],[SCORE 2]])</f>
        <v/>
      </c>
      <c r="N15" s="13" t="str">
        <f>IF(OR(Games_450[[#This Row],[SCORE 1]]="",Games_450[[#This Row],[SCORE 2]]=""),"",Games_450[[#This Row],[SCORE 2]]-Games_450[[#This Row],[SCORE 1]])</f>
        <v/>
      </c>
      <c r="O15" s="13" t="str">
        <f>IF(Games_450[[#This Row],[SCORE 1]]="","",Games_450[[#This Row],[SCORE 1]])</f>
        <v/>
      </c>
      <c r="P15" s="13" t="str">
        <f>IF(Games_450[[#This Row],[SCORE 2]]="","",Games_450[[#This Row],[SCORE 2]])</f>
        <v/>
      </c>
      <c r="Q15" s="13" t="str">
        <f>IF(OR(Games_450[[#This Row],[SCORE 1]]="",Games_450[[#This Row],[SCORE 2]]=""),"",IF(Games_450[[#This Row],[SALDO 12]]&gt;0, "WIN","LOSE"))</f>
        <v/>
      </c>
      <c r="R15" s="13" t="str">
        <f>IF(OR(Games_450[[#This Row],[SCORE 1]]="",Games_450[[#This Row],[SCORE 2]]=""),"",IF(Games_450[[#This Row],[SALDO 34]]&gt;0, "WIN","LOSE"))</f>
        <v/>
      </c>
      <c r="T15" s="66" t="str" cm="1">
        <f t="array" ref="T15">IF(COUNTBLANK(Games_450[[SCORE 1]:[SCORE 2]])=0,_xlfn.TEXTJOIN(", ", TRUE, _xlfn._xlws.FILTER($K$25:$K$44, $J$25:$J$44=U15, "")),"")</f>
        <v/>
      </c>
      <c r="U15" s="67" t="s">
        <v>47</v>
      </c>
    </row>
    <row r="16" spans="1:21">
      <c r="A16" s="423"/>
      <c r="B16" s="13" t="s">
        <v>181</v>
      </c>
      <c r="C16" s="1" t="str">
        <f>$B$39</f>
        <v>C1</v>
      </c>
      <c r="D16" s="32" t="str">
        <f>$B$43</f>
        <v>C5</v>
      </c>
      <c r="E16" s="146"/>
      <c r="F16" s="116"/>
      <c r="G16" s="31" t="str">
        <f>$B$41</f>
        <v>C3</v>
      </c>
      <c r="H16" s="63"/>
      <c r="I16" s="63"/>
      <c r="J16" s="63"/>
      <c r="K16" s="63"/>
      <c r="L16" s="16" t="str">
        <f>$B$42</f>
        <v>C4</v>
      </c>
      <c r="M16" s="13" t="str">
        <f>IF(OR(Games_450[[#This Row],[SCORE 1]]="",Games_450[[#This Row],[SCORE 2]]=""),"",Games_450[[#This Row],[SCORE 1]]-Games_450[[#This Row],[SCORE 2]])</f>
        <v/>
      </c>
      <c r="N16" s="13" t="str">
        <f>IF(OR(Games_450[[#This Row],[SCORE 1]]="",Games_450[[#This Row],[SCORE 2]]=""),"",Games_450[[#This Row],[SCORE 2]]-Games_450[[#This Row],[SCORE 1]])</f>
        <v/>
      </c>
      <c r="O16" s="13" t="str">
        <f>IF(Games_450[[#This Row],[SCORE 1]]="","",Games_450[[#This Row],[SCORE 1]])</f>
        <v/>
      </c>
      <c r="P16" s="13" t="str">
        <f>IF(Games_450[[#This Row],[SCORE 2]]="","",Games_450[[#This Row],[SCORE 2]])</f>
        <v/>
      </c>
      <c r="Q16" s="13" t="str">
        <f>IF(OR(Games_450[[#This Row],[SCORE 1]]="",Games_450[[#This Row],[SCORE 2]]=""),"",IF(Games_450[[#This Row],[SALDO 12]]&gt;0, "WIN","LOSE"))</f>
        <v/>
      </c>
      <c r="R16" s="13" t="str">
        <f>IF(OR(Games_450[[#This Row],[SCORE 1]]="",Games_450[[#This Row],[SCORE 2]]=""),"",IF(Games_450[[#This Row],[SALDO 34]]&gt;0, "WIN","LOSE"))</f>
        <v/>
      </c>
      <c r="T16" s="66" t="str" cm="1">
        <f t="array" ref="T16">IF(COUNTBLANK(Games_450[[SCORE 1]:[SCORE 2]])=0,_xlfn.TEXTJOIN(", ", TRUE, _xlfn._xlws.FILTER($K$25:$K$44, $J$25:$J$44=U16, "")),"")</f>
        <v/>
      </c>
      <c r="U16" s="67" t="s">
        <v>57</v>
      </c>
    </row>
    <row r="17" spans="1:27">
      <c r="A17" s="423"/>
      <c r="B17" s="429" t="s">
        <v>225</v>
      </c>
      <c r="C17" s="1" t="str">
        <f>$B$46</f>
        <v>D1</v>
      </c>
      <c r="D17" s="32" t="str">
        <f>$B$50</f>
        <v>D5</v>
      </c>
      <c r="E17" s="146"/>
      <c r="F17" s="146"/>
      <c r="G17" s="31" t="str">
        <f>$B$48</f>
        <v>D3</v>
      </c>
      <c r="H17" s="63"/>
      <c r="I17" s="63"/>
      <c r="J17" s="63"/>
      <c r="K17" s="63"/>
      <c r="L17" s="16" t="str">
        <f>$B$49</f>
        <v>D4</v>
      </c>
      <c r="M17" s="429" t="str">
        <f>IF(OR(Games_450[[#This Row],[SCORE 1]]="",Games_450[[#This Row],[SCORE 2]]=""),"",Games_450[[#This Row],[SCORE 1]]-Games_450[[#This Row],[SCORE 2]])</f>
        <v/>
      </c>
      <c r="N17" s="429" t="str">
        <f>IF(OR(Games_450[[#This Row],[SCORE 1]]="",Games_450[[#This Row],[SCORE 2]]=""),"",Games_450[[#This Row],[SCORE 2]]-Games_450[[#This Row],[SCORE 1]])</f>
        <v/>
      </c>
      <c r="O17" s="429" t="str">
        <f>IF(Games_450[[#This Row],[SCORE 1]]="","",Games_450[[#This Row],[SCORE 1]])</f>
        <v/>
      </c>
      <c r="P17" s="429" t="str">
        <f>IF(Games_450[[#This Row],[SCORE 2]]="","",Games_450[[#This Row],[SCORE 2]])</f>
        <v/>
      </c>
      <c r="Q17" s="429" t="str">
        <f>IF(OR(Games_450[[#This Row],[SCORE 1]]="",Games_450[[#This Row],[SCORE 2]]=""),"",IF(Games_450[[#This Row],[SALDO 12]]&gt;0, "WIN","LOSE"))</f>
        <v/>
      </c>
      <c r="R17" s="429" t="str">
        <f>IF(OR(Games_450[[#This Row],[SCORE 1]]="",Games_450[[#This Row],[SCORE 2]]=""),"",IF(Games_450[[#This Row],[SALDO 34]]&gt;0, "WIN","LOSE"))</f>
        <v/>
      </c>
      <c r="T17" s="66" t="str" cm="1">
        <f t="array" ref="T17">IF(COUNTBLANK(Games_450[[SCORE 1]:[SCORE 2]])=0,_xlfn.TEXTJOIN(", ", TRUE, _xlfn._xlws.FILTER($K$25:$K$44, $J$25:$J$44=U17, "")),"")</f>
        <v/>
      </c>
      <c r="U17" s="67" t="s">
        <v>60</v>
      </c>
    </row>
    <row r="18" spans="1:27">
      <c r="A18" s="423"/>
      <c r="B18" s="13" t="s">
        <v>178</v>
      </c>
      <c r="C18" s="1" t="str">
        <f>$B$27</f>
        <v>A3</v>
      </c>
      <c r="D18" s="32" t="str">
        <f>$B$29</f>
        <v>A5</v>
      </c>
      <c r="E18" s="146"/>
      <c r="F18" s="116"/>
      <c r="G18" s="31" t="str">
        <f>$B$26</f>
        <v>A2</v>
      </c>
      <c r="H18" s="63"/>
      <c r="I18" s="63"/>
      <c r="J18" s="63"/>
      <c r="K18" s="63"/>
      <c r="L18" s="16" t="str">
        <f>$B$28</f>
        <v>A4</v>
      </c>
      <c r="M18" s="13" t="str">
        <f>IF(OR(Games_450[[#This Row],[SCORE 1]]="",Games_450[[#This Row],[SCORE 2]]=""),"",Games_450[[#This Row],[SCORE 1]]-Games_450[[#This Row],[SCORE 2]])</f>
        <v/>
      </c>
      <c r="N18" s="13" t="str">
        <f>IF(OR(Games_450[[#This Row],[SCORE 1]]="",Games_450[[#This Row],[SCORE 2]]=""),"",Games_450[[#This Row],[SCORE 2]]-Games_450[[#This Row],[SCORE 1]])</f>
        <v/>
      </c>
      <c r="O18" s="13" t="str">
        <f>IF(Games_450[[#This Row],[SCORE 1]]="","",Games_450[[#This Row],[SCORE 1]])</f>
        <v/>
      </c>
      <c r="P18" s="13" t="str">
        <f>IF(Games_450[[#This Row],[SCORE 2]]="","",Games_450[[#This Row],[SCORE 2]])</f>
        <v/>
      </c>
      <c r="Q18" s="13" t="str">
        <f>IF(OR(Games_450[[#This Row],[SCORE 1]]="",Games_450[[#This Row],[SCORE 2]]=""),"",IF(Games_450[[#This Row],[SALDO 12]]&gt;0, "WIN","LOSE"))</f>
        <v/>
      </c>
      <c r="R18" s="13" t="str">
        <f>IF(OR(Games_450[[#This Row],[SCORE 1]]="",Games_450[[#This Row],[SCORE 2]]=""),"",IF(Games_450[[#This Row],[SALDO 34]]&gt;0, "WIN","LOSE"))</f>
        <v/>
      </c>
      <c r="T18" s="66" t="str" cm="1">
        <f t="array" ref="T18">IF(COUNTBLANK(Games_450[[SCORE 1]:[SCORE 2]])=0,_xlfn.TEXTJOIN(", ", TRUE, _xlfn._xlws.FILTER($K$25:$K$44, $J$25:$J$44=U18, "")),"")</f>
        <v/>
      </c>
      <c r="U18" s="67" t="s">
        <v>55</v>
      </c>
    </row>
    <row r="19" spans="1:27">
      <c r="A19" s="423"/>
      <c r="B19" s="13" t="s">
        <v>180</v>
      </c>
      <c r="C19" s="1" t="str">
        <f>$B$34</f>
        <v>B3</v>
      </c>
      <c r="D19" s="32" t="str">
        <f>$B$36</f>
        <v>B5</v>
      </c>
      <c r="E19" s="146"/>
      <c r="F19" s="116"/>
      <c r="G19" s="31" t="str">
        <f>$B$33</f>
        <v>B2</v>
      </c>
      <c r="H19" s="63"/>
      <c r="I19" s="63"/>
      <c r="J19" s="63"/>
      <c r="K19" s="63"/>
      <c r="L19" s="16" t="str">
        <f>$B$35</f>
        <v>B4</v>
      </c>
      <c r="M19" s="13" t="str">
        <f>IF(OR(Games_450[[#This Row],[SCORE 1]]="",Games_450[[#This Row],[SCORE 2]]=""),"",Games_450[[#This Row],[SCORE 1]]-Games_450[[#This Row],[SCORE 2]])</f>
        <v/>
      </c>
      <c r="N19" s="13" t="str">
        <f>IF(OR(Games_450[[#This Row],[SCORE 1]]="",Games_450[[#This Row],[SCORE 2]]=""),"",Games_450[[#This Row],[SCORE 2]]-Games_450[[#This Row],[SCORE 1]])</f>
        <v/>
      </c>
      <c r="O19" s="13" t="str">
        <f>IF(Games_450[[#This Row],[SCORE 1]]="","",Games_450[[#This Row],[SCORE 1]])</f>
        <v/>
      </c>
      <c r="P19" s="13" t="str">
        <f>IF(Games_450[[#This Row],[SCORE 2]]="","",Games_450[[#This Row],[SCORE 2]])</f>
        <v/>
      </c>
      <c r="Q19" s="13" t="str">
        <f>IF(OR(Games_450[[#This Row],[SCORE 1]]="",Games_450[[#This Row],[SCORE 2]]=""),"",IF(Games_450[[#This Row],[SALDO 12]]&gt;0, "WIN","LOSE"))</f>
        <v/>
      </c>
      <c r="R19" s="13" t="str">
        <f>IF(OR(Games_450[[#This Row],[SCORE 1]]="",Games_450[[#This Row],[SCORE 2]]=""),"",IF(Games_450[[#This Row],[SALDO 34]]&gt;0, "WIN","LOSE"))</f>
        <v/>
      </c>
      <c r="T19" s="66" t="str" cm="1">
        <f t="array" ref="T19">IF(COUNTBLANK(Games_450[[SCORE 1]:[SCORE 2]])=0,_xlfn.TEXTJOIN(", ", TRUE, _xlfn._xlws.FILTER($K$25:$K$44, $J$25:$J$44=U19, "")),"")</f>
        <v/>
      </c>
      <c r="U19" s="67" t="s">
        <v>226</v>
      </c>
    </row>
    <row r="20" spans="1:27">
      <c r="A20" s="423"/>
      <c r="B20" s="13" t="s">
        <v>181</v>
      </c>
      <c r="C20" s="1" t="str">
        <f>$B$41</f>
        <v>C3</v>
      </c>
      <c r="D20" s="32" t="str">
        <f>$B$43</f>
        <v>C5</v>
      </c>
      <c r="E20" s="146"/>
      <c r="F20" s="116"/>
      <c r="G20" s="31" t="str">
        <f>$B$40</f>
        <v>C2</v>
      </c>
      <c r="H20" s="63"/>
      <c r="I20" s="63"/>
      <c r="J20" s="63"/>
      <c r="K20" s="63"/>
      <c r="L20" s="16" t="str">
        <f>$B$42</f>
        <v>C4</v>
      </c>
      <c r="M20" s="13" t="str">
        <f>IF(OR(Games_450[[#This Row],[SCORE 1]]="",Games_450[[#This Row],[SCORE 2]]=""),"",Games_450[[#This Row],[SCORE 1]]-Games_450[[#This Row],[SCORE 2]])</f>
        <v/>
      </c>
      <c r="N20" s="13" t="str">
        <f>IF(OR(Games_450[[#This Row],[SCORE 1]]="",Games_450[[#This Row],[SCORE 2]]=""),"",Games_450[[#This Row],[SCORE 2]]-Games_450[[#This Row],[SCORE 1]])</f>
        <v/>
      </c>
      <c r="O20" s="13" t="str">
        <f>IF(Games_450[[#This Row],[SCORE 1]]="","",Games_450[[#This Row],[SCORE 1]])</f>
        <v/>
      </c>
      <c r="P20" s="13" t="str">
        <f>IF(Games_450[[#This Row],[SCORE 2]]="","",Games_450[[#This Row],[SCORE 2]])</f>
        <v/>
      </c>
      <c r="Q20" s="13" t="str">
        <f>IF(OR(Games_450[[#This Row],[SCORE 1]]="",Games_450[[#This Row],[SCORE 2]]=""),"",IF(Games_450[[#This Row],[SALDO 12]]&gt;0, "WIN","LOSE"))</f>
        <v/>
      </c>
      <c r="R20" s="13" t="str">
        <f>IF(OR(Games_450[[#This Row],[SCORE 1]]="",Games_450[[#This Row],[SCORE 2]]=""),"",IF(Games_450[[#This Row],[SALDO 34]]&gt;0, "WIN","LOSE"))</f>
        <v/>
      </c>
      <c r="T20" s="66" t="str" cm="1">
        <f t="array" ref="T20">IF(COUNTBLANK(Games_450[[SCORE 1]:[SCORE 2]])=0,_xlfn.TEXTJOIN(", ", TRUE, _xlfn._xlws.FILTER($K$25:$K$44, $J$25:$J$44=U20, "")),"")</f>
        <v/>
      </c>
      <c r="U20" s="67" t="s">
        <v>227</v>
      </c>
    </row>
    <row r="21" spans="1:27">
      <c r="A21" s="423"/>
      <c r="B21" s="429" t="s">
        <v>225</v>
      </c>
      <c r="C21" s="1" t="str">
        <f>$B$48</f>
        <v>D3</v>
      </c>
      <c r="D21" s="32" t="str">
        <f>$B$50</f>
        <v>D5</v>
      </c>
      <c r="E21" s="146"/>
      <c r="F21" s="146"/>
      <c r="G21" s="31" t="str">
        <f>$B$47</f>
        <v>D2</v>
      </c>
      <c r="H21" s="63"/>
      <c r="I21" s="63"/>
      <c r="J21" s="63"/>
      <c r="K21" s="63"/>
      <c r="L21" s="16" t="str">
        <f>$B$49</f>
        <v>D4</v>
      </c>
      <c r="M21" s="429" t="str">
        <f>IF(OR(Games_450[[#This Row],[SCORE 1]]="",Games_450[[#This Row],[SCORE 2]]=""),"",Games_450[[#This Row],[SCORE 1]]-Games_450[[#This Row],[SCORE 2]])</f>
        <v/>
      </c>
      <c r="N21" s="429" t="str">
        <f>IF(OR(Games_450[[#This Row],[SCORE 1]]="",Games_450[[#This Row],[SCORE 2]]=""),"",Games_450[[#This Row],[SCORE 2]]-Games_450[[#This Row],[SCORE 1]])</f>
        <v/>
      </c>
      <c r="O21" s="429" t="str">
        <f>IF(Games_450[[#This Row],[SCORE 1]]="","",Games_450[[#This Row],[SCORE 1]])</f>
        <v/>
      </c>
      <c r="P21" s="429" t="str">
        <f>IF(Games_450[[#This Row],[SCORE 2]]="","",Games_450[[#This Row],[SCORE 2]])</f>
        <v/>
      </c>
      <c r="Q21" s="429" t="str">
        <f>IF(OR(Games_450[[#This Row],[SCORE 1]]="",Games_450[[#This Row],[SCORE 2]]=""),"",IF(Games_450[[#This Row],[SALDO 12]]&gt;0, "WIN","LOSE"))</f>
        <v/>
      </c>
      <c r="R21" s="429" t="str">
        <f>IF(OR(Games_450[[#This Row],[SCORE 1]]="",Games_450[[#This Row],[SCORE 2]]=""),"",IF(Games_450[[#This Row],[SALDO 34]]&gt;0, "WIN","LOSE"))</f>
        <v/>
      </c>
      <c r="T21" s="66" t="str" cm="1">
        <f t="array" ref="T21">IF(COUNTBLANK(Games_450[[SCORE 1]:[SCORE 2]])=0,_xlfn.TEXTJOIN(", ", TRUE, _xlfn._xlws.FILTER($K$25:$K$44, $J$25:$J$44=U21, "")),"")</f>
        <v/>
      </c>
      <c r="U21" s="67" t="s">
        <v>228</v>
      </c>
    </row>
    <row r="22" spans="1:27">
      <c r="T22" s="66" t="str" cm="1">
        <f t="array" ref="T22">IF(COUNTBLANK(Games_450[[SCORE 1]:[SCORE 2]])=0,_xlfn.TEXTJOIN(", ", TRUE, _xlfn._xlws.FILTER($K$25:$K$44, $J$25:$J$44=U22, "")),"")</f>
        <v/>
      </c>
      <c r="U22" s="67" t="s">
        <v>229</v>
      </c>
    </row>
    <row r="23" spans="1:27" ht="30" customHeight="1">
      <c r="A23" s="546" t="s">
        <v>182</v>
      </c>
      <c r="B23" s="547"/>
      <c r="C23" s="547"/>
      <c r="D23" s="547"/>
      <c r="E23" s="547"/>
      <c r="F23" s="547"/>
      <c r="G23" s="547"/>
      <c r="H23" s="420"/>
      <c r="I23" s="420"/>
      <c r="J23" s="420"/>
      <c r="K23" s="420"/>
      <c r="M23" s="548" t="s">
        <v>183</v>
      </c>
      <c r="N23" s="549"/>
      <c r="O23" s="549"/>
      <c r="P23" s="549"/>
      <c r="Q23" s="549"/>
      <c r="R23" s="549"/>
      <c r="T23" s="90" t="s">
        <v>198</v>
      </c>
      <c r="U23" s="90"/>
    </row>
    <row r="24" spans="1:27" ht="15.95">
      <c r="A24" s="6" t="s">
        <v>184</v>
      </c>
      <c r="B24" s="7" t="s">
        <v>185</v>
      </c>
      <c r="C24" s="7" t="s">
        <v>186</v>
      </c>
      <c r="D24" s="7" t="s">
        <v>187</v>
      </c>
      <c r="E24" s="7" t="s">
        <v>188</v>
      </c>
      <c r="F24" s="7" t="s">
        <v>189</v>
      </c>
      <c r="G24" s="7" t="s">
        <v>8</v>
      </c>
      <c r="H24" s="80" t="s">
        <v>204</v>
      </c>
      <c r="I24" s="20" t="s">
        <v>191</v>
      </c>
      <c r="J24" s="20" t="s">
        <v>192</v>
      </c>
      <c r="K24" s="20" t="s">
        <v>1</v>
      </c>
      <c r="L24" s="20" t="s">
        <v>192</v>
      </c>
      <c r="M24" s="418" t="s">
        <v>193</v>
      </c>
      <c r="N24" s="418" t="s">
        <v>194</v>
      </c>
      <c r="O24" s="542" t="s">
        <v>195</v>
      </c>
      <c r="P24" s="543"/>
      <c r="Q24" s="418" t="s">
        <v>196</v>
      </c>
      <c r="R24" s="418" t="s">
        <v>197</v>
      </c>
      <c r="U24" s="90"/>
    </row>
    <row r="25" spans="1:27">
      <c r="A25" s="4" t="s">
        <v>205</v>
      </c>
      <c r="B25" s="118" t="s">
        <v>205</v>
      </c>
      <c r="C25" s="14">
        <f>SUM(COUNTIFS(Games_450[ATHLETE 1],Analysis_951[[#This Row],[Atheletes ]],Games_450[RESULT 12],Analysis_951[[#Headers],[WIN]]),COUNTIFS(Games_450[ATHLETE 2],Analysis_951[[#This Row],[Atheletes ]],Games_450[RESULT 12],Analysis_951[[#Headers],[WIN]]),COUNTIFS(Games_450[ATHLETE 3],Analysis_951[[#This Row],[Atheletes ]],Games_450[RESULT 34],Analysis_951[[#Headers],[WIN]]),COUNTIFS(Games_450[ATHLETE 4],Analysis_951[[#This Row],[Atheletes ]],Games_450[RESULT 34],Analysis_951[[#Headers],[WIN]]))</f>
        <v>0</v>
      </c>
      <c r="D25" s="14">
        <f>SUM(COUNTIFS(Games_450[ATHLETE 1],Analysis_951[[#This Row],[Atheletes ]],Games_450[RESULT 12],Analysis_951[[#Headers],[LOSE]]),COUNTIFS(Games_450[ATHLETE 2],Analysis_951[[#This Row],[Atheletes ]],Games_450[RESULT 12],Analysis_951[[#Headers],[LOSE]]),COUNTIFS(Games_450[ATHLETE 3],Analysis_951[[#This Row],[Atheletes ]],Games_450[RESULT 34],Analysis_951[[#Headers],[LOSE]]),COUNTIFS(Games_450[ATHLETE 4],Analysis_951[[#This Row],[Atheletes ]],Games_450[RESULT 34],Analysis_951[[#Headers],[LOSE]]))</f>
        <v>0</v>
      </c>
      <c r="E25" s="19">
        <f>SUM(SUMIF(Games_450[ATHLETE 1],Analysis_951[[#This Row],[Atheletes ]],Games_450[SALDO 12]),SUMIF(Games_450[ATHLETE 2],Analysis_951[[#This Row],[Atheletes ]],Games_450[SALDO 12]),SUMIF(Games_450[ATHLETE 3],Analysis_951[[#This Row],[Atheletes ]],Games_450[SALDO 34]),SUMIF(Games_450[ATHLETE 4],Analysis_951[[#This Row],[Atheletes ]],Games_450[SALDO 34]))</f>
        <v>0</v>
      </c>
      <c r="F25" s="19">
        <f>SUM(SUMIF(Games_450[ATHLETE 1],Analysis_951[[#This Row],[Atheletes ]],Games_450[PM 12]),SUMIF(Games_450[ATHLETE 2],Analysis_951[[#This Row],[Atheletes ]],Games_450[PM 12]),SUMIF(Games_450[ATHLETE 3],Analysis_951[[#This Row],[Atheletes ]],Games_450[PM 34]),SUMIF(Games_450[ATHLETE 4],Analysis_951[[#This Row],[Atheletes ]],Games_450[PM 34]))</f>
        <v>0</v>
      </c>
      <c r="G25" s="14" t="str">
        <f>IF(COUNTBLANK(Games_450[[SCORE 1]:[SCORE 2]])=0,IF(RANK(H25,$H$25:$H$29)=1,RANK(H25,$H$25:$H$29)&amp;"st",IF(RANK(H25,$H$25:$H$29)=2,RANK(H25,$H$25:$H$29)&amp;"nd",IF(RANK(H25,$H$25:$H$29)=3,RANK(H25,$H$25:$H$29)&amp;"rd",RANK(H25,$H$25:$H$29)&amp;"th"))),"")</f>
        <v/>
      </c>
      <c r="H25" s="51" t="str">
        <f>IF(COUNTBLANK(Games_450[[SCORE 1]:[SCORE 2]])=0,Analysis_951[[#This Row],[WIN]]*1000000+Analysis_951[[#This Row],[Saldo]]*1000+Analysis_951[[#This Row],[PM]],"")</f>
        <v/>
      </c>
      <c r="I25" s="2" t="str">
        <f>Analysis_951[[#This Row],[Rank support]]</f>
        <v/>
      </c>
      <c r="J25" s="2" t="str">
        <f>IF(COUNTBLANK(Games_450[[SCORE 1]:[SCORE 2]])=0,IF(RANK(I25,$I$25:$I$44)=1,RANK(I25,$I$25:$I$44)&amp;"st",IF(RANK(I25,$I$25:$I$44)=2,RANK(I25,$I$25:$I$44)&amp;"nd",IF(RANK(I25,$I$25:$I$44)=3,RANK(I25,$I$25:$I$44)&amp;"rd",RANK(I25,$I$25:$I$44)&amp;"th"))),"")</f>
        <v/>
      </c>
      <c r="K25" s="38" t="str">
        <f>Analysis_951[[#This Row],[Atheletes ]]</f>
        <v>A1</v>
      </c>
      <c r="L25" s="44" t="str">
        <f>J25</f>
        <v/>
      </c>
      <c r="M25" s="428" t="str" cm="1">
        <f t="array" ref="M25">_xlfn.TEXTJOIN(", ", TRUE, _xlfn._xlws.FILTER($K$25:$K$44, $J$25:$J$44=$U$3, ""))</f>
        <v/>
      </c>
      <c r="N25" s="428" t="str" cm="1">
        <f t="array" ref="N25">_xlfn.TEXTJOIN(", ", TRUE, _xlfn._xlws.FILTER($K$25:$K$44, $J$25:$J$44=$U$4, ""))</f>
        <v/>
      </c>
      <c r="O25" s="119"/>
      <c r="P25" s="120"/>
      <c r="Q25" s="428" t="str" cm="1">
        <f t="array" ref="Q25">_xlfn.TEXTJOIN(", ", TRUE, _xlfn._xlws.FILTER($K$25:$K$44, $J$25:$J$44=$U$9, ""))</f>
        <v/>
      </c>
      <c r="R25" s="428" t="str" cm="1">
        <f t="array" ref="R25">_xlfn.TEXTJOIN(", ", TRUE, _xlfn._xlws.FILTER($K$25:$K$44, $J$25:$J$44=$U$10, ""))</f>
        <v/>
      </c>
      <c r="S25" s="68"/>
      <c r="T25" s="90" t="str" cm="1">
        <f t="array" ref="T25:AA25">CHOOSE({1,2,3,4,5,6,7,8}, M27, N27, Q27, R27, M32, N32, Q32, R32)</f>
        <v/>
      </c>
      <c r="U25" s="90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</row>
    <row r="26" spans="1:27">
      <c r="A26" s="3" t="s">
        <v>206</v>
      </c>
      <c r="B26" s="118" t="s">
        <v>206</v>
      </c>
      <c r="C26" s="14">
        <f>SUM(COUNTIFS(Games_450[ATHLETE 1],Analysis_951[[#This Row],[Atheletes ]],Games_450[RESULT 12],Analysis_951[[#Headers],[WIN]]),COUNTIFS(Games_450[ATHLETE 2],Analysis_951[[#This Row],[Atheletes ]],Games_450[RESULT 12],Analysis_951[[#Headers],[WIN]]),COUNTIFS(Games_450[ATHLETE 3],Analysis_951[[#This Row],[Atheletes ]],Games_450[RESULT 34],Analysis_951[[#Headers],[WIN]]),COUNTIFS(Games_450[ATHLETE 4],Analysis_951[[#This Row],[Atheletes ]],Games_450[RESULT 34],Analysis_951[[#Headers],[WIN]]))</f>
        <v>0</v>
      </c>
      <c r="D26" s="14">
        <f>SUM(COUNTIFS(Games_450[ATHLETE 1],Analysis_951[[#This Row],[Atheletes ]],Games_450[RESULT 12],Analysis_951[[#Headers],[LOSE]]),COUNTIFS(Games_450[ATHLETE 2],Analysis_951[[#This Row],[Atheletes ]],Games_450[RESULT 12],Analysis_951[[#Headers],[LOSE]]),COUNTIFS(Games_450[ATHLETE 3],Analysis_951[[#This Row],[Atheletes ]],Games_450[RESULT 34],Analysis_951[[#Headers],[LOSE]]),COUNTIFS(Games_450[ATHLETE 4],Analysis_951[[#This Row],[Atheletes ]],Games_450[RESULT 34],Analysis_951[[#Headers],[LOSE]]))</f>
        <v>0</v>
      </c>
      <c r="E26" s="19">
        <f>SUM(SUMIF(Games_450[ATHLETE 1],Analysis_951[[#This Row],[Atheletes ]],Games_450[SALDO 12]),SUMIF(Games_450[ATHLETE 2],Analysis_951[[#This Row],[Atheletes ]],Games_450[SALDO 12]),SUMIF(Games_450[ATHLETE 3],Analysis_951[[#This Row],[Atheletes ]],Games_450[SALDO 34]),SUMIF(Games_450[ATHLETE 4],Analysis_951[[#This Row],[Atheletes ]],Games_450[SALDO 34]))</f>
        <v>0</v>
      </c>
      <c r="F26" s="19">
        <f>SUM(SUMIF(Games_450[ATHLETE 1],Analysis_951[[#This Row],[Atheletes ]],Games_450[PM 12]),SUMIF(Games_450[ATHLETE 2],Analysis_951[[#This Row],[Atheletes ]],Games_450[PM 12]),SUMIF(Games_450[ATHLETE 3],Analysis_951[[#This Row],[Atheletes ]],Games_450[PM 34]),SUMIF(Games_450[ATHLETE 4],Analysis_951[[#This Row],[Atheletes ]],Games_450[PM 34]))</f>
        <v>0</v>
      </c>
      <c r="G26" s="14" t="str">
        <f>IF(COUNTBLANK(Games_450[[SCORE 1]:[SCORE 2]])=0,IF(RANK(H26,$H$25:$H$29)=1,RANK(H26,$H$25:$H$29)&amp;"st",IF(RANK(H26,$H$25:$H$29)=2,RANK(H26,$H$25:$H$29)&amp;"nd",IF(RANK(H26,$H$25:$H$29)=3,RANK(H26,$H$25:$H$29)&amp;"rd",RANK(H26,$H$25:$H$29)&amp;"th"))),"")</f>
        <v/>
      </c>
      <c r="H26" s="51" t="str">
        <f>IF(COUNTBLANK(Games_450[[SCORE 1]:[SCORE 2]])=0,Analysis_951[[#This Row],[WIN]]*1000000+Analysis_951[[#This Row],[Saldo]]*1000+Analysis_951[[#This Row],[PM]],"")</f>
        <v/>
      </c>
      <c r="I26" s="2" t="str">
        <f>Analysis_951[[#This Row],[Rank support]]</f>
        <v/>
      </c>
      <c r="J26" s="2" t="str">
        <f>IF(COUNTBLANK(Games_450[[SCORE 1]:[SCORE 2]])=0,IF(RANK(I26,$I$25:$I$44)=1,RANK(I26,$I$25:$I$44)&amp;"st",IF(RANK(I26,$I$25:$I$44)=2,RANK(I26,$I$25:$I$44)&amp;"nd",IF(RANK(I26,$I$25:$I$44)=3,RANK(I26,$I$25:$I$44)&amp;"rd",RANK(I26,$I$25:$I$44)&amp;"th"))),"")</f>
        <v/>
      </c>
      <c r="K26" s="38" t="str">
        <f>Analysis_951[[#This Row],[Atheletes ]]</f>
        <v>A2</v>
      </c>
      <c r="L26" s="44" t="str">
        <f t="shared" ref="L26:L28" si="0">J26</f>
        <v/>
      </c>
      <c r="M26" s="127" t="str">
        <f>IF(OR(O26="",O31=""),"",IF($O$26="lose",IF(RANK(M27,$T$32:$W$32)=1,$U$7,IF(RANK(M27,$T$32:$W$32)=2,$U$8,IF(RANK(M27,$T$32:$W$32)=3,$U$9,$U$10))),""))</f>
        <v/>
      </c>
      <c r="N26" s="127" t="str">
        <f>IF(OR(O26="",O31=""),"",IF($O$26="lose",IF(RANK(N27,$T$32:$W$32)=1,$U$7,IF(RANK(N27,$T$32:$W$32)=2,$U$8,IF(RANK(N27,$T$32:$W$32)=3,$U$9,$U$10))),""))</f>
        <v/>
      </c>
      <c r="O26" s="2" t="str">
        <f>IF(OR(O25="",P25=""),"",IF((O25&gt;P25),"WIN","LOSE"))</f>
        <v/>
      </c>
      <c r="P26" s="2" t="str">
        <f>IF(OR(O25="",P25=""),"",IF((O25&lt;P25),"WIN","LOSE"))</f>
        <v/>
      </c>
      <c r="Q26" s="127" t="str">
        <f>IF(OR(O26="",O31=""),"",IF($P$26="lose",IF(RANK(Q27,$T$32:$W$32)=1,$U$7,IF(RANK(Q27,$T$32:$W$32)=2,$U$8,IF(RANK(Q27,$T$32:$W$32)=3,$U$9,$U$10))),""))</f>
        <v/>
      </c>
      <c r="R26" s="127" t="str">
        <f>IF(OR(O26="",O31=""),"",IF($P$26="lose",IF(RANK(R27,$T$32:$W$32)=1,$U$7,IF(RANK(R27,$T$32:$W$32)=2,$U$8,IF(RANK(R27,$T$32:$W$32)=3,$U$9,$U$10))),""))</f>
        <v/>
      </c>
      <c r="S26" s="17"/>
    </row>
    <row r="27" spans="1:27">
      <c r="A27" s="3" t="s">
        <v>207</v>
      </c>
      <c r="B27" s="118" t="s">
        <v>207</v>
      </c>
      <c r="C27" s="14">
        <f>SUM(COUNTIFS(Games_450[ATHLETE 1],Analysis_951[[#This Row],[Atheletes ]],Games_450[RESULT 12],Analysis_951[[#Headers],[WIN]]),COUNTIFS(Games_450[ATHLETE 2],Analysis_951[[#This Row],[Atheletes ]],Games_450[RESULT 12],Analysis_951[[#Headers],[WIN]]),COUNTIFS(Games_450[ATHLETE 3],Analysis_951[[#This Row],[Atheletes ]],Games_450[RESULT 34],Analysis_951[[#Headers],[WIN]]),COUNTIFS(Games_450[ATHLETE 4],Analysis_951[[#This Row],[Atheletes ]],Games_450[RESULT 34],Analysis_951[[#Headers],[WIN]]))</f>
        <v>0</v>
      </c>
      <c r="D27" s="14">
        <f>SUM(COUNTIFS(Games_450[ATHLETE 1],Analysis_951[[#This Row],[Atheletes ]],Games_450[RESULT 12],Analysis_951[[#Headers],[LOSE]]),COUNTIFS(Games_450[ATHLETE 2],Analysis_951[[#This Row],[Atheletes ]],Games_450[RESULT 12],Analysis_951[[#Headers],[LOSE]]),COUNTIFS(Games_450[ATHLETE 3],Analysis_951[[#This Row],[Atheletes ]],Games_450[RESULT 34],Analysis_951[[#Headers],[LOSE]]),COUNTIFS(Games_450[ATHLETE 4],Analysis_951[[#This Row],[Atheletes ]],Games_450[RESULT 34],Analysis_951[[#Headers],[LOSE]]))</f>
        <v>0</v>
      </c>
      <c r="E27" s="19">
        <f>SUM(SUMIF(Games_450[ATHLETE 1],Analysis_951[[#This Row],[Atheletes ]],Games_450[SALDO 12]),SUMIF(Games_450[ATHLETE 2],Analysis_951[[#This Row],[Atheletes ]],Games_450[SALDO 12]),SUMIF(Games_450[ATHLETE 3],Analysis_951[[#This Row],[Atheletes ]],Games_450[SALDO 34]),SUMIF(Games_450[ATHLETE 4],Analysis_951[[#This Row],[Atheletes ]],Games_450[SALDO 34]))</f>
        <v>0</v>
      </c>
      <c r="F27" s="19">
        <f>SUM(SUMIF(Games_450[ATHLETE 1],Analysis_951[[#This Row],[Atheletes ]],Games_450[PM 12]),SUMIF(Games_450[ATHLETE 2],Analysis_951[[#This Row],[Atheletes ]],Games_450[PM 12]),SUMIF(Games_450[ATHLETE 3],Analysis_951[[#This Row],[Atheletes ]],Games_450[PM 34]),SUMIF(Games_450[ATHLETE 4],Analysis_951[[#This Row],[Atheletes ]],Games_450[PM 34]))</f>
        <v>0</v>
      </c>
      <c r="G27" s="14" t="str">
        <f>IF(COUNTBLANK(Games_450[[SCORE 1]:[SCORE 2]])=0,IF(RANK(H27,$H$25:$H$29)=1,RANK(H27,$H$25:$H$29)&amp;"st",IF(RANK(H27,$H$25:$H$29)=2,RANK(H27,$H$25:$H$29)&amp;"nd",IF(RANK(H27,$H$25:$H$29)=3,RANK(H27,$H$25:$H$29)&amp;"rd",RANK(H27,$H$25:$H$29)&amp;"th"))),"")</f>
        <v/>
      </c>
      <c r="H27" s="51" t="str">
        <f>IF(COUNTBLANK(Games_450[[SCORE 1]:[SCORE 2]])=0,Analysis_951[[#This Row],[WIN]]*1000000+Analysis_951[[#This Row],[Saldo]]*1000+Analysis_951[[#This Row],[PM]],"")</f>
        <v/>
      </c>
      <c r="I27" s="2" t="str">
        <f>Analysis_951[[#This Row],[Rank support]]</f>
        <v/>
      </c>
      <c r="J27" s="2" t="str">
        <f>IF(COUNTBLANK(Games_450[[SCORE 1]:[SCORE 2]])=0,IF(RANK(I27,$I$25:$I$44)=1,RANK(I27,$I$25:$I$44)&amp;"st",IF(RANK(I27,$I$25:$I$44)=2,RANK(I27,$I$25:$I$44)&amp;"nd",IF(RANK(I27,$I$25:$I$44)=3,RANK(I27,$I$25:$I$44)&amp;"rd",RANK(I27,$I$25:$I$44)&amp;"th"))),"")</f>
        <v/>
      </c>
      <c r="K27" s="38" t="str">
        <f>Analysis_951[[#This Row],[Atheletes ]]</f>
        <v>A3</v>
      </c>
      <c r="L27" s="44" t="str">
        <f t="shared" si="0"/>
        <v/>
      </c>
      <c r="M27" s="90" t="str">
        <f>_xlfn.XLOOKUP(M25,$K$25:$K$44,$I$25:$I$44,"")</f>
        <v/>
      </c>
      <c r="N27" s="90" t="str">
        <f>_xlfn.XLOOKUP(N25,$K$25:$K$44,$I$25:$I$44,"")</f>
        <v/>
      </c>
      <c r="O27" s="90" t="str">
        <f t="shared" ref="O27:P27" si="1">_xlfn.XLOOKUP(O25,$K$25:$K$40,$I$25:$I$40,"")</f>
        <v/>
      </c>
      <c r="P27" s="90" t="str">
        <f t="shared" si="1"/>
        <v/>
      </c>
      <c r="Q27" s="90" t="str">
        <f>_xlfn.XLOOKUP(Q25,$K$25:$K$44,$I$25:$I$44,"")</f>
        <v/>
      </c>
      <c r="R27" s="90" t="str">
        <f>_xlfn.XLOOKUP(R25,$K$25:$K$44,$I$25:$I$44,"")</f>
        <v/>
      </c>
    </row>
    <row r="28" spans="1:27">
      <c r="A28" s="3" t="s">
        <v>208</v>
      </c>
      <c r="B28" s="118" t="s">
        <v>208</v>
      </c>
      <c r="C28" s="14">
        <f>SUM(COUNTIFS(Games_450[ATHLETE 1],Analysis_951[[#This Row],[Atheletes ]],Games_450[RESULT 12],Analysis_951[[#Headers],[WIN]]),COUNTIFS(Games_450[ATHLETE 2],Analysis_951[[#This Row],[Atheletes ]],Games_450[RESULT 12],Analysis_951[[#Headers],[WIN]]),COUNTIFS(Games_450[ATHLETE 3],Analysis_951[[#This Row],[Atheletes ]],Games_450[RESULT 34],Analysis_951[[#Headers],[WIN]]),COUNTIFS(Games_450[ATHLETE 4],Analysis_951[[#This Row],[Atheletes ]],Games_450[RESULT 34],Analysis_951[[#Headers],[WIN]]))</f>
        <v>0</v>
      </c>
      <c r="D28" s="14">
        <f>SUM(COUNTIFS(Games_450[ATHLETE 1],Analysis_951[[#This Row],[Atheletes ]],Games_450[RESULT 12],Analysis_951[[#Headers],[LOSE]]),COUNTIFS(Games_450[ATHLETE 2],Analysis_951[[#This Row],[Atheletes ]],Games_450[RESULT 12],Analysis_951[[#Headers],[LOSE]]),COUNTIFS(Games_450[ATHLETE 3],Analysis_951[[#This Row],[Atheletes ]],Games_450[RESULT 34],Analysis_951[[#Headers],[LOSE]]),COUNTIFS(Games_450[ATHLETE 4],Analysis_951[[#This Row],[Atheletes ]],Games_450[RESULT 34],Analysis_951[[#Headers],[LOSE]]))</f>
        <v>0</v>
      </c>
      <c r="E28" s="19">
        <f>SUM(SUMIF(Games_450[ATHLETE 1],Analysis_951[[#This Row],[Atheletes ]],Games_450[SALDO 12]),SUMIF(Games_450[ATHLETE 2],Analysis_951[[#This Row],[Atheletes ]],Games_450[SALDO 12]),SUMIF(Games_450[ATHLETE 3],Analysis_951[[#This Row],[Atheletes ]],Games_450[SALDO 34]),SUMIF(Games_450[ATHLETE 4],Analysis_951[[#This Row],[Atheletes ]],Games_450[SALDO 34]))</f>
        <v>0</v>
      </c>
      <c r="F28" s="19">
        <f>SUM(SUMIF(Games_450[ATHLETE 1],Analysis_951[[#This Row],[Atheletes ]],Games_450[PM 12]),SUMIF(Games_450[ATHLETE 2],Analysis_951[[#This Row],[Atheletes ]],Games_450[PM 12]),SUMIF(Games_450[ATHLETE 3],Analysis_951[[#This Row],[Atheletes ]],Games_450[PM 34]),SUMIF(Games_450[ATHLETE 4],Analysis_951[[#This Row],[Atheletes ]],Games_450[PM 34]))</f>
        <v>0</v>
      </c>
      <c r="G28" s="14" t="str">
        <f>IF(COUNTBLANK(Games_450[[SCORE 1]:[SCORE 2]])=0,IF(RANK(H28,$H$25:$H$29)=1,RANK(H28,$H$25:$H$29)&amp;"st",IF(RANK(H28,$H$25:$H$29)=2,RANK(H28,$H$25:$H$29)&amp;"nd",IF(RANK(H28,$H$25:$H$29)=3,RANK(H28,$H$25:$H$29)&amp;"rd",RANK(H28,$H$25:$H$29)&amp;"th"))),"")</f>
        <v/>
      </c>
      <c r="H28" s="51" t="str">
        <f>IF(COUNTBLANK(Games_450[[SCORE 1]:[SCORE 2]])=0,Analysis_951[[#This Row],[WIN]]*1000000+Analysis_951[[#This Row],[Saldo]]*1000+Analysis_951[[#This Row],[PM]],"")</f>
        <v/>
      </c>
      <c r="I28" s="2" t="str">
        <f>Analysis_951[[#This Row],[Rank support]]</f>
        <v/>
      </c>
      <c r="J28" s="2" t="str">
        <f>IF(COUNTBLANK(Games_450[[SCORE 1]:[SCORE 2]])=0,IF(RANK(I28,$I$25:$I$44)=1,RANK(I28,$I$25:$I$44)&amp;"st",IF(RANK(I28,$I$25:$I$44)=2,RANK(I28,$I$25:$I$44)&amp;"nd",IF(RANK(I28,$I$25:$I$44)=3,RANK(I28,$I$25:$I$44)&amp;"rd",RANK(I28,$I$25:$I$44)&amp;"th"))),"")</f>
        <v/>
      </c>
      <c r="K28" s="38" t="str">
        <f>Analysis_951[[#This Row],[Atheletes ]]</f>
        <v>A4</v>
      </c>
      <c r="L28" s="44" t="str">
        <f t="shared" si="0"/>
        <v/>
      </c>
      <c r="M28" s="90" t="str">
        <f>IFERROR(RANK(M27,_xlfn.ANCHORARRAY($T$25),0),"")</f>
        <v/>
      </c>
      <c r="N28" s="90" t="str">
        <f>IFERROR(RANK(N27,_xlfn.ANCHORARRAY($T$25),0),"")</f>
        <v/>
      </c>
      <c r="O28" s="90"/>
      <c r="P28" s="90"/>
      <c r="Q28" s="90" t="str">
        <f>IFERROR(RANK(Q27,_xlfn.ANCHORARRAY($T$25),0),"")</f>
        <v/>
      </c>
      <c r="R28" s="90" t="str">
        <f>IFERROR(RANK(R27,_xlfn.ANCHORARRAY($T$25),0),"")</f>
        <v/>
      </c>
    </row>
    <row r="29" spans="1:27" ht="15.95">
      <c r="A29" s="5" t="s">
        <v>230</v>
      </c>
      <c r="B29" s="118" t="s">
        <v>230</v>
      </c>
      <c r="C29" s="14">
        <f>SUM(COUNTIFS(Games_450[ATHLETE 1],Analysis_951[[#This Row],[Atheletes ]],Games_450[RESULT 12],Analysis_951[[#Headers],[WIN]]),COUNTIFS(Games_450[ATHLETE 2],Analysis_951[[#This Row],[Atheletes ]],Games_450[RESULT 12],Analysis_951[[#Headers],[WIN]]),COUNTIFS(Games_450[ATHLETE 3],Analysis_951[[#This Row],[Atheletes ]],Games_450[RESULT 34],Analysis_951[[#Headers],[WIN]]),COUNTIFS(Games_450[ATHLETE 4],Analysis_951[[#This Row],[Atheletes ]],Games_450[RESULT 34],Analysis_951[[#Headers],[WIN]]))</f>
        <v>0</v>
      </c>
      <c r="D29" s="14">
        <f>SUM(COUNTIFS(Games_450[ATHLETE 1],Analysis_951[[#This Row],[Atheletes ]],Games_450[RESULT 12],Analysis_951[[#Headers],[LOSE]]),COUNTIFS(Games_450[ATHLETE 2],Analysis_951[[#This Row],[Atheletes ]],Games_450[RESULT 12],Analysis_951[[#Headers],[LOSE]]),COUNTIFS(Games_450[ATHLETE 3],Analysis_951[[#This Row],[Atheletes ]],Games_450[RESULT 34],Analysis_951[[#Headers],[LOSE]]),COUNTIFS(Games_450[ATHLETE 4],Analysis_951[[#This Row],[Atheletes ]],Games_450[RESULT 34],Analysis_951[[#Headers],[LOSE]]))</f>
        <v>0</v>
      </c>
      <c r="E29" s="19">
        <f>SUM(SUMIF(Games_450[ATHLETE 1],Analysis_951[[#This Row],[Atheletes ]],Games_450[SALDO 12]),SUMIF(Games_450[ATHLETE 2],Analysis_951[[#This Row],[Atheletes ]],Games_450[SALDO 12]),SUMIF(Games_450[ATHLETE 3],Analysis_951[[#This Row],[Atheletes ]],Games_450[SALDO 34]),SUMIF(Games_450[ATHLETE 4],Analysis_951[[#This Row],[Atheletes ]],Games_450[SALDO 34]))</f>
        <v>0</v>
      </c>
      <c r="F29" s="19">
        <f>SUM(SUMIF(Games_450[ATHLETE 1],Analysis_951[[#This Row],[Atheletes ]],Games_450[PM 12]),SUMIF(Games_450[ATHLETE 2],Analysis_951[[#This Row],[Atheletes ]],Games_450[PM 12]),SUMIF(Games_450[ATHLETE 3],Analysis_951[[#This Row],[Atheletes ]],Games_450[PM 34]),SUMIF(Games_450[ATHLETE 4],Analysis_951[[#This Row],[Atheletes ]],Games_450[PM 34]))</f>
        <v>0</v>
      </c>
      <c r="G29" s="14" t="str">
        <f>IF(COUNTBLANK(Games_450[[SCORE 1]:[SCORE 2]])=0,IF(RANK(H29,$H$25:$H$29)=1,RANK(H29,$H$25:$H$29)&amp;"st",IF(RANK(H29,$H$25:$H$29)=2,RANK(H29,$H$25:$H$29)&amp;"nd",IF(RANK(H29,$H$25:$H$29)=3,RANK(H29,$H$25:$H$29)&amp;"rd",RANK(H29,$H$25:$H$29)&amp;"th"))),"")</f>
        <v/>
      </c>
      <c r="H29" s="51" t="str">
        <f>IF(COUNTBLANK(Games_450[[SCORE 1]:[SCORE 2]])=0,Analysis_951[[#This Row],[WIN]]*1000000+Analysis_951[[#This Row],[Saldo]]*1000+Analysis_951[[#This Row],[PM]],"")</f>
        <v/>
      </c>
      <c r="I29" s="2" t="str">
        <f>Analysis_951[[#This Row],[Rank support]]</f>
        <v/>
      </c>
      <c r="J29" s="2" t="str">
        <f>IF(COUNTBLANK(Games_450[[SCORE 1]:[SCORE 2]])=0,IF(RANK(I29,$I$25:$I$44)=1,RANK(I29,$I$25:$I$44)&amp;"st",IF(RANK(I29,$I$25:$I$44)=2,RANK(I29,$I$25:$I$44)&amp;"nd",IF(RANK(I29,$I$25:$I$44)=3,RANK(I29,$I$25:$I$44)&amp;"rd",RANK(I29,$I$25:$I$44)&amp;"th"))),"")</f>
        <v/>
      </c>
      <c r="K29" s="38" t="str">
        <f>Analysis_951[[#This Row],[Atheletes ]]</f>
        <v>A5</v>
      </c>
      <c r="M29" s="418" t="s">
        <v>193</v>
      </c>
      <c r="N29" s="418" t="s">
        <v>194</v>
      </c>
      <c r="O29" s="542" t="s">
        <v>195</v>
      </c>
      <c r="P29" s="543"/>
      <c r="Q29" s="418" t="s">
        <v>196</v>
      </c>
      <c r="R29" s="418" t="s">
        <v>197</v>
      </c>
    </row>
    <row r="30" spans="1:27" s="44" customFormat="1" ht="28.5" customHeight="1">
      <c r="A30"/>
      <c r="B30"/>
      <c r="C30"/>
      <c r="D30"/>
      <c r="E30"/>
      <c r="F30"/>
      <c r="G30"/>
      <c r="H30"/>
      <c r="I30" s="2" t="str">
        <f>H32</f>
        <v/>
      </c>
      <c r="J30" s="2" t="str">
        <f>IF(COUNTBLANK(Games_450[[SCORE 1]:[SCORE 2]])=0,IF(RANK(I30,$I$25:$I$44)=1,RANK(I30,$I$25:$I$44)&amp;"st",IF(RANK(I30,$I$25:$I$44)=2,RANK(I30,$I$25:$I$44)&amp;"nd",IF(RANK(I30,$I$25:$I$44)=3,RANK(I30,$I$25:$I$44)&amp;"rd",RANK(I30,$I$25:$I$44)&amp;"th"))),"")</f>
        <v/>
      </c>
      <c r="K30" s="38" t="str">
        <f>B32</f>
        <v>B1</v>
      </c>
      <c r="L30" s="419" t="s">
        <v>192</v>
      </c>
      <c r="M30" s="147" t="str" cm="1">
        <f t="array" ref="M30">_xlfn.TEXTJOIN(", ", TRUE, _xlfn._xlws.FILTER($K$25:$K$44, $J$25:$J$44=$U$5, ""))</f>
        <v/>
      </c>
      <c r="N30" s="147" t="str" cm="1">
        <f t="array" ref="N30">_xlfn.TEXTJOIN(", ", TRUE, _xlfn._xlws.FILTER($K$25:$K$44, $J$25:$J$44=$U$6, ""))</f>
        <v/>
      </c>
      <c r="O30" s="119"/>
      <c r="P30" s="119"/>
      <c r="Q30" s="147" t="str" cm="1">
        <f t="array" ref="Q30">_xlfn.TEXTJOIN(", ", TRUE, _xlfn._xlws.FILTER($K$25:$K$44, $J$25:$J$44=$U$7, ""))</f>
        <v/>
      </c>
      <c r="R30" s="428" t="str" cm="1">
        <f t="array" ref="R30">_xlfn.TEXTJOIN(", ", TRUE, _xlfn._xlws.FILTER($K$25:$K$44, $J$25:$J$44=$U$8, ""))</f>
        <v/>
      </c>
      <c r="T30"/>
      <c r="U30"/>
    </row>
    <row r="31" spans="1:27" ht="15.95">
      <c r="A31" s="9" t="s">
        <v>184</v>
      </c>
      <c r="B31" s="43" t="s">
        <v>185</v>
      </c>
      <c r="C31" s="48" t="s">
        <v>186</v>
      </c>
      <c r="D31" s="48" t="s">
        <v>187</v>
      </c>
      <c r="E31" s="48" t="s">
        <v>188</v>
      </c>
      <c r="F31" s="48" t="s">
        <v>189</v>
      </c>
      <c r="G31" s="419" t="s">
        <v>8</v>
      </c>
      <c r="H31" s="126" t="s">
        <v>204</v>
      </c>
      <c r="I31" s="2" t="str">
        <f>H33</f>
        <v/>
      </c>
      <c r="J31" s="2" t="str">
        <f>IF(COUNTBLANK(Games_450[[SCORE 1]:[SCORE 2]])=0,IF(RANK(I31,$I$25:$I$44)=1,RANK(I31,$I$25:$I$44)&amp;"st",IF(RANK(I31,$I$25:$I$44)=2,RANK(I31,$I$25:$I$44)&amp;"nd",IF(RANK(I31,$I$25:$I$44)=3,RANK(I31,$I$25:$I$44)&amp;"rd",RANK(I31,$I$25:$I$44)&amp;"th"))),"")</f>
        <v/>
      </c>
      <c r="K31" s="38" t="str">
        <f t="shared" ref="K31:K34" si="2">B33</f>
        <v>B2</v>
      </c>
      <c r="L31" s="44" t="str">
        <f>J29</f>
        <v/>
      </c>
      <c r="M31" s="127" t="str">
        <f>IF(OR(O26="",O31=""),"",IF($O$31="lose",IF(RANK(M32,$T$32:$W$32)=1,$U$7,IF(RANK(M32,$T$32:$W$32)=2,$U$8,IF(RANK(M32,$T$32:$W$32)=3,$U$9,$U$10))),""))</f>
        <v/>
      </c>
      <c r="N31" s="127" t="str">
        <f>IF(OR(O26="",O31=""),"",IF($O$31="lose",IF(RANK(N32,$T$32:$W$32)=1,$U$7,IF(RANK(N32,$T$32:$W$32)=2,$U$8,IF(RANK(N32,$T$32:$W$32)=3,$U$9,$U$10))),""))</f>
        <v/>
      </c>
      <c r="O31" s="2" t="str">
        <f>IF(OR(O30="",P30=""),"",IF((O30&gt;P30),"WIN","LOSE"))</f>
        <v/>
      </c>
      <c r="P31" s="2" t="str">
        <f>IF(OR(O30="",P30=""),"",IF((O30&lt;P30),"WIN","LOSE"))</f>
        <v/>
      </c>
      <c r="Q31" s="127" t="str">
        <f>IF(OR(O26="",O31=""),"",IF($P$31="lose",IF(RANK(Q32,$T$32:$W$32)=1,$U$7,IF(RANK(Q32,$T$32:$W$32)=2,$U$8,IF(RANK(Q32,$T$32:$W$32)=3,$U$9,$U$10))),""))</f>
        <v/>
      </c>
      <c r="R31" s="127" t="str">
        <f>IF(OR(O26="",O31=""),"",IF($P$31="lose",IF(RANK(R32,$T$32:$W$32)=1,$U$7,IF(RANK(R32,$T$32:$W$32)=2,$U$8,IF(RANK(R32,$T$32:$W$32)=3,$U$9,$U$10))),""))</f>
        <v/>
      </c>
      <c r="V31" s="90"/>
      <c r="W31" s="90"/>
      <c r="X31" s="90"/>
      <c r="Y31" s="90"/>
      <c r="Z31" s="90"/>
      <c r="AA31" s="90"/>
    </row>
    <row r="32" spans="1:27">
      <c r="A32" s="430" t="s">
        <v>209</v>
      </c>
      <c r="B32" s="118" t="s">
        <v>209</v>
      </c>
      <c r="C32" s="14">
        <f>SUM(COUNTIFS(Games_450[ATHLETE 1],Analysis_1052[[#This Row],[Atheletes ]],Games_450[RESULT 12],Analysis_951[[#Headers],[WIN]]),COUNTIFS(Games_450[ATHLETE 2],Analysis_1052[[#This Row],[Atheletes ]],Games_450[RESULT 12],Analysis_951[[#Headers],[WIN]]),COUNTIFS(Games_450[ATHLETE 3],Analysis_1052[[#This Row],[Atheletes ]],Games_450[RESULT 34],Analysis_951[[#Headers],[WIN]]),COUNTIFS(Games_450[ATHLETE 4],Analysis_1052[[#This Row],[Atheletes ]],Games_450[RESULT 34],Analysis_951[[#Headers],[WIN]]))</f>
        <v>0</v>
      </c>
      <c r="D32" s="14">
        <f>SUM(COUNTIFS(Games_450[ATHLETE 1],Analysis_1052[[#This Row],[Atheletes ]],Games_450[RESULT 12],Analysis_951[[#Headers],[LOSE]]),COUNTIFS(Games_450[ATHLETE 2],Analysis_1052[[#This Row],[Atheletes ]],Games_450[RESULT 12],Analysis_951[[#Headers],[LOSE]]),COUNTIFS(Games_450[ATHLETE 3],Analysis_1052[[#This Row],[Atheletes ]],Games_450[RESULT 34],Analysis_951[[#Headers],[LOSE]]),COUNTIFS(Games_450[ATHLETE 4],Analysis_1052[[#This Row],[Atheletes ]],Games_450[RESULT 34],Analysis_951[[#Headers],[LOSE]]))</f>
        <v>0</v>
      </c>
      <c r="E32" s="19">
        <f>SUM(SUMIF(Games_450[ATHLETE 1],Analysis_1052[[#This Row],[Atheletes ]],Games_450[SALDO 12]),SUMIF(Games_450[ATHLETE 2],Analysis_1052[[#This Row],[Atheletes ]],Games_450[SALDO 12]),SUMIF(Games_450[ATHLETE 3],Analysis_1052[[#This Row],[Atheletes ]],Games_450[SALDO 34]),SUMIF(Games_450[ATHLETE 4],Analysis_1052[[#This Row],[Atheletes ]],Games_450[SALDO 34]))</f>
        <v>0</v>
      </c>
      <c r="F32" s="19">
        <f>SUM(SUMIF(Games_450[ATHLETE 1],Analysis_1052[[#This Row],[Atheletes ]],Games_450[PM 12]),SUMIF(Games_450[ATHLETE 2],Analysis_1052[[#This Row],[Atheletes ]],Games_450[PM 12]),SUMIF(Games_450[ATHLETE 3],Analysis_1052[[#This Row],[Atheletes ]],Games_450[PM 34]),SUMIF(Games_450[ATHLETE 4],Analysis_1052[[#This Row],[Atheletes ]],Games_450[PM 34]))</f>
        <v>0</v>
      </c>
      <c r="G32" s="14" t="str">
        <f>IF(COUNTBLANK(Games_450[[SCORE 1]:[SCORE 2]])=0,IF(RANK(H32,$H$32:$H$36)=1,RANK(H32,$H$32:$H$36)&amp;"st",IF(RANK(H32,$H$32:$H$36)=2,RANK(H32,$H$32:$H$36)&amp;"nd",IF(RANK(H32,$H$32:$H$36)=3,RANK(H32,$H$32:$H$36)&amp;"rd",RANK(H32,$H$32:$H$36)&amp;"th"))),"")</f>
        <v/>
      </c>
      <c r="H32" s="51" t="str">
        <f>IF(COUNTBLANK(Games_450[[SCORE 1]:[SCORE 2]])=0,Analysis_1052[[#This Row],[WIN]]*1000000+Analysis_1052[[#This Row],[Saldo]]*1000+Analysis_1052[[#This Row],[PM]],"")</f>
        <v/>
      </c>
      <c r="I32" s="2" t="str">
        <f>H34</f>
        <v/>
      </c>
      <c r="J32" s="2" t="str">
        <f>IF(COUNTBLANK(Games_450[[SCORE 1]:[SCORE 2]])=0,IF(RANK(I32,$I$25:$I$44)=1,RANK(I32,$I$25:$I$44)&amp;"st",IF(RANK(I32,$I$25:$I$44)=2,RANK(I32,$I$25:$I$44)&amp;"nd",IF(RANK(I32,$I$25:$I$44)=3,RANK(I32,$I$25:$I$44)&amp;"rd",RANK(I32,$I$25:$I$44)&amp;"th"))),"")</f>
        <v/>
      </c>
      <c r="K32" s="38" t="str">
        <f t="shared" si="2"/>
        <v>B3</v>
      </c>
      <c r="L32" s="44" t="str">
        <f t="shared" ref="L32:L34" si="3">J30</f>
        <v/>
      </c>
      <c r="M32" s="90" t="str">
        <f>_xlfn.XLOOKUP(M30,$K$25:$K$44,$I$25:$I$44,"")</f>
        <v/>
      </c>
      <c r="N32" s="90" t="str">
        <f>_xlfn.XLOOKUP(N30,$K$25:$K$44,$I$25:$I$44,"")</f>
        <v/>
      </c>
      <c r="O32" s="90" t="str">
        <f t="shared" ref="O32:P32" si="4">_xlfn.XLOOKUP(O30,$K$25:$K$40,$I$25:$I$40,"")</f>
        <v/>
      </c>
      <c r="P32" s="90" t="str">
        <f t="shared" si="4"/>
        <v/>
      </c>
      <c r="Q32" s="90" t="str">
        <f>_xlfn.XLOOKUP(Q30,$K$25:$K$44,$I$25:$I$44,"")</f>
        <v/>
      </c>
      <c r="R32" s="90" t="str">
        <f>_xlfn.XLOOKUP(R30,$K$25:$K$44,$I$25:$I$44,"")</f>
        <v/>
      </c>
      <c r="T32" s="90" t="str" cm="1">
        <f t="array" ref="T32">IF(O26="","",IF(O26="lose",CHOOSE({1,2},M27,N27),CHOOSE({1,2},Q27,R27)))</f>
        <v/>
      </c>
      <c r="U32" s="90"/>
      <c r="V32" s="90" t="str" cm="1">
        <f t="array" ref="V32">IF(O31="","",IF(O31="lose",CHOOSE({1,2},M32,N32),CHOOSE({1,2},Q32,R32)))</f>
        <v/>
      </c>
      <c r="W32" s="90"/>
      <c r="X32" s="90"/>
      <c r="Y32" s="90"/>
      <c r="Z32" s="90"/>
      <c r="AA32" s="90"/>
    </row>
    <row r="33" spans="1:27">
      <c r="A33" s="430" t="s">
        <v>210</v>
      </c>
      <c r="B33" s="118" t="s">
        <v>210</v>
      </c>
      <c r="C33" s="14">
        <f>SUM(COUNTIFS(Games_450[ATHLETE 1],Analysis_1052[[#This Row],[Atheletes ]],Games_450[RESULT 12],Analysis_951[[#Headers],[WIN]]),COUNTIFS(Games_450[ATHLETE 2],Analysis_1052[[#This Row],[Atheletes ]],Games_450[RESULT 12],Analysis_951[[#Headers],[WIN]]),COUNTIFS(Games_450[ATHLETE 3],Analysis_1052[[#This Row],[Atheletes ]],Games_450[RESULT 34],Analysis_951[[#Headers],[WIN]]),COUNTIFS(Games_450[ATHLETE 4],Analysis_1052[[#This Row],[Atheletes ]],Games_450[RESULT 34],Analysis_951[[#Headers],[WIN]]))</f>
        <v>0</v>
      </c>
      <c r="D33" s="14">
        <f>SUM(COUNTIFS(Games_450[ATHLETE 1],Analysis_1052[[#This Row],[Atheletes ]],Games_450[RESULT 12],Analysis_951[[#Headers],[LOSE]]),COUNTIFS(Games_450[ATHLETE 2],Analysis_1052[[#This Row],[Atheletes ]],Games_450[RESULT 12],Analysis_951[[#Headers],[LOSE]]),COUNTIFS(Games_450[ATHLETE 3],Analysis_1052[[#This Row],[Atheletes ]],Games_450[RESULT 34],Analysis_951[[#Headers],[LOSE]]),COUNTIFS(Games_450[ATHLETE 4],Analysis_1052[[#This Row],[Atheletes ]],Games_450[RESULT 34],Analysis_951[[#Headers],[LOSE]]))</f>
        <v>0</v>
      </c>
      <c r="E33" s="19">
        <f>SUM(SUMIF(Games_450[ATHLETE 1],Analysis_1052[[#This Row],[Atheletes ]],Games_450[SALDO 12]),SUMIF(Games_450[ATHLETE 2],Analysis_1052[[#This Row],[Atheletes ]],Games_450[SALDO 12]),SUMIF(Games_450[ATHLETE 3],Analysis_1052[[#This Row],[Atheletes ]],Games_450[SALDO 34]),SUMIF(Games_450[ATHLETE 4],Analysis_1052[[#This Row],[Atheletes ]],Games_450[SALDO 34]))</f>
        <v>0</v>
      </c>
      <c r="F33" s="19">
        <f>SUM(SUMIF(Games_450[ATHLETE 1],Analysis_1052[[#This Row],[Atheletes ]],Games_450[PM 12]),SUMIF(Games_450[ATHLETE 2],Analysis_1052[[#This Row],[Atheletes ]],Games_450[PM 12]),SUMIF(Games_450[ATHLETE 3],Analysis_1052[[#This Row],[Atheletes ]],Games_450[PM 34]),SUMIF(Games_450[ATHLETE 4],Analysis_1052[[#This Row],[Atheletes ]],Games_450[PM 34]))</f>
        <v>0</v>
      </c>
      <c r="G33" s="14" t="str">
        <f>IF(COUNTBLANK(Games_450[[SCORE 1]:[SCORE 2]])=0,IF(RANK(H33,$H$32:$H$36)=1,RANK(H33,$H$32:$H$36)&amp;"st",IF(RANK(H33,$H$32:$H$36)=2,RANK(H33,$H$32:$H$36)&amp;"nd",IF(RANK(H33,$H$32:$H$36)=3,RANK(H33,$H$32:$H$36)&amp;"rd",RANK(H33,$H$32:$H$36)&amp;"th"))),"")</f>
        <v/>
      </c>
      <c r="H33" s="51" t="str">
        <f>IF(COUNTBLANK(Games_450[[SCORE 1]:[SCORE 2]])=0,Analysis_1052[[#This Row],[WIN]]*1000000+Analysis_1052[[#This Row],[Saldo]]*1000+Analysis_1052[[#This Row],[PM]],"")</f>
        <v/>
      </c>
      <c r="I33" s="2" t="str">
        <f>H35</f>
        <v/>
      </c>
      <c r="J33" s="2" t="str">
        <f>IF(COUNTBLANK(Games_450[[SCORE 1]:[SCORE 2]])=0,IF(RANK(I33,$I$25:$I$44)=1,RANK(I33,$I$25:$I$44)&amp;"st",IF(RANK(I33,$I$25:$I$44)=2,RANK(I33,$I$25:$I$44)&amp;"nd",IF(RANK(I33,$I$25:$I$44)=3,RANK(I33,$I$25:$I$44)&amp;"rd",RANK(I33,$I$25:$I$44)&amp;"th"))),"")</f>
        <v/>
      </c>
      <c r="K33" s="38" t="str">
        <f t="shared" si="2"/>
        <v>B4</v>
      </c>
      <c r="L33" s="44" t="str">
        <f t="shared" si="3"/>
        <v/>
      </c>
      <c r="M33" s="90" t="str">
        <f>IFERROR(RANK(M32,_xlfn.ANCHORARRAY($T$25),0),"")</f>
        <v/>
      </c>
      <c r="N33" s="90" t="str">
        <f>IFERROR(RANK(N32,_xlfn.ANCHORARRAY($T$25),0),"")</f>
        <v/>
      </c>
      <c r="O33" s="90" t="str">
        <f>IFERROR(RANK(O32,$M$27:$R$27:$M$32:$R$32,1),"")</f>
        <v/>
      </c>
      <c r="P33" s="90" t="str">
        <f>IFERROR(RANK(P32,$M$27:$R$27:$M$32:$R$32,1),"")</f>
        <v/>
      </c>
      <c r="Q33" s="90" t="str">
        <f>IFERROR(RANK(Q32,_xlfn.ANCHORARRAY($T$25),0),"")</f>
        <v/>
      </c>
      <c r="R33" s="90" t="str">
        <f>IFERROR(RANK(R32,_xlfn.ANCHORARRAY($T$25),0),"")</f>
        <v/>
      </c>
      <c r="V33" s="90"/>
      <c r="W33" s="90"/>
      <c r="X33" s="90"/>
      <c r="Y33" s="90"/>
      <c r="Z33" s="90"/>
      <c r="AA33" s="90"/>
    </row>
    <row r="34" spans="1:27" ht="29.1">
      <c r="A34" s="430" t="s">
        <v>211</v>
      </c>
      <c r="B34" s="118" t="s">
        <v>211</v>
      </c>
      <c r="C34" s="14">
        <f>SUM(COUNTIFS(Games_450[ATHLETE 1],Analysis_1052[[#This Row],[Atheletes ]],Games_450[RESULT 12],Analysis_951[[#Headers],[WIN]]),COUNTIFS(Games_450[ATHLETE 2],Analysis_1052[[#This Row],[Atheletes ]],Games_450[RESULT 12],Analysis_951[[#Headers],[WIN]]),COUNTIFS(Games_450[ATHLETE 3],Analysis_1052[[#This Row],[Atheletes ]],Games_450[RESULT 34],Analysis_951[[#Headers],[WIN]]),COUNTIFS(Games_450[ATHLETE 4],Analysis_1052[[#This Row],[Atheletes ]],Games_450[RESULT 34],Analysis_951[[#Headers],[WIN]]))</f>
        <v>0</v>
      </c>
      <c r="D34" s="14">
        <f>SUM(COUNTIFS(Games_450[ATHLETE 1],Analysis_1052[[#This Row],[Atheletes ]],Games_450[RESULT 12],Analysis_951[[#Headers],[LOSE]]),COUNTIFS(Games_450[ATHLETE 2],Analysis_1052[[#This Row],[Atheletes ]],Games_450[RESULT 12],Analysis_951[[#Headers],[LOSE]]),COUNTIFS(Games_450[ATHLETE 3],Analysis_1052[[#This Row],[Atheletes ]],Games_450[RESULT 34],Analysis_951[[#Headers],[LOSE]]),COUNTIFS(Games_450[ATHLETE 4],Analysis_1052[[#This Row],[Atheletes ]],Games_450[RESULT 34],Analysis_951[[#Headers],[LOSE]]))</f>
        <v>0</v>
      </c>
      <c r="E34" s="19">
        <f>SUM(SUMIF(Games_450[ATHLETE 1],Analysis_1052[[#This Row],[Atheletes ]],Games_450[SALDO 12]),SUMIF(Games_450[ATHLETE 2],Analysis_1052[[#This Row],[Atheletes ]],Games_450[SALDO 12]),SUMIF(Games_450[ATHLETE 3],Analysis_1052[[#This Row],[Atheletes ]],Games_450[SALDO 34]),SUMIF(Games_450[ATHLETE 4],Analysis_1052[[#This Row],[Atheletes ]],Games_450[SALDO 34]))</f>
        <v>0</v>
      </c>
      <c r="F34" s="19">
        <f>SUM(SUMIF(Games_450[ATHLETE 1],Analysis_1052[[#This Row],[Atheletes ]],Games_450[PM 12]),SUMIF(Games_450[ATHLETE 2],Analysis_1052[[#This Row],[Atheletes ]],Games_450[PM 12]),SUMIF(Games_450[ATHLETE 3],Analysis_1052[[#This Row],[Atheletes ]],Games_450[PM 34]),SUMIF(Games_450[ATHLETE 4],Analysis_1052[[#This Row],[Atheletes ]],Games_450[PM 34]))</f>
        <v>0</v>
      </c>
      <c r="G34" s="14" t="str">
        <f>IF(COUNTBLANK(Games_450[[SCORE 1]:[SCORE 2]])=0,IF(RANK(H34,$H$32:$H$36)=1,RANK(H34,$H$32:$H$36)&amp;"st",IF(RANK(H34,$H$32:$H$36)=2,RANK(H34,$H$32:$H$36)&amp;"nd",IF(RANK(H34,$H$32:$H$36)=3,RANK(H34,$H$32:$H$36)&amp;"rd",RANK(H34,$H$32:$H$36)&amp;"th"))),"")</f>
        <v/>
      </c>
      <c r="H34" s="51" t="str">
        <f>IF(COUNTBLANK(Games_450[[SCORE 1]:[SCORE 2]])=0,Analysis_1052[[#This Row],[WIN]]*1000000+Analysis_1052[[#This Row],[Saldo]]*1000+Analysis_1052[[#This Row],[PM]],"")</f>
        <v/>
      </c>
      <c r="I34" s="2" t="str">
        <f>H36</f>
        <v/>
      </c>
      <c r="J34" s="2" t="str">
        <f>IF(COUNTBLANK(Games_450[[SCORE 1]:[SCORE 2]])=0,IF(RANK(I34,$I$25:$I$44)=1,RANK(I34,$I$25:$I$44)&amp;"st",IF(RANK(I34,$I$25:$I$44)=2,RANK(I34,$I$25:$I$44)&amp;"nd",IF(RANK(I34,$I$25:$I$44)=3,RANK(I34,$I$25:$I$44)&amp;"rd",RANK(I34,$I$25:$I$44)&amp;"th"))),"")</f>
        <v/>
      </c>
      <c r="K34" s="38" t="str">
        <f t="shared" si="2"/>
        <v>B5</v>
      </c>
      <c r="L34" s="44" t="str">
        <f t="shared" si="3"/>
        <v/>
      </c>
      <c r="M34" s="548" t="s">
        <v>199</v>
      </c>
      <c r="N34" s="549"/>
      <c r="O34" s="549"/>
      <c r="P34" s="549"/>
      <c r="Q34" s="549"/>
      <c r="R34" s="549"/>
      <c r="T34" s="90" t="str" cm="1">
        <f t="array" ref="T34:U34">(IF(O26="lose",CHOOSE({1,2},M26,N26),CHOOSE({1,2},Q26,R26)))</f>
        <v/>
      </c>
      <c r="U34" s="90" t="str">
        <v/>
      </c>
      <c r="V34" s="90" t="str" cm="1">
        <f t="array" ref="V34:W34">(IF(O31="lose",CHOOSE({1,2},N31,M31),CHOOSE({1,2},Q31,R31)))</f>
        <v/>
      </c>
      <c r="W34" s="90" t="str">
        <v/>
      </c>
      <c r="X34" s="90"/>
      <c r="Y34" s="90"/>
      <c r="Z34" s="90"/>
      <c r="AA34" s="90"/>
    </row>
    <row r="35" spans="1:27">
      <c r="A35" s="430" t="s">
        <v>212</v>
      </c>
      <c r="B35" s="118" t="s">
        <v>212</v>
      </c>
      <c r="C35" s="14">
        <f>SUM(COUNTIFS(Games_450[ATHLETE 1],Analysis_1052[[#This Row],[Atheletes ]],Games_450[RESULT 12],Analysis_951[[#Headers],[WIN]]),COUNTIFS(Games_450[ATHLETE 2],Analysis_1052[[#This Row],[Atheletes ]],Games_450[RESULT 12],Analysis_951[[#Headers],[WIN]]),COUNTIFS(Games_450[ATHLETE 3],Analysis_1052[[#This Row],[Atheletes ]],Games_450[RESULT 34],Analysis_951[[#Headers],[WIN]]),COUNTIFS(Games_450[ATHLETE 4],Analysis_1052[[#This Row],[Atheletes ]],Games_450[RESULT 34],Analysis_951[[#Headers],[WIN]]))</f>
        <v>0</v>
      </c>
      <c r="D35" s="14">
        <f>SUM(COUNTIFS(Games_450[ATHLETE 1],Analysis_1052[[#This Row],[Atheletes ]],Games_450[RESULT 12],Analysis_951[[#Headers],[LOSE]]),COUNTIFS(Games_450[ATHLETE 2],Analysis_1052[[#This Row],[Atheletes ]],Games_450[RESULT 12],Analysis_951[[#Headers],[LOSE]]),COUNTIFS(Games_450[ATHLETE 3],Analysis_1052[[#This Row],[Atheletes ]],Games_450[RESULT 34],Analysis_951[[#Headers],[LOSE]]),COUNTIFS(Games_450[ATHLETE 4],Analysis_1052[[#This Row],[Atheletes ]],Games_450[RESULT 34],Analysis_951[[#Headers],[LOSE]]))</f>
        <v>0</v>
      </c>
      <c r="E35" s="19">
        <f>SUM(SUMIF(Games_450[ATHLETE 1],Analysis_1052[[#This Row],[Atheletes ]],Games_450[SALDO 12]),SUMIF(Games_450[ATHLETE 2],Analysis_1052[[#This Row],[Atheletes ]],Games_450[SALDO 12]),SUMIF(Games_450[ATHLETE 3],Analysis_1052[[#This Row],[Atheletes ]],Games_450[SALDO 34]),SUMIF(Games_450[ATHLETE 4],Analysis_1052[[#This Row],[Atheletes ]],Games_450[SALDO 34]))</f>
        <v>0</v>
      </c>
      <c r="F35" s="19">
        <f>SUM(SUMIF(Games_450[ATHLETE 1],Analysis_1052[[#This Row],[Atheletes ]],Games_450[PM 12]),SUMIF(Games_450[ATHLETE 2],Analysis_1052[[#This Row],[Atheletes ]],Games_450[PM 12]),SUMIF(Games_450[ATHLETE 3],Analysis_1052[[#This Row],[Atheletes ]],Games_450[PM 34]),SUMIF(Games_450[ATHLETE 4],Analysis_1052[[#This Row],[Atheletes ]],Games_450[PM 34]))</f>
        <v>0</v>
      </c>
      <c r="G35" s="14" t="str">
        <f>IF(COUNTBLANK(Games_450[[SCORE 1]:[SCORE 2]])=0,IF(RANK(H35,$H$32:$H$36)=1,RANK(H35,$H$32:$H$36)&amp;"st",IF(RANK(H35,$H$32:$H$36)=2,RANK(H35,$H$32:$H$36)&amp;"nd",IF(RANK(H35,$H$32:$H$36)=3,RANK(H35,$H$32:$H$36)&amp;"rd",RANK(H35,$H$32:$H$36)&amp;"th"))),"")</f>
        <v/>
      </c>
      <c r="H35" s="51" t="str">
        <f>IF(COUNTBLANK(Games_450[[SCORE 1]:[SCORE 2]])=0,Analysis_1052[[#This Row],[WIN]]*1000000+Analysis_1052[[#This Row],[Saldo]]*1000+Analysis_1052[[#This Row],[PM]],"")</f>
        <v/>
      </c>
      <c r="I35" s="2" t="str">
        <f>H39</f>
        <v/>
      </c>
      <c r="J35" s="2" t="str">
        <f>IF(COUNTBLANK(Games_450[[SCORE 1]:[SCORE 2]])=0,IF(RANK(I35,$I$25:$I$44)=1,RANK(I35,$I$25:$I$44)&amp;"st",IF(RANK(I35,$I$25:$I$44)=2,RANK(I35,$I$25:$I$44)&amp;"nd",IF(RANK(I35,$I$25:$I$44)=3,RANK(I35,$I$25:$I$44)&amp;"rd",RANK(I35,$I$25:$I$44)&amp;"th"))),"")</f>
        <v/>
      </c>
      <c r="K35" s="38" t="str">
        <f>B39</f>
        <v>C1</v>
      </c>
      <c r="M35" s="418" t="s">
        <v>193</v>
      </c>
      <c r="N35" s="418" t="s">
        <v>194</v>
      </c>
      <c r="O35" s="542" t="s">
        <v>195</v>
      </c>
      <c r="P35" s="543"/>
      <c r="Q35" s="418" t="s">
        <v>196</v>
      </c>
      <c r="R35" s="418" t="s">
        <v>197</v>
      </c>
      <c r="T35" s="90" t="str" cm="1">
        <f t="array" ref="T35">IF(O26="","",IF(O26="lose",CHOOSE({1,2},M25,N25),CHOOSE({1,2},Q25,R25)))</f>
        <v/>
      </c>
      <c r="U35" s="90"/>
      <c r="V35" s="90" t="str" cm="1">
        <f t="array" ref="V35">IF(O31="","",IF(O31="lose",CHOOSE({1,2},N30,M30),CHOOSE({1,2},Q30,R30)))</f>
        <v/>
      </c>
      <c r="W35" s="90"/>
      <c r="X35" s="90"/>
      <c r="Y35" s="90"/>
      <c r="Z35" s="90"/>
      <c r="AA35" s="90"/>
    </row>
    <row r="36" spans="1:27">
      <c r="A36" s="430" t="s">
        <v>231</v>
      </c>
      <c r="B36" s="128" t="s">
        <v>231</v>
      </c>
      <c r="C36" s="14">
        <f>SUM(COUNTIFS(Games_450[ATHLETE 1],Analysis_1052[[#This Row],[Atheletes ]],Games_450[RESULT 12],Analysis_951[[#Headers],[WIN]]),COUNTIFS(Games_450[ATHLETE 2],Analysis_1052[[#This Row],[Atheletes ]],Games_450[RESULT 12],Analysis_951[[#Headers],[WIN]]),COUNTIFS(Games_450[ATHLETE 3],Analysis_1052[[#This Row],[Atheletes ]],Games_450[RESULT 34],Analysis_951[[#Headers],[WIN]]),COUNTIFS(Games_450[ATHLETE 4],Analysis_1052[[#This Row],[Atheletes ]],Games_450[RESULT 34],Analysis_951[[#Headers],[WIN]]))</f>
        <v>0</v>
      </c>
      <c r="D36" s="14">
        <f>SUM(COUNTIFS(Games_450[ATHLETE 1],Analysis_1052[[#This Row],[Atheletes ]],Games_450[RESULT 12],Analysis_951[[#Headers],[LOSE]]),COUNTIFS(Games_450[ATHLETE 2],Analysis_1052[[#This Row],[Atheletes ]],Games_450[RESULT 12],Analysis_951[[#Headers],[LOSE]]),COUNTIFS(Games_450[ATHLETE 3],Analysis_1052[[#This Row],[Atheletes ]],Games_450[RESULT 34],Analysis_951[[#Headers],[LOSE]]),COUNTIFS(Games_450[ATHLETE 4],Analysis_1052[[#This Row],[Atheletes ]],Games_450[RESULT 34],Analysis_951[[#Headers],[LOSE]]))</f>
        <v>0</v>
      </c>
      <c r="E36" s="46">
        <f>SUM(SUMIF(Games_450[ATHLETE 1],Analysis_1052[[#This Row],[Atheletes ]],Games_450[SALDO 12]),SUMIF(Games_450[ATHLETE 2],Analysis_1052[[#This Row],[Atheletes ]],Games_450[SALDO 12]),SUMIF(Games_450[ATHLETE 3],Analysis_1052[[#This Row],[Atheletes ]],Games_450[SALDO 34]),SUMIF(Games_450[ATHLETE 4],Analysis_1052[[#This Row],[Atheletes ]],Games_450[SALDO 34]))</f>
        <v>0</v>
      </c>
      <c r="F36" s="46">
        <f>SUM(SUMIF(Games_450[ATHLETE 1],Analysis_1052[[#This Row],[Atheletes ]],Games_450[PM 12]),SUMIF(Games_450[ATHLETE 2],Analysis_1052[[#This Row],[Atheletes ]],Games_450[PM 12]),SUMIF(Games_450[ATHLETE 3],Analysis_1052[[#This Row],[Atheletes ]],Games_450[PM 34]),SUMIF(Games_450[ATHLETE 4],Analysis_1052[[#This Row],[Atheletes ]],Games_450[PM 34]))</f>
        <v>0</v>
      </c>
      <c r="G36" s="14" t="str">
        <f>IF(COUNTBLANK(Games_450[[SCORE 1]:[SCORE 2]])=0,IF(RANK(H36,$H$32:$H$36)=1,RANK(H36,$H$32:$H$36)&amp;"st",IF(RANK(H36,$H$32:$H$36)=2,RANK(H36,$H$32:$H$36)&amp;"nd",IF(RANK(H36,$H$32:$H$36)=3,RANK(H36,$H$32:$H$36)&amp;"rd",RANK(H36,$H$32:$H$36)&amp;"th"))),"")</f>
        <v/>
      </c>
      <c r="H36" s="51" t="str">
        <f>IF(COUNTBLANK(Games_450[[SCORE 1]:[SCORE 2]])=0,Analysis_1052[[#This Row],[WIN]]*1000000+Analysis_1052[[#This Row],[Saldo]]*1000+Analysis_1052[[#This Row],[PM]],"")</f>
        <v/>
      </c>
      <c r="I36" s="2" t="str">
        <f>H40</f>
        <v/>
      </c>
      <c r="J36" s="2" t="str">
        <f>IF(COUNTBLANK(Games_450[[SCORE 1]:[SCORE 2]])=0,IF(RANK(I36,$I$25:$I$44)=1,RANK(I36,$I$25:$I$44)&amp;"st",IF(RANK(I36,$I$25:$I$44)=2,RANK(I36,$I$25:$I$44)&amp;"nd",IF(RANK(I36,$I$25:$I$44)=3,RANK(I36,$I$25:$I$44)&amp;"rd",RANK(I36,$I$25:$I$44)&amp;"th"))),"")</f>
        <v/>
      </c>
      <c r="K36" s="38" t="str">
        <f t="shared" ref="K36:K39" si="5">B40</f>
        <v>C2</v>
      </c>
      <c r="L36" s="20" t="s">
        <v>192</v>
      </c>
      <c r="M36" s="428" t="str">
        <f>IF($O$26="","",IF($O$26="win",M25,Q25))</f>
        <v/>
      </c>
      <c r="N36" s="428" t="str">
        <f>IF($O$26="","",IF($O$26="win",$N25,$R25))</f>
        <v/>
      </c>
      <c r="O36" s="119"/>
      <c r="P36" s="120"/>
      <c r="Q36" s="428" t="str">
        <f>IF($O$31="","",IF($O$31="win",$M30,$Q30))</f>
        <v/>
      </c>
      <c r="R36" s="428" t="str">
        <f>IF($O$31="","",IF($O$31="win",$N30,$R30))</f>
        <v/>
      </c>
    </row>
    <row r="37" spans="1:27">
      <c r="I37" s="2" t="str">
        <f>H41</f>
        <v/>
      </c>
      <c r="J37" s="2" t="str">
        <f>IF(COUNTBLANK(Games_450[[SCORE 1]:[SCORE 2]])=0,IF(RANK(I37,$I$25:$I$44)=1,RANK(I37,$I$25:$I$44)&amp;"st",IF(RANK(I37,$I$25:$I$44)=2,RANK(I37,$I$25:$I$44)&amp;"nd",IF(RANK(I37,$I$25:$I$44)=3,RANK(I37,$I$25:$I$44)&amp;"rd",RANK(I37,$I$25:$I$44)&amp;"th"))),"")</f>
        <v/>
      </c>
      <c r="K37" s="38" t="str">
        <f t="shared" si="5"/>
        <v>C3</v>
      </c>
      <c r="L37" s="44" t="str">
        <f>J33</f>
        <v/>
      </c>
      <c r="M37" s="62" t="str">
        <f>IF(OR($O$36="",$P$36="",$O$37="win"),"",IF($M$38&gt;$N$38,$U$5,$U$6))</f>
        <v/>
      </c>
      <c r="N37" s="62" t="str">
        <f>IF(OR($O$36="",$P$36="",$O$37="win"),"",IF($M$38&lt;$N$38,$U$5,$U$6))</f>
        <v/>
      </c>
      <c r="O37" s="2" t="str">
        <f>IF(OR(O36="",P36=""),"",IF((O36&gt;P36),"WIN","LOSE"))</f>
        <v/>
      </c>
      <c r="P37" s="2" t="str">
        <f>IF(OR(O36="",P36=""),"",IF((O36&lt;P36),"WIN","LOSE"))</f>
        <v/>
      </c>
      <c r="Q37" s="62" t="str">
        <f>IF(OR($O$36="",$P$36="",$P$37="win"),"",IF($Q$38&gt;$R$38,$U$5,$U$6))</f>
        <v/>
      </c>
      <c r="R37" s="62" t="str">
        <f>IF(OR($O$36="",$P$36="",$P$37="win"),"",IF($Q$38&lt;$R$38,$U$5,$U$6))</f>
        <v/>
      </c>
    </row>
    <row r="38" spans="1:27" ht="15.95">
      <c r="A38" s="9" t="s">
        <v>184</v>
      </c>
      <c r="B38" s="10" t="s">
        <v>185</v>
      </c>
      <c r="C38" s="10" t="s">
        <v>186</v>
      </c>
      <c r="D38" s="10" t="s">
        <v>187</v>
      </c>
      <c r="E38" s="10" t="s">
        <v>188</v>
      </c>
      <c r="F38" s="10" t="s">
        <v>189</v>
      </c>
      <c r="G38" s="7" t="s">
        <v>8</v>
      </c>
      <c r="H38" s="78" t="s">
        <v>204</v>
      </c>
      <c r="I38" s="2" t="str">
        <f>H42</f>
        <v/>
      </c>
      <c r="J38" s="2" t="str">
        <f>IF(COUNTBLANK(Games_450[[SCORE 1]:[SCORE 2]])=0,IF(RANK(I38,$I$25:$I$44)=1,RANK(I38,$I$25:$I$44)&amp;"st",IF(RANK(I38,$I$25:$I$44)=2,RANK(I38,$I$25:$I$44)&amp;"nd",IF(RANK(I38,$I$25:$I$44)=3,RANK(I38,$I$25:$I$44)&amp;"rd",RANK(I38,$I$25:$I$44)&amp;"th"))),"")</f>
        <v/>
      </c>
      <c r="K38" s="38" t="str">
        <f t="shared" si="5"/>
        <v>C4</v>
      </c>
      <c r="L38" s="44" t="str">
        <f t="shared" ref="L38:L40" si="6">J34</f>
        <v/>
      </c>
      <c r="M38" s="91" t="str">
        <f>IF(M39="","",_xlfn.XLOOKUP(M39,$K$25:$K$40,$I$25:$I$40))</f>
        <v/>
      </c>
      <c r="N38" s="91" t="str">
        <f>IF(N39="","",_xlfn.XLOOKUP(N39,$K$25:$K$40,$I$25:$I$40))</f>
        <v/>
      </c>
      <c r="O38" s="91"/>
      <c r="P38" s="91"/>
      <c r="Q38" s="91" t="str">
        <f>IF(Q39="","",_xlfn.XLOOKUP(Q39,$K$25:$K$44,$I$25:$I$44))</f>
        <v/>
      </c>
      <c r="R38" s="91" t="str">
        <f>IF(R39="","",_xlfn.XLOOKUP(R39,$K$25:$K$44,$I$25:$I$44))</f>
        <v/>
      </c>
    </row>
    <row r="39" spans="1:27">
      <c r="A39" s="430" t="s">
        <v>213</v>
      </c>
      <c r="B39" s="118" t="s">
        <v>213</v>
      </c>
      <c r="C39" s="14">
        <f>SUM(COUNTIFS(Games_450[ATHLETE 1],Analysis_1154[[#This Row],[Atheletes ]],Games_450[RESULT 12],Analysis_951[[#Headers],[WIN]]),COUNTIFS(Games_450[ATHLETE 2],Analysis_1154[[#This Row],[Atheletes ]],Games_450[RESULT 12],Analysis_951[[#Headers],[WIN]]),COUNTIFS(Games_450[ATHLETE 3],Analysis_1154[[#This Row],[Atheletes ]],Games_450[RESULT 34],Analysis_951[[#Headers],[WIN]]),COUNTIFS(Games_450[ATHLETE 4],Analysis_1154[[#This Row],[Atheletes ]],Games_450[RESULT 34],Analysis_951[[#Headers],[WIN]]))</f>
        <v>0</v>
      </c>
      <c r="D39" s="14">
        <f>SUM(COUNTIFS(Games_450[ATHLETE 1],Analysis_1154[[#This Row],[Atheletes ]],Games_450[RESULT 12],Analysis_951[[#Headers],[LOSE]]),COUNTIFS(Games_450[ATHLETE 2],Analysis_1154[[#This Row],[Atheletes ]],Games_450[RESULT 12],Analysis_951[[#Headers],[LOSE]]),COUNTIFS(Games_450[ATHLETE 3],Analysis_1154[[#This Row],[Atheletes ]],Games_450[RESULT 34],Analysis_951[[#Headers],[LOSE]]),COUNTIFS(Games_450[ATHLETE 4],Analysis_1154[[#This Row],[Atheletes ]],Games_450[RESULT 34],Analysis_951[[#Headers],[LOSE]]))</f>
        <v>0</v>
      </c>
      <c r="E39" s="19">
        <f>SUM(SUMIF(Games_450[ATHLETE 1],Analysis_1154[[#This Row],[Atheletes ]],Games_450[SALDO 12]),SUMIF(Games_450[ATHLETE 2],Analysis_1154[[#This Row],[Atheletes ]],Games_450[SALDO 12]),SUMIF(Games_450[ATHLETE 3],Analysis_1154[[#This Row],[Atheletes ]],Games_450[SALDO 34]),SUMIF(Games_450[ATHLETE 4],Analysis_1154[[#This Row],[Atheletes ]],Games_450[SALDO 34]))</f>
        <v>0</v>
      </c>
      <c r="F39" s="19">
        <f>SUM(SUMIF(Games_450[ATHLETE 1],Analysis_1154[[#This Row],[Atheletes ]],Games_450[PM 12]),SUMIF(Games_450[ATHLETE 2],Analysis_1154[[#This Row],[Atheletes ]],Games_450[PM 12]),SUMIF(Games_450[ATHLETE 3],Analysis_1154[[#This Row],[Atheletes ]],Games_450[PM 34]),SUMIF(Games_450[ATHLETE 4],Analysis_1154[[#This Row],[Atheletes ]],Games_450[PM 34]))</f>
        <v>0</v>
      </c>
      <c r="G39" s="14" t="str">
        <f>IF(COUNTBLANK(Games_450[[SCORE 1]:[SCORE 2]])=0,IF(RANK(H39,$H$39:$H$43)=1,RANK(H39,$H$39:$H$43)&amp;"st",IF(RANK(H39,$H$39:$H$43)=2,RANK(H39,$H$39:$H$43)&amp;"nd",IF(RANK(H39,$H$39:$H$43)=3,RANK(H39,$H$39:$H$43)&amp;"rd",RANK(H39,$H$39:$H$43)&amp;"th"))),"")</f>
        <v/>
      </c>
      <c r="H39" s="51" t="str">
        <f>IF(COUNTBLANK(Games_450[[SCORE 1]:[SCORE 2]])=0,Analysis_1154[[#This Row],[WIN]]*1000000+Analysis_1154[[#This Row],[Saldo]]*1000+Analysis_1154[[#This Row],[PM]],"")</f>
        <v/>
      </c>
      <c r="I39" s="2" t="str">
        <f>H43</f>
        <v/>
      </c>
      <c r="J39" s="2" t="str">
        <f>IF(COUNTBLANK(Games_450[[SCORE 1]:[SCORE 2]])=0,IF(RANK(I39,$I$25:$I$44)=1,RANK(I39,$I$25:$I$44)&amp;"st",IF(RANK(I39,$I$25:$I$44)=2,RANK(I39,$I$25:$I$44)&amp;"nd",IF(RANK(I39,$I$25:$I$44)=3,RANK(I39,$I$25:$I$44)&amp;"rd",RANK(I39,$I$25:$I$44)&amp;"th"))),"")</f>
        <v/>
      </c>
      <c r="K39" s="38" t="str">
        <f t="shared" si="5"/>
        <v>C5</v>
      </c>
      <c r="L39" s="44" t="str">
        <f t="shared" si="6"/>
        <v/>
      </c>
      <c r="M39" s="91" t="str">
        <f>$M$36</f>
        <v/>
      </c>
      <c r="N39" s="91" t="str">
        <f>$N$36</f>
        <v/>
      </c>
      <c r="O39" s="91"/>
      <c r="P39" s="91"/>
      <c r="Q39" s="91" t="str">
        <f>$Q$36</f>
        <v/>
      </c>
      <c r="R39" s="91" t="str">
        <f>$R$36</f>
        <v/>
      </c>
    </row>
    <row r="40" spans="1:27">
      <c r="A40" s="430" t="s">
        <v>214</v>
      </c>
      <c r="B40" s="118" t="s">
        <v>214</v>
      </c>
      <c r="C40" s="14">
        <f>SUM(COUNTIFS(Games_450[ATHLETE 1],Analysis_1154[[#This Row],[Atheletes ]],Games_450[RESULT 12],Analysis_951[[#Headers],[WIN]]),COUNTIFS(Games_450[ATHLETE 2],Analysis_1154[[#This Row],[Atheletes ]],Games_450[RESULT 12],Analysis_951[[#Headers],[WIN]]),COUNTIFS(Games_450[ATHLETE 3],Analysis_1154[[#This Row],[Atheletes ]],Games_450[RESULT 34],Analysis_951[[#Headers],[WIN]]),COUNTIFS(Games_450[ATHLETE 4],Analysis_1154[[#This Row],[Atheletes ]],Games_450[RESULT 34],Analysis_951[[#Headers],[WIN]]))</f>
        <v>0</v>
      </c>
      <c r="D40" s="14">
        <f>SUM(COUNTIFS(Games_450[ATHLETE 1],Analysis_1154[[#This Row],[Atheletes ]],Games_450[RESULT 12],Analysis_951[[#Headers],[LOSE]]),COUNTIFS(Games_450[ATHLETE 2],Analysis_1154[[#This Row],[Atheletes ]],Games_450[RESULT 12],Analysis_951[[#Headers],[LOSE]]),COUNTIFS(Games_450[ATHLETE 3],Analysis_1154[[#This Row],[Atheletes ]],Games_450[RESULT 34],Analysis_951[[#Headers],[LOSE]]),COUNTIFS(Games_450[ATHLETE 4],Analysis_1154[[#This Row],[Atheletes ]],Games_450[RESULT 34],Analysis_951[[#Headers],[LOSE]]))</f>
        <v>0</v>
      </c>
      <c r="E40" s="19">
        <f>SUM(SUMIF(Games_450[ATHLETE 1],Analysis_1154[[#This Row],[Atheletes ]],Games_450[SALDO 12]),SUMIF(Games_450[ATHLETE 2],Analysis_1154[[#This Row],[Atheletes ]],Games_450[SALDO 12]),SUMIF(Games_450[ATHLETE 3],Analysis_1154[[#This Row],[Atheletes ]],Games_450[SALDO 34]),SUMIF(Games_450[ATHLETE 4],Analysis_1154[[#This Row],[Atheletes ]],Games_450[SALDO 34]))</f>
        <v>0</v>
      </c>
      <c r="F40" s="19">
        <f>SUM(SUMIF(Games_450[ATHLETE 1],Analysis_1154[[#This Row],[Atheletes ]],Games_450[PM 12]),SUMIF(Games_450[ATHLETE 2],Analysis_1154[[#This Row],[Atheletes ]],Games_450[PM 12]),SUMIF(Games_450[ATHLETE 3],Analysis_1154[[#This Row],[Atheletes ]],Games_450[PM 34]),SUMIF(Games_450[ATHLETE 4],Analysis_1154[[#This Row],[Atheletes ]],Games_450[PM 34]))</f>
        <v>0</v>
      </c>
      <c r="G40" s="14" t="str">
        <f>IF(COUNTBLANK(Games_450[[SCORE 1]:[SCORE 2]])=0,IF(RANK(H40,$H$39:$H$43)=1,RANK(H40,$H$39:$H$43)&amp;"st",IF(RANK(H40,$H$39:$H$43)=2,RANK(H40,$H$39:$H$43)&amp;"nd",IF(RANK(H40,$H$39:$H$43)=3,RANK(H40,$H$39:$H$43)&amp;"rd",RANK(H40,$H$39:$H$43)&amp;"th"))),"")</f>
        <v/>
      </c>
      <c r="H40" s="51" t="str">
        <f>IF(COUNTBLANK(Games_450[[SCORE 1]:[SCORE 2]])=0,Analysis_1154[[#This Row],[WIN]]*1000000+Analysis_1154[[#This Row],[Saldo]]*1000+Analysis_1154[[#This Row],[PM]],"")</f>
        <v/>
      </c>
      <c r="I40" s="2" t="str">
        <f>H46</f>
        <v/>
      </c>
      <c r="J40" s="2" t="str">
        <f>IF(COUNTBLANK(Games_450[[SCORE 1]:[SCORE 2]])=0,IF(RANK(I40,$I$25:$I$44)=1,RANK(I40,$I$25:$I$44)&amp;"st",IF(RANK(I40,$I$25:$I$44)=2,RANK(I40,$I$25:$I$44)&amp;"nd",IF(RANK(I40,$I$25:$I$44)=3,RANK(I40,$I$25:$I$44)&amp;"rd",RANK(I40,$I$25:$I$44)&amp;"th"))),"")</f>
        <v/>
      </c>
      <c r="K40" s="38" t="str">
        <f>B46</f>
        <v>D1</v>
      </c>
      <c r="L40" s="44" t="str">
        <f t="shared" si="6"/>
        <v/>
      </c>
      <c r="M40" s="91" t="str">
        <f>IF(M38="","",RANK(M38,$M$38:$R$38))</f>
        <v/>
      </c>
      <c r="N40" s="91" t="str">
        <f>IF(N38="","",RANK(N38,$M$38:$R$38))</f>
        <v/>
      </c>
      <c r="O40" s="91"/>
      <c r="P40" s="91"/>
      <c r="Q40" s="91" t="str">
        <f>IF(Q38="","",RANK(Q38,$M$38:$R$38))</f>
        <v/>
      </c>
      <c r="R40" s="91" t="str">
        <f>IF(R38="","",RANK(R38,$M$38:$R$38))</f>
        <v/>
      </c>
    </row>
    <row r="41" spans="1:27" ht="29.1">
      <c r="A41" s="430" t="s">
        <v>216</v>
      </c>
      <c r="B41" s="118" t="s">
        <v>216</v>
      </c>
      <c r="C41" s="14">
        <f>SUM(COUNTIFS(Games_450[ATHLETE 1],Analysis_1154[[#This Row],[Atheletes ]],Games_450[RESULT 12],Analysis_951[[#Headers],[WIN]]),COUNTIFS(Games_450[ATHLETE 2],Analysis_1154[[#This Row],[Atheletes ]],Games_450[RESULT 12],Analysis_951[[#Headers],[WIN]]),COUNTIFS(Games_450[ATHLETE 3],Analysis_1154[[#This Row],[Atheletes ]],Games_450[RESULT 34],Analysis_951[[#Headers],[WIN]]),COUNTIFS(Games_450[ATHLETE 4],Analysis_1154[[#This Row],[Atheletes ]],Games_450[RESULT 34],Analysis_951[[#Headers],[WIN]]))</f>
        <v>0</v>
      </c>
      <c r="D41" s="14">
        <f>SUM(COUNTIFS(Games_450[ATHLETE 1],Analysis_1154[[#This Row],[Atheletes ]],Games_450[RESULT 12],Analysis_951[[#Headers],[LOSE]]),COUNTIFS(Games_450[ATHLETE 2],Analysis_1154[[#This Row],[Atheletes ]],Games_450[RESULT 12],Analysis_951[[#Headers],[LOSE]]),COUNTIFS(Games_450[ATHLETE 3],Analysis_1154[[#This Row],[Atheletes ]],Games_450[RESULT 34],Analysis_951[[#Headers],[LOSE]]),COUNTIFS(Games_450[ATHLETE 4],Analysis_1154[[#This Row],[Atheletes ]],Games_450[RESULT 34],Analysis_951[[#Headers],[LOSE]]))</f>
        <v>0</v>
      </c>
      <c r="E41" s="19">
        <f>SUM(SUMIF(Games_450[ATHLETE 1],Analysis_1154[[#This Row],[Atheletes ]],Games_450[SALDO 12]),SUMIF(Games_450[ATHLETE 2],Analysis_1154[[#This Row],[Atheletes ]],Games_450[SALDO 12]),SUMIF(Games_450[ATHLETE 3],Analysis_1154[[#This Row],[Atheletes ]],Games_450[SALDO 34]),SUMIF(Games_450[ATHLETE 4],Analysis_1154[[#This Row],[Atheletes ]],Games_450[SALDO 34]))</f>
        <v>0</v>
      </c>
      <c r="F41" s="19">
        <f>SUM(SUMIF(Games_450[ATHLETE 1],Analysis_1154[[#This Row],[Atheletes ]],Games_450[PM 12]),SUMIF(Games_450[ATHLETE 2],Analysis_1154[[#This Row],[Atheletes ]],Games_450[PM 12]),SUMIF(Games_450[ATHLETE 3],Analysis_1154[[#This Row],[Atheletes ]],Games_450[PM 34]),SUMIF(Games_450[ATHLETE 4],Analysis_1154[[#This Row],[Atheletes ]],Games_450[PM 34]))</f>
        <v>0</v>
      </c>
      <c r="G41" s="14" t="str">
        <f>IF(COUNTBLANK(Games_450[[SCORE 1]:[SCORE 2]])=0,IF(RANK(H41,$H$39:$H$43)=1,RANK(H41,$H$39:$H$43)&amp;"st",IF(RANK(H41,$H$39:$H$43)=2,RANK(H41,$H$39:$H$43)&amp;"nd",IF(RANK(H41,$H$39:$H$43)=3,RANK(H41,$H$39:$H$43)&amp;"rd",RANK(H41,$H$39:$H$43)&amp;"th"))),"")</f>
        <v/>
      </c>
      <c r="H41" s="51" t="str">
        <f>IF(COUNTBLANK(Games_450[[SCORE 1]:[SCORE 2]])=0,Analysis_1154[[#This Row],[WIN]]*1000000+Analysis_1154[[#This Row],[Saldo]]*1000+Analysis_1154[[#This Row],[PM]],"")</f>
        <v/>
      </c>
      <c r="I41" s="2" t="str">
        <f>H47</f>
        <v/>
      </c>
      <c r="J41" s="2" t="str">
        <f>IF(COUNTBLANK(Games_450[[SCORE 1]:[SCORE 2]])=0,IF(RANK(I41,$I$25:$I$44)=1,RANK(I41,$I$25:$I$44)&amp;"st",IF(RANK(I41,$I$25:$I$44)=2,RANK(I41,$I$25:$I$44)&amp;"nd",IF(RANK(I41,$I$25:$I$44)=3,RANK(I41,$I$25:$I$44)&amp;"rd",RANK(I41,$I$25:$I$44)&amp;"th"))),"")</f>
        <v/>
      </c>
      <c r="K41" s="38" t="str">
        <f t="shared" ref="K41:K43" si="7">B47</f>
        <v>D2</v>
      </c>
      <c r="M41" s="548" t="s">
        <v>200</v>
      </c>
      <c r="N41" s="549"/>
      <c r="O41" s="549"/>
      <c r="P41" s="549"/>
      <c r="Q41" s="549"/>
      <c r="R41" s="549"/>
    </row>
    <row r="42" spans="1:27">
      <c r="A42" s="430" t="s">
        <v>217</v>
      </c>
      <c r="B42" s="118" t="s">
        <v>217</v>
      </c>
      <c r="C42" s="14">
        <f>SUM(COUNTIFS(Games_450[ATHLETE 1],Analysis_1154[[#This Row],[Atheletes ]],Games_450[RESULT 12],Analysis_951[[#Headers],[WIN]]),COUNTIFS(Games_450[ATHLETE 2],Analysis_1154[[#This Row],[Atheletes ]],Games_450[RESULT 12],Analysis_951[[#Headers],[WIN]]),COUNTIFS(Games_450[ATHLETE 3],Analysis_1154[[#This Row],[Atheletes ]],Games_450[RESULT 34],Analysis_951[[#Headers],[WIN]]),COUNTIFS(Games_450[ATHLETE 4],Analysis_1154[[#This Row],[Atheletes ]],Games_450[RESULT 34],Analysis_951[[#Headers],[WIN]]))</f>
        <v>0</v>
      </c>
      <c r="D42" s="14">
        <f>SUM(COUNTIFS(Games_450[ATHLETE 1],Analysis_1154[[#This Row],[Atheletes ]],Games_450[RESULT 12],Analysis_951[[#Headers],[LOSE]]),COUNTIFS(Games_450[ATHLETE 2],Analysis_1154[[#This Row],[Atheletes ]],Games_450[RESULT 12],Analysis_951[[#Headers],[LOSE]]),COUNTIFS(Games_450[ATHLETE 3],Analysis_1154[[#This Row],[Atheletes ]],Games_450[RESULT 34],Analysis_951[[#Headers],[LOSE]]),COUNTIFS(Games_450[ATHLETE 4],Analysis_1154[[#This Row],[Atheletes ]],Games_450[RESULT 34],Analysis_951[[#Headers],[LOSE]]))</f>
        <v>0</v>
      </c>
      <c r="E42" s="19">
        <f>SUM(SUMIF(Games_450[ATHLETE 1],Analysis_1154[[#This Row],[Atheletes ]],Games_450[SALDO 12]),SUMIF(Games_450[ATHLETE 2],Analysis_1154[[#This Row],[Atheletes ]],Games_450[SALDO 12]),SUMIF(Games_450[ATHLETE 3],Analysis_1154[[#This Row],[Atheletes ]],Games_450[SALDO 34]),SUMIF(Games_450[ATHLETE 4],Analysis_1154[[#This Row],[Atheletes ]],Games_450[SALDO 34]))</f>
        <v>0</v>
      </c>
      <c r="F42" s="19">
        <f>SUM(SUMIF(Games_450[ATHLETE 1],Analysis_1154[[#This Row],[Atheletes ]],Games_450[PM 12]),SUMIF(Games_450[ATHLETE 2],Analysis_1154[[#This Row],[Atheletes ]],Games_450[PM 12]),SUMIF(Games_450[ATHLETE 3],Analysis_1154[[#This Row],[Atheletes ]],Games_450[PM 34]),SUMIF(Games_450[ATHLETE 4],Analysis_1154[[#This Row],[Atheletes ]],Games_450[PM 34]))</f>
        <v>0</v>
      </c>
      <c r="G42" s="14" t="str">
        <f>IF(COUNTBLANK(Games_450[[SCORE 1]:[SCORE 2]])=0,IF(RANK(H42,$H$39:$H$43)=1,RANK(H42,$H$39:$H$43)&amp;"st",IF(RANK(H42,$H$39:$H$43)=2,RANK(H42,$H$39:$H$43)&amp;"nd",IF(RANK(H42,$H$39:$H$43)=3,RANK(H42,$H$39:$H$43)&amp;"rd",RANK(H42,$H$39:$H$43)&amp;"th"))),"")</f>
        <v/>
      </c>
      <c r="H42" s="51" t="str">
        <f>IF(COUNTBLANK(Games_450[[SCORE 1]:[SCORE 2]])=0,Analysis_1154[[#This Row],[WIN]]*1000000+Analysis_1154[[#This Row],[Saldo]]*1000+Analysis_1154[[#This Row],[PM]],"")</f>
        <v/>
      </c>
      <c r="I42" t="str">
        <f>H48</f>
        <v/>
      </c>
      <c r="J42" s="2" t="str">
        <f>IF(COUNTBLANK(Games_450[[SCORE 1]:[SCORE 2]])=0,IF(RANK(I42,$I$25:$I$44)=1,RANK(I42,$I$25:$I$44)&amp;"st",IF(RANK(I42,$I$25:$I$44)=2,RANK(I42,$I$25:$I$44)&amp;"nd",IF(RANK(I42,$I$25:$I$44)=3,RANK(I42,$I$25:$I$44)&amp;"rd",RANK(I42,$I$25:$I$44)&amp;"th"))),"")</f>
        <v/>
      </c>
      <c r="K42" s="38" t="str">
        <f t="shared" si="7"/>
        <v>D3</v>
      </c>
      <c r="L42" s="20" t="s">
        <v>192</v>
      </c>
      <c r="M42" s="418" t="s">
        <v>193</v>
      </c>
      <c r="N42" s="418" t="s">
        <v>194</v>
      </c>
      <c r="O42" s="542" t="s">
        <v>195</v>
      </c>
      <c r="P42" s="543"/>
      <c r="Q42" s="418" t="s">
        <v>196</v>
      </c>
      <c r="R42" s="418" t="s">
        <v>197</v>
      </c>
    </row>
    <row r="43" spans="1:27">
      <c r="A43" s="430" t="s">
        <v>232</v>
      </c>
      <c r="B43" s="118" t="s">
        <v>232</v>
      </c>
      <c r="C43" s="14">
        <f>SUM(COUNTIFS(Games_450[ATHLETE 1],Analysis_1154[[#This Row],[Atheletes ]],Games_450[RESULT 12],Analysis_951[[#Headers],[WIN]]),COUNTIFS(Games_450[ATHLETE 2],Analysis_1154[[#This Row],[Atheletes ]],Games_450[RESULT 12],Analysis_951[[#Headers],[WIN]]),COUNTIFS(Games_450[ATHLETE 3],Analysis_1154[[#This Row],[Atheletes ]],Games_450[RESULT 34],Analysis_951[[#Headers],[WIN]]),COUNTIFS(Games_450[ATHLETE 4],Analysis_1154[[#This Row],[Atheletes ]],Games_450[RESULT 34],Analysis_951[[#Headers],[WIN]]))</f>
        <v>0</v>
      </c>
      <c r="D43" s="14">
        <f>SUM(COUNTIFS(Games_450[ATHLETE 1],Analysis_1154[[#This Row],[Atheletes ]],Games_450[RESULT 12],Analysis_951[[#Headers],[LOSE]]),COUNTIFS(Games_450[ATHLETE 2],Analysis_1154[[#This Row],[Atheletes ]],Games_450[RESULT 12],Analysis_951[[#Headers],[LOSE]]),COUNTIFS(Games_450[ATHLETE 3],Analysis_1154[[#This Row],[Atheletes ]],Games_450[RESULT 34],Analysis_951[[#Headers],[LOSE]]),COUNTIFS(Games_450[ATHLETE 4],Analysis_1154[[#This Row],[Atheletes ]],Games_450[RESULT 34],Analysis_951[[#Headers],[LOSE]]))</f>
        <v>0</v>
      </c>
      <c r="E43" s="19">
        <f>SUM(SUMIF(Games_450[ATHLETE 1],Analysis_1154[[#This Row],[Atheletes ]],Games_450[SALDO 12]),SUMIF(Games_450[ATHLETE 2],Analysis_1154[[#This Row],[Atheletes ]],Games_450[SALDO 12]),SUMIF(Games_450[ATHLETE 3],Analysis_1154[[#This Row],[Atheletes ]],Games_450[SALDO 34]),SUMIF(Games_450[ATHLETE 4],Analysis_1154[[#This Row],[Atheletes ]],Games_450[SALDO 34]))</f>
        <v>0</v>
      </c>
      <c r="F43" s="19">
        <f>SUM(SUMIF(Games_450[ATHLETE 1],Analysis_1154[[#This Row],[Atheletes ]],Games_450[PM 12]),SUMIF(Games_450[ATHLETE 2],Analysis_1154[[#This Row],[Atheletes ]],Games_450[PM 12]),SUMIF(Games_450[ATHLETE 3],Analysis_1154[[#This Row],[Atheletes ]],Games_450[PM 34]),SUMIF(Games_450[ATHLETE 4],Analysis_1154[[#This Row],[Atheletes ]],Games_450[PM 34]))</f>
        <v>0</v>
      </c>
      <c r="G43" s="14" t="str">
        <f>IF(COUNTBLANK(Games_450[[SCORE 1]:[SCORE 2]])=0,IF(RANK(H43,$H$39:$H$43)=1,RANK(H43,$H$39:$H$43)&amp;"st",IF(RANK(H43,$H$39:$H$43)=2,RANK(H43,$H$39:$H$43)&amp;"nd",IF(RANK(H43,$H$39:$H$43)=3,RANK(H43,$H$39:$H$43)&amp;"rd",RANK(H43,$H$39:$H$43)&amp;"th"))),"")</f>
        <v/>
      </c>
      <c r="H43" s="51" t="str">
        <f>IF(COUNTBLANK(Games_450[[SCORE 1]:[SCORE 2]])=0,Analysis_1154[[#This Row],[WIN]]*1000000+Analysis_1154[[#This Row],[Saldo]]*1000+Analysis_1154[[#This Row],[PM]],"")</f>
        <v/>
      </c>
      <c r="I43" t="str">
        <f>H49</f>
        <v/>
      </c>
      <c r="J43" s="2" t="str">
        <f>IF(COUNTBLANK(Games_450[[SCORE 1]:[SCORE 2]])=0,IF(RANK(I43,$I$25:$I$44)=1,RANK(I43,$I$25:$I$44)&amp;"st",IF(RANK(I43,$I$25:$I$44)=2,RANK(I43,$I$25:$I$44)&amp;"nd",IF(RANK(I43,$I$25:$I$44)=3,RANK(I43,$I$25:$I$44)&amp;"rd",RANK(I43,$I$25:$I$44)&amp;"th"))),"")</f>
        <v/>
      </c>
      <c r="K43" s="38" t="str">
        <f t="shared" si="7"/>
        <v>D4</v>
      </c>
      <c r="L43" s="44" t="str">
        <f>J37</f>
        <v/>
      </c>
      <c r="M43" s="432" t="str">
        <f>IF(OR($O$36="",$P$36=""),"",IF($O$37="WIN",$M$36,$Q$36))</f>
        <v/>
      </c>
      <c r="N43" s="121"/>
      <c r="O43" s="119"/>
      <c r="P43" s="119"/>
      <c r="Q43" s="432" t="str">
        <f>IF(OR($O$36="",$P$36=""),"",IF($O$37="WIN",$N$36,$R$36))</f>
        <v/>
      </c>
      <c r="R43" s="122"/>
    </row>
    <row r="44" spans="1:27">
      <c r="I44" s="2" t="str">
        <f>H50</f>
        <v/>
      </c>
      <c r="J44" s="2" t="str">
        <f>IF(COUNTBLANK(Games_450[[SCORE 1]:[SCORE 2]])=0,IF(RANK(I44,$I$25:$I$44)=1,RANK(I44,$I$25:$I$44)&amp;"st",IF(RANK(I44,$I$25:$I$44)=2,RANK(I44,$I$25:$I$44)&amp;"nd",IF(RANK(I44,$I$25:$I$44)=3,RANK(I44,$I$25:$I$44)&amp;"rd",RANK(I44,$I$25:$I$44)&amp;"th"))),"")</f>
        <v/>
      </c>
      <c r="K44" s="38" t="str">
        <f>B50</f>
        <v>D5</v>
      </c>
      <c r="L44" s="44" t="str">
        <f t="shared" ref="L44:L46" si="8">J38</f>
        <v/>
      </c>
      <c r="M44" s="125" t="str">
        <f>IF(O44="","",IF(O44="win",$U$3,$U$4))</f>
        <v/>
      </c>
      <c r="O44" s="2" t="str">
        <f>IF(OR(O43="",P43=""),"",IF((O43&gt;P43),"WIN","LOSE"))</f>
        <v/>
      </c>
      <c r="P44" s="2" t="str">
        <f>IF(OR(O43="",P43=""),"",IF((O43&lt;P43),"WIN","LOSE"))</f>
        <v/>
      </c>
      <c r="Q44" s="125" t="str">
        <f>IF(P44="","",IF(P44="win",$U$3,$U$4))</f>
        <v/>
      </c>
    </row>
    <row r="45" spans="1:27" ht="15.95">
      <c r="A45" s="9" t="s">
        <v>184</v>
      </c>
      <c r="B45" s="10" t="s">
        <v>185</v>
      </c>
      <c r="C45" s="10" t="s">
        <v>186</v>
      </c>
      <c r="D45" s="10" t="s">
        <v>187</v>
      </c>
      <c r="E45" s="10" t="s">
        <v>188</v>
      </c>
      <c r="F45" s="10" t="s">
        <v>189</v>
      </c>
      <c r="G45" s="7" t="s">
        <v>8</v>
      </c>
      <c r="H45" s="20" t="s">
        <v>204</v>
      </c>
      <c r="L45" s="44" t="str">
        <f t="shared" si="8"/>
        <v/>
      </c>
    </row>
    <row r="46" spans="1:27">
      <c r="A46" s="430" t="s">
        <v>233</v>
      </c>
      <c r="B46" s="118" t="s">
        <v>233</v>
      </c>
      <c r="C46" s="14">
        <f>SUM(COUNTIFS(Games_450[ATHLETE 1],Analysis_1255[[#This Row],[Atheletes ]],Games_450[RESULT 12],Analysis_951[[#Headers],[WIN]]),COUNTIFS(Games_450[ATHLETE 2],Analysis_1255[[#This Row],[Atheletes ]],Games_450[RESULT 12],Analysis_951[[#Headers],[WIN]]),COUNTIFS(Games_450[ATHLETE 3],Analysis_1255[[#This Row],[Atheletes ]],Games_450[RESULT 34],Analysis_951[[#Headers],[WIN]]),COUNTIFS(Games_450[ATHLETE 4],Analysis_1255[[#This Row],[Atheletes ]],Games_450[RESULT 34],Analysis_951[[#Headers],[WIN]]))</f>
        <v>0</v>
      </c>
      <c r="D46" s="14">
        <f>SUM(COUNTIFS(Games_450[ATHLETE 1],Analysis_1255[[#This Row],[Atheletes ]],Games_450[RESULT 12],Analysis_951[[#Headers],[LOSE]]),COUNTIFS(Games_450[ATHLETE 2],Analysis_1255[[#This Row],[Atheletes ]],Games_450[RESULT 12],Analysis_951[[#Headers],[LOSE]]),COUNTIFS(Games_450[ATHLETE 3],Analysis_1255[[#This Row],[Atheletes ]],Games_450[RESULT 34],Analysis_951[[#Headers],[LOSE]]),COUNTIFS(Games_450[ATHLETE 4],Analysis_1255[[#This Row],[Atheletes ]],Games_450[RESULT 34],Analysis_951[[#Headers],[LOSE]]))</f>
        <v>0</v>
      </c>
      <c r="E46" s="19">
        <f>SUM(SUMIF(Games_450[ATHLETE 1],Analysis_1255[[#This Row],[Atheletes ]],Games_450[SALDO 12]),SUMIF(Games_450[ATHLETE 2],Analysis_1255[[#This Row],[Atheletes ]],Games_450[SALDO 12]),SUMIF(Games_450[ATHLETE 3],Analysis_1255[[#This Row],[Atheletes ]],Games_450[SALDO 34]),SUMIF(Games_450[ATHLETE 4],Analysis_1255[[#This Row],[Atheletes ]],Games_450[SALDO 34]))</f>
        <v>0</v>
      </c>
      <c r="F46" s="19">
        <f>SUM(SUMIF(Games_450[ATHLETE 1],Analysis_1255[[#This Row],[Atheletes ]],Games_450[PM 12]),SUMIF(Games_450[ATHLETE 2],Analysis_1255[[#This Row],[Atheletes ]],Games_450[PM 12]),SUMIF(Games_450[ATHLETE 3],Analysis_1255[[#This Row],[Atheletes ]],Games_450[PM 34]),SUMIF(Games_450[ATHLETE 4],Analysis_1255[[#This Row],[Atheletes ]],Games_450[PM 34]))</f>
        <v>0</v>
      </c>
      <c r="G46" s="14" t="str">
        <f>IF(COUNTBLANK(Games_450[[SCORE 1]:[SCORE 2]])=0,IF(RANK(H46,$H$46:$H$50)=1,RANK(H46,$H$46:$H$50)&amp;"st",IF(RANK(H46,$H$46:$H$50)=2,RANK(H46,$H$46:$H$50)&amp;"nd",IF(RANK(H46,$H$46:$H$50)=3,RANK(H46,$H$46:$H$50)&amp;"rd",RANK(H46,$H$46:$H$50)&amp;"th"))),"")</f>
        <v/>
      </c>
      <c r="H46" s="51" t="str">
        <f>IF(COUNTBLANK(Games_450[[SCORE 1]:[SCORE 2]])=0,Analysis_1255[[#This Row],[WIN]]*1000000+Analysis_1255[[#This Row],[Saldo]]*1000+Analysis_1255[[#This Row],[PM]],"")</f>
        <v/>
      </c>
      <c r="L46" s="44" t="str">
        <f t="shared" si="8"/>
        <v/>
      </c>
    </row>
    <row r="47" spans="1:27">
      <c r="A47" s="430" t="s">
        <v>234</v>
      </c>
      <c r="B47" s="118" t="s">
        <v>234</v>
      </c>
      <c r="C47" s="14">
        <f>SUM(COUNTIFS(Games_450[ATHLETE 1],Analysis_1255[[#This Row],[Atheletes ]],Games_450[RESULT 12],Analysis_951[[#Headers],[WIN]]),COUNTIFS(Games_450[ATHLETE 2],Analysis_1255[[#This Row],[Atheletes ]],Games_450[RESULT 12],Analysis_951[[#Headers],[WIN]]),COUNTIFS(Games_450[ATHLETE 3],Analysis_1255[[#This Row],[Atheletes ]],Games_450[RESULT 34],Analysis_951[[#Headers],[WIN]]),COUNTIFS(Games_450[ATHLETE 4],Analysis_1255[[#This Row],[Atheletes ]],Games_450[RESULT 34],Analysis_951[[#Headers],[WIN]]))</f>
        <v>0</v>
      </c>
      <c r="D47" s="14">
        <f>SUM(COUNTIFS(Games_450[ATHLETE 1],Analysis_1255[[#This Row],[Atheletes ]],Games_450[RESULT 12],Analysis_951[[#Headers],[LOSE]]),COUNTIFS(Games_450[ATHLETE 2],Analysis_1255[[#This Row],[Atheletes ]],Games_450[RESULT 12],Analysis_951[[#Headers],[LOSE]]),COUNTIFS(Games_450[ATHLETE 3],Analysis_1255[[#This Row],[Atheletes ]],Games_450[RESULT 34],Analysis_951[[#Headers],[LOSE]]),COUNTIFS(Games_450[ATHLETE 4],Analysis_1255[[#This Row],[Atheletes ]],Games_450[RESULT 34],Analysis_951[[#Headers],[LOSE]]))</f>
        <v>0</v>
      </c>
      <c r="E47" s="19">
        <f>SUM(SUMIF(Games_450[ATHLETE 1],Analysis_1255[[#This Row],[Atheletes ]],Games_450[SALDO 12]),SUMIF(Games_450[ATHLETE 2],Analysis_1255[[#This Row],[Atheletes ]],Games_450[SALDO 12]),SUMIF(Games_450[ATHLETE 3],Analysis_1255[[#This Row],[Atheletes ]],Games_450[SALDO 34]),SUMIF(Games_450[ATHLETE 4],Analysis_1255[[#This Row],[Atheletes ]],Games_450[SALDO 34]))</f>
        <v>0</v>
      </c>
      <c r="F47" s="19">
        <f>SUM(SUMIF(Games_450[ATHLETE 1],Analysis_1255[[#This Row],[Atheletes ]],Games_450[PM 12]),SUMIF(Games_450[ATHLETE 2],Analysis_1255[[#This Row],[Atheletes ]],Games_450[PM 12]),SUMIF(Games_450[ATHLETE 3],Analysis_1255[[#This Row],[Atheletes ]],Games_450[PM 34]),SUMIF(Games_450[ATHLETE 4],Analysis_1255[[#This Row],[Atheletes ]],Games_450[PM 34]))</f>
        <v>0</v>
      </c>
      <c r="G47" s="14" t="str">
        <f>IF(COUNTBLANK(Games_450[[SCORE 1]:[SCORE 2]])=0,IF(RANK(H47,$H$46:$H$50)=1,RANK(H47,$H$46:$H$50)&amp;"st",IF(RANK(H47,$H$46:$H$50)=2,RANK(H47,$H$46:$H$50)&amp;"nd",IF(RANK(H47,$H$46:$H$50)=3,RANK(H47,$H$46:$H$50)&amp;"rd",RANK(H47,$H$46:$H$50)&amp;"th"))),"")</f>
        <v/>
      </c>
      <c r="H47" s="51" t="str">
        <f>IF(COUNTBLANK(Games_450[[SCORE 1]:[SCORE 2]])=0,Analysis_1255[[#This Row],[WIN]]*1000000+Analysis_1255[[#This Row],[Saldo]]*1000+Analysis_1255[[#This Row],[PM]],"")</f>
        <v/>
      </c>
    </row>
    <row r="48" spans="1:27">
      <c r="A48" s="430" t="s">
        <v>235</v>
      </c>
      <c r="B48" s="118" t="s">
        <v>235</v>
      </c>
      <c r="C48" s="14">
        <f>SUM(COUNTIFS(Games_450[ATHLETE 1],Analysis_1255[[#This Row],[Atheletes ]],Games_450[RESULT 12],Analysis_951[[#Headers],[WIN]]),COUNTIFS(Games_450[ATHLETE 2],Analysis_1255[[#This Row],[Atheletes ]],Games_450[RESULT 12],Analysis_951[[#Headers],[WIN]]),COUNTIFS(Games_450[ATHLETE 3],Analysis_1255[[#This Row],[Atheletes ]],Games_450[RESULT 34],Analysis_951[[#Headers],[WIN]]),COUNTIFS(Games_450[ATHLETE 4],Analysis_1255[[#This Row],[Atheletes ]],Games_450[RESULT 34],Analysis_951[[#Headers],[WIN]]))</f>
        <v>0</v>
      </c>
      <c r="D48" s="14">
        <f>SUM(COUNTIFS(Games_450[ATHLETE 1],Analysis_1255[[#This Row],[Atheletes ]],Games_450[RESULT 12],Analysis_951[[#Headers],[LOSE]]),COUNTIFS(Games_450[ATHLETE 2],Analysis_1255[[#This Row],[Atheletes ]],Games_450[RESULT 12],Analysis_951[[#Headers],[LOSE]]),COUNTIFS(Games_450[ATHLETE 3],Analysis_1255[[#This Row],[Atheletes ]],Games_450[RESULT 34],Analysis_951[[#Headers],[LOSE]]),COUNTIFS(Games_450[ATHLETE 4],Analysis_1255[[#This Row],[Atheletes ]],Games_450[RESULT 34],Analysis_951[[#Headers],[LOSE]]))</f>
        <v>0</v>
      </c>
      <c r="E48" s="19">
        <f>SUM(SUMIF(Games_450[ATHLETE 1],Analysis_1255[[#This Row],[Atheletes ]],Games_450[SALDO 12]),SUMIF(Games_450[ATHLETE 2],Analysis_1255[[#This Row],[Atheletes ]],Games_450[SALDO 12]),SUMIF(Games_450[ATHLETE 3],Analysis_1255[[#This Row],[Atheletes ]],Games_450[SALDO 34]),SUMIF(Games_450[ATHLETE 4],Analysis_1255[[#This Row],[Atheletes ]],Games_450[SALDO 34]))</f>
        <v>0</v>
      </c>
      <c r="F48" s="19">
        <f>SUM(SUMIF(Games_450[ATHLETE 1],Analysis_1255[[#This Row],[Atheletes ]],Games_450[PM 12]),SUMIF(Games_450[ATHLETE 2],Analysis_1255[[#This Row],[Atheletes ]],Games_450[PM 12]),SUMIF(Games_450[ATHLETE 3],Analysis_1255[[#This Row],[Atheletes ]],Games_450[PM 34]),SUMIF(Games_450[ATHLETE 4],Analysis_1255[[#This Row],[Atheletes ]],Games_450[PM 34]))</f>
        <v>0</v>
      </c>
      <c r="G48" s="14" t="str">
        <f>IF(COUNTBLANK(Games_450[[SCORE 1]:[SCORE 2]])=0,IF(RANK(H48,$H$46:$H$50)=1,RANK(H48,$H$46:$H$50)&amp;"st",IF(RANK(H48,$H$46:$H$50)=2,RANK(H48,$H$46:$H$50)&amp;"nd",IF(RANK(H48,$H$46:$H$50)=3,RANK(H48,$H$46:$H$50)&amp;"rd",RANK(H48,$H$46:$H$50)&amp;"th"))),"")</f>
        <v/>
      </c>
      <c r="H48" s="51" t="str">
        <f>IF(COUNTBLANK(Games_450[[SCORE 1]:[SCORE 2]])=0,Analysis_1255[[#This Row],[WIN]]*1000000+Analysis_1255[[#This Row],[Saldo]]*1000+Analysis_1255[[#This Row],[PM]],"")</f>
        <v/>
      </c>
    </row>
    <row r="49" spans="1:8">
      <c r="A49" s="430" t="s">
        <v>236</v>
      </c>
      <c r="B49" s="118" t="s">
        <v>236</v>
      </c>
      <c r="C49" s="14">
        <f>SUM(COUNTIFS(Games_450[ATHLETE 1],Analysis_1255[[#This Row],[Atheletes ]],Games_450[RESULT 12],Analysis_951[[#Headers],[WIN]]),COUNTIFS(Games_450[ATHLETE 2],Analysis_1255[[#This Row],[Atheletes ]],Games_450[RESULT 12],Analysis_951[[#Headers],[WIN]]),COUNTIFS(Games_450[ATHLETE 3],Analysis_1255[[#This Row],[Atheletes ]],Games_450[RESULT 34],Analysis_951[[#Headers],[WIN]]),COUNTIFS(Games_450[ATHLETE 4],Analysis_1255[[#This Row],[Atheletes ]],Games_450[RESULT 34],Analysis_951[[#Headers],[WIN]]))</f>
        <v>0</v>
      </c>
      <c r="D49" s="14">
        <f>SUM(COUNTIFS(Games_450[ATHLETE 1],Analysis_1255[[#This Row],[Atheletes ]],Games_450[RESULT 12],Analysis_951[[#Headers],[LOSE]]),COUNTIFS(Games_450[ATHLETE 2],Analysis_1255[[#This Row],[Atheletes ]],Games_450[RESULT 12],Analysis_951[[#Headers],[LOSE]]),COUNTIFS(Games_450[ATHLETE 3],Analysis_1255[[#This Row],[Atheletes ]],Games_450[RESULT 34],Analysis_951[[#Headers],[LOSE]]),COUNTIFS(Games_450[ATHLETE 4],Analysis_1255[[#This Row],[Atheletes ]],Games_450[RESULT 34],Analysis_951[[#Headers],[LOSE]]))</f>
        <v>0</v>
      </c>
      <c r="E49" s="19">
        <f>SUM(SUMIF(Games_450[ATHLETE 1],Analysis_1255[[#This Row],[Atheletes ]],Games_450[SALDO 12]),SUMIF(Games_450[ATHLETE 2],Analysis_1255[[#This Row],[Atheletes ]],Games_450[SALDO 12]),SUMIF(Games_450[ATHLETE 3],Analysis_1255[[#This Row],[Atheletes ]],Games_450[SALDO 34]),SUMIF(Games_450[ATHLETE 4],Analysis_1255[[#This Row],[Atheletes ]],Games_450[SALDO 34]))</f>
        <v>0</v>
      </c>
      <c r="F49" s="19">
        <f>SUM(SUMIF(Games_450[ATHLETE 1],Analysis_1255[[#This Row],[Atheletes ]],Games_450[PM 12]),SUMIF(Games_450[ATHLETE 2],Analysis_1255[[#This Row],[Atheletes ]],Games_450[PM 12]),SUMIF(Games_450[ATHLETE 3],Analysis_1255[[#This Row],[Atheletes ]],Games_450[PM 34]),SUMIF(Games_450[ATHLETE 4],Analysis_1255[[#This Row],[Atheletes ]],Games_450[PM 34]))</f>
        <v>0</v>
      </c>
      <c r="G49" s="14" t="str">
        <f>IF(COUNTBLANK(Games_450[[SCORE 1]:[SCORE 2]])=0,IF(RANK(H49,$H$46:$H$50)=1,RANK(H49,$H$46:$H$50)&amp;"st",IF(RANK(H49,$H$46:$H$50)=2,RANK(H49,$H$46:$H$50)&amp;"nd",IF(RANK(H49,$H$46:$H$50)=3,RANK(H49,$H$46:$H$50)&amp;"rd",RANK(H49,$H$46:$H$50)&amp;"th"))),"")</f>
        <v/>
      </c>
      <c r="H49" s="51" t="str">
        <f>IF(COUNTBLANK(Games_450[[SCORE 1]:[SCORE 2]])=0,Analysis_1255[[#This Row],[WIN]]*1000000+Analysis_1255[[#This Row],[Saldo]]*1000+Analysis_1255[[#This Row],[PM]],"")</f>
        <v/>
      </c>
    </row>
    <row r="50" spans="1:8">
      <c r="A50" s="430" t="s">
        <v>237</v>
      </c>
      <c r="B50" s="118" t="s">
        <v>237</v>
      </c>
      <c r="C50" s="14">
        <f>SUM(COUNTIFS(Games_450[ATHLETE 1],Analysis_1255[[#This Row],[Atheletes ]],Games_450[RESULT 12],Analysis_951[[#Headers],[WIN]]),COUNTIFS(Games_450[ATHLETE 2],Analysis_1255[[#This Row],[Atheletes ]],Games_450[RESULT 12],Analysis_951[[#Headers],[WIN]]),COUNTIFS(Games_450[ATHLETE 3],Analysis_1255[[#This Row],[Atheletes ]],Games_450[RESULT 34],Analysis_951[[#Headers],[WIN]]),COUNTIFS(Games_450[ATHLETE 4],Analysis_1255[[#This Row],[Atheletes ]],Games_450[RESULT 34],Analysis_951[[#Headers],[WIN]]))</f>
        <v>0</v>
      </c>
      <c r="D50" s="14">
        <f>SUM(COUNTIFS(Games_450[ATHLETE 1],Analysis_1255[[#This Row],[Atheletes ]],Games_450[RESULT 12],Analysis_951[[#Headers],[LOSE]]),COUNTIFS(Games_450[ATHLETE 2],Analysis_1255[[#This Row],[Atheletes ]],Games_450[RESULT 12],Analysis_951[[#Headers],[LOSE]]),COUNTIFS(Games_450[ATHLETE 3],Analysis_1255[[#This Row],[Atheletes ]],Games_450[RESULT 34],Analysis_951[[#Headers],[LOSE]]),COUNTIFS(Games_450[ATHLETE 4],Analysis_1255[[#This Row],[Atheletes ]],Games_450[RESULT 34],Analysis_951[[#Headers],[LOSE]]))</f>
        <v>0</v>
      </c>
      <c r="E50" s="19">
        <f>SUM(SUMIF(Games_450[ATHLETE 1],Analysis_1255[[#This Row],[Atheletes ]],Games_450[SALDO 12]),SUMIF(Games_450[ATHLETE 2],Analysis_1255[[#This Row],[Atheletes ]],Games_450[SALDO 12]),SUMIF(Games_450[ATHLETE 3],Analysis_1255[[#This Row],[Atheletes ]],Games_450[SALDO 34]),SUMIF(Games_450[ATHLETE 4],Analysis_1255[[#This Row],[Atheletes ]],Games_450[SALDO 34]))</f>
        <v>0</v>
      </c>
      <c r="F50" s="19">
        <f>SUM(SUMIF(Games_450[ATHLETE 1],Analysis_1255[[#This Row],[Atheletes ]],Games_450[PM 12]),SUMIF(Games_450[ATHLETE 2],Analysis_1255[[#This Row],[Atheletes ]],Games_450[PM 12]),SUMIF(Games_450[ATHLETE 3],Analysis_1255[[#This Row],[Atheletes ]],Games_450[PM 34]),SUMIF(Games_450[ATHLETE 4],Analysis_1255[[#This Row],[Atheletes ]],Games_450[PM 34]))</f>
        <v>0</v>
      </c>
      <c r="G50" s="14" t="str">
        <f>IF(COUNTBLANK(Games_450[[SCORE 1]:[SCORE 2]])=0,IF(RANK(H50,$H$46:$H$50)=1,RANK(H50,$H$46:$H$50)&amp;"st",IF(RANK(H50,$H$46:$H$50)=2,RANK(H50,$H$46:$H$50)&amp;"nd",IF(RANK(H50,$H$46:$H$50)=3,RANK(H50,$H$46:$H$50)&amp;"rd",RANK(H50,$H$46:$H$50)&amp;"th"))),"")</f>
        <v/>
      </c>
      <c r="H50" s="51" t="str">
        <f>IF(COUNTBLANK(Games_450[[SCORE 1]:[SCORE 2]])=0,Analysis_1255[[#This Row],[WIN]]*1000000+Analysis_1255[[#This Row],[Saldo]]*1000+Analysis_1255[[#This Row],[PM]],"")</f>
        <v/>
      </c>
    </row>
    <row r="52" spans="1:8" ht="15.95" thickBot="1"/>
    <row r="53" spans="1:8" ht="15.95" thickBot="1">
      <c r="A53" s="123" t="s">
        <v>218</v>
      </c>
      <c r="B53" s="124">
        <v>45787</v>
      </c>
    </row>
    <row r="54" spans="1:8">
      <c r="A54" t="s">
        <v>238</v>
      </c>
    </row>
    <row r="55" spans="1:8">
      <c r="A55" t="s">
        <v>239</v>
      </c>
    </row>
    <row r="56" spans="1:8">
      <c r="A56" t="s">
        <v>240</v>
      </c>
    </row>
  </sheetData>
  <sheetProtection algorithmName="SHA-512" hashValue="PpZ6H91A7iaqwF/vhAGWBj0H4+pIF0AmOya539hgLpJHovZE+zQ+v6uWGCI1jxY5WkPlEAe7dBx//1ezyVH5Lw==" saltValue="c7HZFsBc0dzXpozcJkKQUw==" spinCount="100000" sheet="1" objects="1" scenarios="1"/>
  <mergeCells count="10">
    <mergeCell ref="M34:R34"/>
    <mergeCell ref="O35:P35"/>
    <mergeCell ref="M41:R41"/>
    <mergeCell ref="O42:P42"/>
    <mergeCell ref="A1:A12"/>
    <mergeCell ref="T1:U1"/>
    <mergeCell ref="A23:G23"/>
    <mergeCell ref="M23:R23"/>
    <mergeCell ref="O24:P24"/>
    <mergeCell ref="O29:P29"/>
  </mergeCells>
  <phoneticPr fontId="1" type="noConversion"/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9ED6-C9E9-6E43-BC58-701495FE11F9}">
  <sheetPr codeName="Sheet38"/>
  <dimension ref="A1:Y50"/>
  <sheetViews>
    <sheetView workbookViewId="0">
      <selection sqref="A1:I1"/>
    </sheetView>
    <sheetView workbookViewId="1">
      <selection sqref="A1:A13"/>
    </sheetView>
  </sheetViews>
  <sheetFormatPr defaultColWidth="8.85546875" defaultRowHeight="15"/>
  <cols>
    <col min="1" max="1" width="13.42578125" customWidth="1"/>
    <col min="2" max="3" width="25" customWidth="1"/>
    <col min="4" max="4" width="12.7109375" customWidth="1"/>
    <col min="5" max="5" width="12.85546875" bestFit="1" customWidth="1"/>
    <col min="6" max="7" width="7.140625" bestFit="1" customWidth="1"/>
    <col min="8" max="8" width="11.28515625" hidden="1" customWidth="1"/>
    <col min="9" max="10" width="13.28515625" hidden="1" customWidth="1"/>
    <col min="11" max="11" width="8" hidden="1" customWidth="1"/>
    <col min="12" max="12" width="25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25" customWidth="1"/>
    <col min="21" max="22" width="9.7109375" bestFit="1" customWidth="1"/>
  </cols>
  <sheetData>
    <row r="1" spans="1:21" ht="15" customHeight="1" thickTop="1">
      <c r="A1" s="551" t="s">
        <v>331</v>
      </c>
      <c r="B1" s="7" t="s">
        <v>161</v>
      </c>
      <c r="C1" s="20" t="s">
        <v>163</v>
      </c>
      <c r="D1" s="7" t="s">
        <v>164</v>
      </c>
      <c r="E1" s="7" t="s">
        <v>165</v>
      </c>
      <c r="F1" s="175" t="s">
        <v>167</v>
      </c>
      <c r="G1" s="175" t="s">
        <v>168</v>
      </c>
      <c r="H1" s="43" t="s">
        <v>169</v>
      </c>
      <c r="I1" s="43" t="s">
        <v>292</v>
      </c>
      <c r="J1" s="43" t="s">
        <v>293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603" t="s">
        <v>332</v>
      </c>
      <c r="U1" s="604"/>
    </row>
    <row r="2" spans="1:21" ht="15" customHeight="1">
      <c r="A2" s="551"/>
      <c r="B2" s="13" t="s">
        <v>178</v>
      </c>
      <c r="C2" s="174" t="str">
        <f>B17</f>
        <v>Bibi &amp; Tizoc</v>
      </c>
      <c r="D2" s="116">
        <v>18</v>
      </c>
      <c r="E2" s="116">
        <v>12</v>
      </c>
      <c r="F2" s="63"/>
      <c r="G2" s="63"/>
      <c r="H2" s="63"/>
      <c r="I2" s="63"/>
      <c r="J2" s="63"/>
      <c r="K2" s="63"/>
      <c r="L2" s="16" t="str">
        <f>B18</f>
        <v>Gabi LA &amp; Caua</v>
      </c>
      <c r="M2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6</v>
      </c>
      <c r="N2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-6</v>
      </c>
      <c r="O2" s="13">
        <f>IF(Table4101317251247545298684173134143[[#This Row],[SCORE 1]]="","",Table4101317251247545298684173134143[[#This Row],[SCORE 1]])</f>
        <v>18</v>
      </c>
      <c r="P2" s="13">
        <f>IF(Table4101317251247545298684173134143[[#This Row],[SCORE 2]]="","",Table4101317251247545298684173134143[[#This Row],[SCORE 2]])</f>
        <v>12</v>
      </c>
      <c r="Q2" s="13" t="str">
        <f>IF(OR(Table4101317251247545298684173134143[[#This Row],[SCORE 1]]="",Table4101317251247545298684173134143[[#This Row],[SCORE 2]]=""),"",IF(Table4101317251247545298684173134143[[#This Row],[SALDO 12]]&gt;0, "WIN","LOSE"))</f>
        <v>WIN</v>
      </c>
      <c r="R2" s="13" t="str">
        <f>IF(OR(Table4101317251247545298684173134143[[#This Row],[SCORE 1]]="",Table4101317251247545298684173134143[[#This Row],[SCORE 2]]=""),"",IF(Table4101317251247545298684173134143[[#This Row],[SALDO 34]]&gt;0, "WIN","LOSE"))</f>
        <v>LOSE</v>
      </c>
      <c r="T2" s="188" t="s">
        <v>179</v>
      </c>
      <c r="U2" s="189" t="s">
        <v>8</v>
      </c>
    </row>
    <row r="3" spans="1:21">
      <c r="A3" s="551"/>
      <c r="B3" s="13" t="s">
        <v>180</v>
      </c>
      <c r="C3" s="174" t="str">
        <f>B23</f>
        <v>Bruno C. &amp; Ju</v>
      </c>
      <c r="D3" s="116">
        <v>18</v>
      </c>
      <c r="E3" s="116">
        <v>14</v>
      </c>
      <c r="F3" s="63"/>
      <c r="G3" s="63"/>
      <c r="H3" s="63"/>
      <c r="I3" s="63"/>
      <c r="J3" s="63"/>
      <c r="K3" s="63"/>
      <c r="L3" s="16" t="str">
        <f>B24</f>
        <v>Janelle &amp; Pedro I.</v>
      </c>
      <c r="M3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4</v>
      </c>
      <c r="N3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-4</v>
      </c>
      <c r="O3" s="13">
        <f>IF(Table4101317251247545298684173134143[[#This Row],[SCORE 1]]="","",Table4101317251247545298684173134143[[#This Row],[SCORE 1]])</f>
        <v>18</v>
      </c>
      <c r="P3" s="13">
        <f>IF(Table4101317251247545298684173134143[[#This Row],[SCORE 2]]="","",Table4101317251247545298684173134143[[#This Row],[SCORE 2]])</f>
        <v>14</v>
      </c>
      <c r="Q3" s="13" t="str">
        <f>IF(OR(Table4101317251247545298684173134143[[#This Row],[SCORE 1]]="",Table4101317251247545298684173134143[[#This Row],[SCORE 2]]=""),"",IF(Table4101317251247545298684173134143[[#This Row],[SALDO 12]]&gt;0, "WIN","LOSE"))</f>
        <v>WIN</v>
      </c>
      <c r="R3" s="13" t="str">
        <f>IF(OR(Table4101317251247545298684173134143[[#This Row],[SCORE 1]]="",Table4101317251247545298684173134143[[#This Row],[SCORE 2]]=""),"",IF(Table4101317251247545298684173134143[[#This Row],[SALDO 34]]&gt;0, "WIN","LOSE"))</f>
        <v>LOSE</v>
      </c>
      <c r="T3" s="190" t="str">
        <f>IFERROR(_xlfn.XLOOKUP(Table15202832506072101714577137146[[#This Row],[Rank]],#REF!,$M$48:$R$48),"")</f>
        <v/>
      </c>
      <c r="U3" s="191" t="s">
        <v>19</v>
      </c>
    </row>
    <row r="4" spans="1:21">
      <c r="A4" s="551"/>
      <c r="B4" s="13" t="s">
        <v>178</v>
      </c>
      <c r="C4" s="174" t="str">
        <f>B19</f>
        <v>Fiorella &amp; Guina</v>
      </c>
      <c r="D4" s="116">
        <v>0</v>
      </c>
      <c r="E4" s="116">
        <v>18</v>
      </c>
      <c r="F4" s="63"/>
      <c r="G4" s="63"/>
      <c r="H4" s="63"/>
      <c r="I4" s="63"/>
      <c r="J4" s="63"/>
      <c r="K4" s="63"/>
      <c r="L4" s="16" t="str">
        <f>B20</f>
        <v>Roberta &amp; João</v>
      </c>
      <c r="M4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-18</v>
      </c>
      <c r="N4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18</v>
      </c>
      <c r="O4" s="13">
        <f>IF(Table4101317251247545298684173134143[[#This Row],[SCORE 1]]="","",Table4101317251247545298684173134143[[#This Row],[SCORE 1]])</f>
        <v>0</v>
      </c>
      <c r="P4" s="13">
        <f>IF(Table4101317251247545298684173134143[[#This Row],[SCORE 2]]="","",Table4101317251247545298684173134143[[#This Row],[SCORE 2]])</f>
        <v>18</v>
      </c>
      <c r="Q4" s="13" t="str">
        <f>IF(OR(Table4101317251247545298684173134143[[#This Row],[SCORE 1]]="",Table4101317251247545298684173134143[[#This Row],[SCORE 2]]=""),"",IF(Table4101317251247545298684173134143[[#This Row],[SALDO 12]]&gt;0, "WIN","LOSE"))</f>
        <v>LOSE</v>
      </c>
      <c r="R4" s="13" t="str">
        <f>IF(OR(Table4101317251247545298684173134143[[#This Row],[SCORE 1]]="",Table4101317251247545298684173134143[[#This Row],[SCORE 2]]=""),"",IF(Table4101317251247545298684173134143[[#This Row],[SALDO 34]]&gt;0, "WIN","LOSE"))</f>
        <v>WIN</v>
      </c>
      <c r="T4" s="190" t="str">
        <f>IFERROR(_xlfn.XLOOKUP(Table15202832506072101714577137146[[#This Row],[Rank]],#REF!,$M$48:$R$48),"")</f>
        <v/>
      </c>
      <c r="U4" s="191" t="s">
        <v>22</v>
      </c>
    </row>
    <row r="5" spans="1:21">
      <c r="A5" s="551"/>
      <c r="B5" s="13" t="s">
        <v>180</v>
      </c>
      <c r="C5" s="174" t="str">
        <f>B25</f>
        <v>Malu &amp; Arthur</v>
      </c>
      <c r="D5" s="116">
        <v>17</v>
      </c>
      <c r="E5" s="116">
        <v>19</v>
      </c>
      <c r="F5" s="63"/>
      <c r="G5" s="63"/>
      <c r="H5" s="63"/>
      <c r="I5" s="63"/>
      <c r="J5" s="63"/>
      <c r="K5" s="63"/>
      <c r="L5" s="16" t="str">
        <f>B26</f>
        <v>Gabriela C. &amp; Thyago</v>
      </c>
      <c r="M5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-2</v>
      </c>
      <c r="N5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2</v>
      </c>
      <c r="O5" s="13">
        <f>IF(Table4101317251247545298684173134143[[#This Row],[SCORE 1]]="","",Table4101317251247545298684173134143[[#This Row],[SCORE 1]])</f>
        <v>17</v>
      </c>
      <c r="P5" s="13">
        <f>IF(Table4101317251247545298684173134143[[#This Row],[SCORE 2]]="","",Table4101317251247545298684173134143[[#This Row],[SCORE 2]])</f>
        <v>19</v>
      </c>
      <c r="Q5" s="13" t="str">
        <f>IF(OR(Table4101317251247545298684173134143[[#This Row],[SCORE 1]]="",Table4101317251247545298684173134143[[#This Row],[SCORE 2]]=""),"",IF(Table4101317251247545298684173134143[[#This Row],[SALDO 12]]&gt;0, "WIN","LOSE"))</f>
        <v>LOSE</v>
      </c>
      <c r="R5" s="13" t="str">
        <f>IF(OR(Table4101317251247545298684173134143[[#This Row],[SCORE 1]]="",Table4101317251247545298684173134143[[#This Row],[SCORE 2]]=""),"",IF(Table4101317251247545298684173134143[[#This Row],[SALDO 34]]&gt;0, "WIN","LOSE"))</f>
        <v>WIN</v>
      </c>
      <c r="T5" s="190" t="str">
        <f>IFERROR(_xlfn.XLOOKUP(Table15202832506072101714577137146[[#This Row],[Rank]],#REF!,$M$34:$R$34),"")</f>
        <v/>
      </c>
      <c r="U5" s="191" t="s">
        <v>25</v>
      </c>
    </row>
    <row r="6" spans="1:21">
      <c r="A6" s="551"/>
      <c r="B6" s="13" t="s">
        <v>178</v>
      </c>
      <c r="C6" s="174" t="str">
        <f>B17</f>
        <v>Bibi &amp; Tizoc</v>
      </c>
      <c r="D6" s="116">
        <v>18</v>
      </c>
      <c r="E6" s="116">
        <v>0</v>
      </c>
      <c r="F6" s="63"/>
      <c r="G6" s="63"/>
      <c r="H6" s="63"/>
      <c r="I6" s="63"/>
      <c r="J6" s="63"/>
      <c r="K6" s="63"/>
      <c r="L6" s="16" t="str">
        <f>B19</f>
        <v>Fiorella &amp; Guina</v>
      </c>
      <c r="M6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18</v>
      </c>
      <c r="N6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-18</v>
      </c>
      <c r="O6" s="13">
        <f>IF(Table4101317251247545298684173134143[[#This Row],[SCORE 1]]="","",Table4101317251247545298684173134143[[#This Row],[SCORE 1]])</f>
        <v>18</v>
      </c>
      <c r="P6" s="13">
        <f>IF(Table4101317251247545298684173134143[[#This Row],[SCORE 2]]="","",Table4101317251247545298684173134143[[#This Row],[SCORE 2]])</f>
        <v>0</v>
      </c>
      <c r="Q6" s="13" t="str">
        <f>IF(OR(Table4101317251247545298684173134143[[#This Row],[SCORE 1]]="",Table4101317251247545298684173134143[[#This Row],[SCORE 2]]=""),"",IF(Table4101317251247545298684173134143[[#This Row],[SALDO 12]]&gt;0, "WIN","LOSE"))</f>
        <v>WIN</v>
      </c>
      <c r="R6" s="13" t="str">
        <f>IF(OR(Table4101317251247545298684173134143[[#This Row],[SCORE 1]]="",Table4101317251247545298684173134143[[#This Row],[SCORE 2]]=""),"",IF(Table4101317251247545298684173134143[[#This Row],[SALDO 34]]&gt;0, "WIN","LOSE"))</f>
        <v>LOSE</v>
      </c>
      <c r="T6" s="190" t="str">
        <f>IFERROR(_xlfn.XLOOKUP(Table15202832506072101714577137146[[#This Row],[Rank]],#REF!,$M$34:$R$34),"")</f>
        <v/>
      </c>
      <c r="U6" s="191" t="s">
        <v>28</v>
      </c>
    </row>
    <row r="7" spans="1:21">
      <c r="A7" s="551"/>
      <c r="B7" s="13" t="s">
        <v>180</v>
      </c>
      <c r="C7" s="174" t="str">
        <f>B23</f>
        <v>Bruno C. &amp; Ju</v>
      </c>
      <c r="D7" s="116">
        <v>9</v>
      </c>
      <c r="E7" s="116">
        <v>18</v>
      </c>
      <c r="F7" s="63"/>
      <c r="G7" s="63"/>
      <c r="H7" s="63"/>
      <c r="I7" s="63"/>
      <c r="J7" s="63"/>
      <c r="K7" s="63"/>
      <c r="L7" s="16" t="str">
        <f>B25</f>
        <v>Malu &amp; Arthur</v>
      </c>
      <c r="M7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-9</v>
      </c>
      <c r="N7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9</v>
      </c>
      <c r="O7" s="13">
        <f>IF(Table4101317251247545298684173134143[[#This Row],[SCORE 1]]="","",Table4101317251247545298684173134143[[#This Row],[SCORE 1]])</f>
        <v>9</v>
      </c>
      <c r="P7" s="13">
        <f>IF(Table4101317251247545298684173134143[[#This Row],[SCORE 2]]="","",Table4101317251247545298684173134143[[#This Row],[SCORE 2]])</f>
        <v>18</v>
      </c>
      <c r="Q7" s="13" t="str">
        <f>IF(OR(Table4101317251247545298684173134143[[#This Row],[SCORE 1]]="",Table4101317251247545298684173134143[[#This Row],[SCORE 2]]=""),"",IF(Table4101317251247545298684173134143[[#This Row],[SALDO 12]]&gt;0, "WIN","LOSE"))</f>
        <v>LOSE</v>
      </c>
      <c r="R7" s="13" t="str">
        <f>IF(OR(Table4101317251247545298684173134143[[#This Row],[SCORE 1]]="",Table4101317251247545298684173134143[[#This Row],[SCORE 2]]=""),"",IF(Table4101317251247545298684173134143[[#This Row],[SALDO 34]]&gt;0, "WIN","LOSE"))</f>
        <v>WIN</v>
      </c>
      <c r="T7" s="190"/>
      <c r="U7" s="191" t="s">
        <v>31</v>
      </c>
    </row>
    <row r="8" spans="1:21">
      <c r="A8" s="551"/>
      <c r="B8" s="13" t="s">
        <v>178</v>
      </c>
      <c r="C8" s="174" t="str">
        <f>B18</f>
        <v>Gabi LA &amp; Caua</v>
      </c>
      <c r="D8" s="116">
        <v>8</v>
      </c>
      <c r="E8" s="116">
        <v>18</v>
      </c>
      <c r="F8" s="63"/>
      <c r="G8" s="63"/>
      <c r="H8" s="63"/>
      <c r="I8" s="63"/>
      <c r="J8" s="63"/>
      <c r="K8" s="63"/>
      <c r="L8" s="16" t="str">
        <f>B20</f>
        <v>Roberta &amp; João</v>
      </c>
      <c r="M8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-10</v>
      </c>
      <c r="N8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10</v>
      </c>
      <c r="O8" s="13">
        <f>IF(Table4101317251247545298684173134143[[#This Row],[SCORE 1]]="","",Table4101317251247545298684173134143[[#This Row],[SCORE 1]])</f>
        <v>8</v>
      </c>
      <c r="P8" s="13">
        <f>IF(Table4101317251247545298684173134143[[#This Row],[SCORE 2]]="","",Table4101317251247545298684173134143[[#This Row],[SCORE 2]])</f>
        <v>18</v>
      </c>
      <c r="Q8" s="13" t="str">
        <f>IF(OR(Table4101317251247545298684173134143[[#This Row],[SCORE 1]]="",Table4101317251247545298684173134143[[#This Row],[SCORE 2]]=""),"",IF(Table4101317251247545298684173134143[[#This Row],[SALDO 12]]&gt;0, "WIN","LOSE"))</f>
        <v>LOSE</v>
      </c>
      <c r="R8" s="13" t="str">
        <f>IF(OR(Table4101317251247545298684173134143[[#This Row],[SCORE 1]]="",Table4101317251247545298684173134143[[#This Row],[SCORE 2]]=""),"",IF(Table4101317251247545298684173134143[[#This Row],[SALDO 34]]&gt;0, "WIN","LOSE"))</f>
        <v>WIN</v>
      </c>
      <c r="T8" s="190"/>
      <c r="U8" s="191" t="s">
        <v>34</v>
      </c>
    </row>
    <row r="9" spans="1:21">
      <c r="A9" s="551"/>
      <c r="B9" s="13" t="s">
        <v>180</v>
      </c>
      <c r="C9" s="174" t="str">
        <f>B24</f>
        <v>Janelle &amp; Pedro I.</v>
      </c>
      <c r="D9" s="116">
        <v>13</v>
      </c>
      <c r="E9" s="116">
        <v>18</v>
      </c>
      <c r="F9" s="63"/>
      <c r="G9" s="63"/>
      <c r="H9" s="63"/>
      <c r="I9" s="63"/>
      <c r="J9" s="63"/>
      <c r="K9" s="63"/>
      <c r="L9" s="16" t="str">
        <f>B26</f>
        <v>Gabriela C. &amp; Thyago</v>
      </c>
      <c r="M9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-5</v>
      </c>
      <c r="N9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5</v>
      </c>
      <c r="O9" s="13">
        <f>IF(Table4101317251247545298684173134143[[#This Row],[SCORE 1]]="","",Table4101317251247545298684173134143[[#This Row],[SCORE 1]])</f>
        <v>13</v>
      </c>
      <c r="P9" s="13">
        <f>IF(Table4101317251247545298684173134143[[#This Row],[SCORE 2]]="","",Table4101317251247545298684173134143[[#This Row],[SCORE 2]])</f>
        <v>18</v>
      </c>
      <c r="Q9" s="13" t="str">
        <f>IF(OR(Table4101317251247545298684173134143[[#This Row],[SCORE 1]]="",Table4101317251247545298684173134143[[#This Row],[SCORE 2]]=""),"",IF(Table4101317251247545298684173134143[[#This Row],[SALDO 12]]&gt;0, "WIN","LOSE"))</f>
        <v>LOSE</v>
      </c>
      <c r="R9" s="13" t="str">
        <f>IF(OR(Table4101317251247545298684173134143[[#This Row],[SCORE 1]]="",Table4101317251247545298684173134143[[#This Row],[SCORE 2]]=""),"",IF(Table4101317251247545298684173134143[[#This Row],[SALDO 34]]&gt;0, "WIN","LOSE"))</f>
        <v>WIN</v>
      </c>
      <c r="T9" s="190"/>
      <c r="U9" s="191" t="s">
        <v>37</v>
      </c>
    </row>
    <row r="10" spans="1:21" ht="15.95" thickBot="1">
      <c r="A10" s="551"/>
      <c r="B10" s="13" t="s">
        <v>178</v>
      </c>
      <c r="C10" s="174" t="str">
        <f>B17</f>
        <v>Bibi &amp; Tizoc</v>
      </c>
      <c r="D10" s="116">
        <v>11</v>
      </c>
      <c r="E10" s="116">
        <v>18</v>
      </c>
      <c r="F10" s="63"/>
      <c r="G10" s="63"/>
      <c r="H10" s="63"/>
      <c r="I10" s="63"/>
      <c r="J10" s="63"/>
      <c r="K10" s="63"/>
      <c r="L10" s="16" t="str">
        <f>B20</f>
        <v>Roberta &amp; João</v>
      </c>
      <c r="M10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-7</v>
      </c>
      <c r="N10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7</v>
      </c>
      <c r="O10" s="13">
        <f>IF(Table4101317251247545298684173134143[[#This Row],[SCORE 1]]="","",Table4101317251247545298684173134143[[#This Row],[SCORE 1]])</f>
        <v>11</v>
      </c>
      <c r="P10" s="13">
        <f>IF(Table4101317251247545298684173134143[[#This Row],[SCORE 2]]="","",Table4101317251247545298684173134143[[#This Row],[SCORE 2]])</f>
        <v>18</v>
      </c>
      <c r="Q10" s="13" t="str">
        <f>IF(OR(Table4101317251247545298684173134143[[#This Row],[SCORE 1]]="",Table4101317251247545298684173134143[[#This Row],[SCORE 2]]=""),"",IF(Table4101317251247545298684173134143[[#This Row],[SALDO 12]]&gt;0, "WIN","LOSE"))</f>
        <v>LOSE</v>
      </c>
      <c r="R10" s="13" t="str">
        <f>IF(OR(Table4101317251247545298684173134143[[#This Row],[SCORE 1]]="",Table4101317251247545298684173134143[[#This Row],[SCORE 2]]=""),"",IF(Table4101317251247545298684173134143[[#This Row],[SALDO 34]]&gt;0, "WIN","LOSE"))</f>
        <v>WIN</v>
      </c>
      <c r="T10" s="192"/>
      <c r="U10" s="193" t="s">
        <v>41</v>
      </c>
    </row>
    <row r="11" spans="1:21" ht="15.95" thickTop="1">
      <c r="A11" s="551"/>
      <c r="B11" s="13" t="s">
        <v>180</v>
      </c>
      <c r="C11" s="174" t="str">
        <f>B23</f>
        <v>Bruno C. &amp; Ju</v>
      </c>
      <c r="D11" s="116">
        <v>5</v>
      </c>
      <c r="E11" s="116">
        <v>18</v>
      </c>
      <c r="F11" s="63"/>
      <c r="G11" s="63"/>
      <c r="H11" s="63"/>
      <c r="I11" s="63"/>
      <c r="J11" s="63"/>
      <c r="K11" s="63"/>
      <c r="L11" s="16" t="str">
        <f>B26</f>
        <v>Gabriela C. &amp; Thyago</v>
      </c>
      <c r="M11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-13</v>
      </c>
      <c r="N11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13</v>
      </c>
      <c r="O11" s="13">
        <f>IF(Table4101317251247545298684173134143[[#This Row],[SCORE 1]]="","",Table4101317251247545298684173134143[[#This Row],[SCORE 1]])</f>
        <v>5</v>
      </c>
      <c r="P11" s="13">
        <f>IF(Table4101317251247545298684173134143[[#This Row],[SCORE 2]]="","",Table4101317251247545298684173134143[[#This Row],[SCORE 2]])</f>
        <v>18</v>
      </c>
      <c r="Q11" s="13" t="str">
        <f>IF(OR(Table4101317251247545298684173134143[[#This Row],[SCORE 1]]="",Table4101317251247545298684173134143[[#This Row],[SCORE 2]]=""),"",IF(Table4101317251247545298684173134143[[#This Row],[SALDO 12]]&gt;0, "WIN","LOSE"))</f>
        <v>LOSE</v>
      </c>
      <c r="R11" s="13" t="str">
        <f>IF(OR(Table4101317251247545298684173134143[[#This Row],[SCORE 1]]="",Table4101317251247545298684173134143[[#This Row],[SCORE 2]]=""),"",IF(Table4101317251247545298684173134143[[#This Row],[SALDO 34]]&gt;0, "WIN","LOSE"))</f>
        <v>WIN</v>
      </c>
      <c r="T11" s="17" t="s">
        <v>295</v>
      </c>
    </row>
    <row r="12" spans="1:21">
      <c r="A12" s="551"/>
      <c r="B12" s="13" t="s">
        <v>178</v>
      </c>
      <c r="C12" s="174" t="str">
        <f>B18</f>
        <v>Gabi LA &amp; Caua</v>
      </c>
      <c r="D12" s="116">
        <v>18</v>
      </c>
      <c r="E12" s="116">
        <v>0</v>
      </c>
      <c r="F12" s="63"/>
      <c r="G12" s="63"/>
      <c r="H12" s="63"/>
      <c r="I12" s="63"/>
      <c r="J12" s="63"/>
      <c r="K12" s="63"/>
      <c r="L12" s="16" t="str">
        <f>B19</f>
        <v>Fiorella &amp; Guina</v>
      </c>
      <c r="M12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18</v>
      </c>
      <c r="N12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-18</v>
      </c>
      <c r="O12" s="13">
        <f>IF(Table4101317251247545298684173134143[[#This Row],[SCORE 1]]="","",Table4101317251247545298684173134143[[#This Row],[SCORE 1]])</f>
        <v>18</v>
      </c>
      <c r="P12" s="13">
        <f>IF(Table4101317251247545298684173134143[[#This Row],[SCORE 2]]="","",Table4101317251247545298684173134143[[#This Row],[SCORE 2]])</f>
        <v>0</v>
      </c>
      <c r="Q12" s="13" t="str">
        <f>IF(OR(Table4101317251247545298684173134143[[#This Row],[SCORE 1]]="",Table4101317251247545298684173134143[[#This Row],[SCORE 2]]=""),"",IF(Table4101317251247545298684173134143[[#This Row],[SALDO 12]]&gt;0, "WIN","LOSE"))</f>
        <v>WIN</v>
      </c>
      <c r="R12" s="13" t="str">
        <f>IF(OR(Table4101317251247545298684173134143[[#This Row],[SCORE 1]]="",Table4101317251247545298684173134143[[#This Row],[SCORE 2]]=""),"",IF(Table4101317251247545298684173134143[[#This Row],[SALDO 34]]&gt;0, "WIN","LOSE"))</f>
        <v>LOSE</v>
      </c>
    </row>
    <row r="13" spans="1:21">
      <c r="A13" s="551"/>
      <c r="B13" s="13" t="s">
        <v>180</v>
      </c>
      <c r="C13" s="174" t="str">
        <f>B24</f>
        <v>Janelle &amp; Pedro I.</v>
      </c>
      <c r="D13" s="116">
        <v>13</v>
      </c>
      <c r="E13" s="116">
        <v>18</v>
      </c>
      <c r="F13" s="63"/>
      <c r="G13" s="63"/>
      <c r="H13" s="63"/>
      <c r="I13" s="63"/>
      <c r="J13" s="63"/>
      <c r="K13" s="63"/>
      <c r="L13" s="16" t="str">
        <f>B25</f>
        <v>Malu &amp; Arthur</v>
      </c>
      <c r="M13" s="13">
        <f>IF(OR(Table4101317251247545298684173134143[[#This Row],[SCORE 1]]="",Table4101317251247545298684173134143[[#This Row],[SCORE 2]]=""),"",Table4101317251247545298684173134143[[#This Row],[SCORE 1]]-Table4101317251247545298684173134143[[#This Row],[SCORE 2]])</f>
        <v>-5</v>
      </c>
      <c r="N13" s="13">
        <f>IF(OR(Table4101317251247545298684173134143[[#This Row],[SCORE 1]]="",Table4101317251247545298684173134143[[#This Row],[SCORE 2]]=""),"",Table4101317251247545298684173134143[[#This Row],[SCORE 2]]-Table4101317251247545298684173134143[[#This Row],[SCORE 1]])</f>
        <v>5</v>
      </c>
      <c r="O13" s="13">
        <f>IF(Table4101317251247545298684173134143[[#This Row],[SCORE 1]]="","",Table4101317251247545298684173134143[[#This Row],[SCORE 1]])</f>
        <v>13</v>
      </c>
      <c r="P13" s="13">
        <f>IF(Table4101317251247545298684173134143[[#This Row],[SCORE 2]]="","",Table4101317251247545298684173134143[[#This Row],[SCORE 2]])</f>
        <v>18</v>
      </c>
      <c r="Q13" s="13" t="str">
        <f>IF(OR(Table4101317251247545298684173134143[[#This Row],[SCORE 1]]="",Table4101317251247545298684173134143[[#This Row],[SCORE 2]]=""),"",IF(Table4101317251247545298684173134143[[#This Row],[SALDO 12]]&gt;0, "WIN","LOSE"))</f>
        <v>LOSE</v>
      </c>
      <c r="R13" s="13" t="str">
        <f>IF(OR(Table4101317251247545298684173134143[[#This Row],[SCORE 1]]="",Table4101317251247545298684173134143[[#This Row],[SCORE 2]]=""),"",IF(Table4101317251247545298684173134143[[#This Row],[SALDO 34]]&gt;0, "WIN","LOSE"))</f>
        <v>WIN</v>
      </c>
    </row>
    <row r="14" spans="1:21" ht="30" customHeight="1" thickBot="1"/>
    <row r="15" spans="1:21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60" t="s">
        <v>183</v>
      </c>
      <c r="N15" s="561"/>
      <c r="O15" s="561"/>
      <c r="P15" s="561"/>
      <c r="Q15" s="561"/>
      <c r="R15" s="562"/>
    </row>
    <row r="16" spans="1:21" ht="15.95">
      <c r="A16" s="6" t="s">
        <v>184</v>
      </c>
      <c r="B16" s="7" t="s">
        <v>296</v>
      </c>
      <c r="C16" s="7" t="s">
        <v>186</v>
      </c>
      <c r="D16" s="7" t="s">
        <v>187</v>
      </c>
      <c r="E16" s="7" t="s">
        <v>188</v>
      </c>
      <c r="F16" s="7" t="s">
        <v>189</v>
      </c>
      <c r="G16" s="7" t="s">
        <v>8</v>
      </c>
      <c r="H16" s="80" t="s">
        <v>204</v>
      </c>
      <c r="I16" s="20" t="s">
        <v>191</v>
      </c>
      <c r="J16" s="20" t="s">
        <v>192</v>
      </c>
      <c r="K16" s="20" t="s">
        <v>1</v>
      </c>
      <c r="L16" s="20" t="s">
        <v>192</v>
      </c>
      <c r="M16" s="601" t="s">
        <v>297</v>
      </c>
      <c r="N16" s="553"/>
      <c r="O16" s="179" t="s">
        <v>195</v>
      </c>
      <c r="P16" s="180"/>
      <c r="Q16" s="552" t="s">
        <v>298</v>
      </c>
      <c r="R16" s="602"/>
    </row>
    <row r="17" spans="1:25">
      <c r="A17" s="4" t="s">
        <v>205</v>
      </c>
      <c r="B17" s="171" t="s">
        <v>333</v>
      </c>
      <c r="C17" s="14">
        <f>SUM(COUNTIFS(Table4101317251247545298684173134143[ATHLETE 2],Table36111418263048555399694375135144[[#This Row],[Team]],Table4101317251247545298684173134143[RESULT 12],Table36111418263048555399694375135144[[#Headers],[WIN]]),COUNTIFS(Table4101317251247545298684173134143[ATHLETE 4],Table36111418263048555399694375135144[[#This Row],[Team]],Table4101317251247545298684173134143[RESULT 34],Table36111418263048555399694375135144[[#Headers],[WIN]]))</f>
        <v>2</v>
      </c>
      <c r="D17" s="14">
        <f>SUM(COUNTIFS(Table4101317251247545298684173134143[ATHLETE 2],Table36111418263048555399694375135144[[#This Row],[Team]],Table4101317251247545298684173134143[RESULT 12],Table36111418263048555399694375135144[[#Headers],[LOSE]]),COUNTIFS(Table4101317251247545298684173134143[ATHLETE 4],Table36111418263048555399694375135144[[#This Row],[Team]],Table4101317251247545298684173134143[RESULT 34],Table36111418263048555399694375135144[[#Headers],[LOSE]]))</f>
        <v>1</v>
      </c>
      <c r="E17" s="19">
        <f>SUM(SUMIF(Table4101317251247545298684173134143[ATHLETE 2],Table36111418263048555399694375135144[[#This Row],[Team]],Table4101317251247545298684173134143[SALDO 12]),SUMIF(Table4101317251247545298684173134143[ATHLETE 4],Table36111418263048555399694375135144[[#This Row],[Team]],Table4101317251247545298684173134143[SALDO 34]))</f>
        <v>17</v>
      </c>
      <c r="F17" s="19">
        <f>SUM(SUMIF(Table4101317251247545298684173134143[ATHLETE 2],Table36111418263048555399694375135144[[#This Row],[Team]],Table4101317251247545298684173134143[PM 12]),SUMIF(Table4101317251247545298684173134143[ATHLETE 4],Table36111418263048555399694375135144[[#This Row],[Team]],Table4101317251247545298684173134143[PM 34]))</f>
        <v>47</v>
      </c>
      <c r="G17" s="14" t="str">
        <f>IF(COUNTBLANK(Table4101317251247545298684173134143[[SCORE 1]:[SCORE 2]])=0,IF(RANK(H17,$H$17:$H$20)=1,RANK(H17,$H$17:$H$20)&amp;"st",IF(RANK(H17,$H$17:$H$20)=2,RANK(H17,$H$17:$H$20)&amp;"nd",RANK(H17,$H$17:$H$20)&amp;"th")),"")</f>
        <v>2nd</v>
      </c>
      <c r="H17" s="51">
        <f>Table36111418263048555399694375135144[[#This Row],[WIN]]*1000000+Table36111418263048555399694375135144[[#This Row],[Saldo]]*1000+Table36111418263048555399694375135144[[#This Row],[PM]]</f>
        <v>2017047</v>
      </c>
      <c r="I17" s="2">
        <f>H17</f>
        <v>2017047</v>
      </c>
      <c r="J17" s="2" t="str">
        <f>IF(COUNTBLANK(Table4101317251247545298684173134143[[SCORE 1]:[SCORE 2]])=0,IF(RANK(I17,$I$17:$I$28)=1,RANK(I17,$I$17:$I$28)&amp;"st",IF(RANK(I17,$I$17:$I$28)=2,RANK(I17,$I$17:$I$28)&amp;"nd",IF(RANK(I17,$I$17:$I$28)=3,RANK(I17,$I$17:$I$28)&amp;"rd",RANK(I17,$I$17:$I$28)&amp;"th"))),"")</f>
        <v>3rd</v>
      </c>
      <c r="K17" s="38" t="str">
        <f>Table36111418263048555399694375135144[[#This Row],[Team]]</f>
        <v>Bibi &amp; Tizoc</v>
      </c>
      <c r="L17" s="2" t="str">
        <f>J17</f>
        <v>3rd</v>
      </c>
      <c r="M17" s="588" t="str" cm="1">
        <f t="array" ref="M17">_xlfn.TEXTJOIN(", ", TRUE, _xlfn._xlws.FILTER($K$17:$K$24, $J$17:$J$24=$U$3, ""))</f>
        <v>Roberta &amp; João</v>
      </c>
      <c r="N17" s="589"/>
      <c r="O17" s="119">
        <v>18</v>
      </c>
      <c r="P17" s="119">
        <v>0</v>
      </c>
      <c r="Q17" s="590" t="str" cm="1">
        <f t="array" ref="Q17">_xlfn.TEXTJOIN(", ", TRUE, _xlfn._xlws.FILTER($K$17:$K$24, $J$17:$J$24=$U$10, ""))</f>
        <v>Fiorella &amp; Guina</v>
      </c>
      <c r="R17" s="591"/>
    </row>
    <row r="18" spans="1:25">
      <c r="A18" s="3" t="s">
        <v>206</v>
      </c>
      <c r="B18" s="171" t="s">
        <v>334</v>
      </c>
      <c r="C18" s="14">
        <f>SUM(COUNTIFS(Table4101317251247545298684173134143[ATHLETE 2],Table36111418263048555399694375135144[[#This Row],[Team]],Table4101317251247545298684173134143[RESULT 12],Table36111418263048555399694375135144[[#Headers],[WIN]]),COUNTIFS(Table4101317251247545298684173134143[ATHLETE 4],Table36111418263048555399694375135144[[#This Row],[Team]],Table4101317251247545298684173134143[RESULT 34],Table36111418263048555399694375135144[[#Headers],[WIN]]))</f>
        <v>1</v>
      </c>
      <c r="D18" s="14">
        <f>SUM(COUNTIFS(Table4101317251247545298684173134143[ATHLETE 2],Table36111418263048555399694375135144[[#This Row],[Team]],Table4101317251247545298684173134143[RESULT 12],Table36111418263048555399694375135144[[#Headers],[LOSE]]),COUNTIFS(Table4101317251247545298684173134143[ATHLETE 4],Table36111418263048555399694375135144[[#This Row],[Team]],Table4101317251247545298684173134143[RESULT 34],Table36111418263048555399694375135144[[#Headers],[LOSE]]))</f>
        <v>2</v>
      </c>
      <c r="E18" s="19">
        <f>SUM(SUMIF(Table4101317251247545298684173134143[ATHLETE 2],Table36111418263048555399694375135144[[#This Row],[Team]],Table4101317251247545298684173134143[SALDO 12]),SUMIF(Table4101317251247545298684173134143[ATHLETE 4],Table36111418263048555399694375135144[[#This Row],[Team]],Table4101317251247545298684173134143[SALDO 34]))</f>
        <v>2</v>
      </c>
      <c r="F18" s="19">
        <f>SUM(SUMIF(Table4101317251247545298684173134143[ATHLETE 2],Table36111418263048555399694375135144[[#This Row],[Team]],Table4101317251247545298684173134143[PM 12]),SUMIF(Table4101317251247545298684173134143[ATHLETE 4],Table36111418263048555399694375135144[[#This Row],[Team]],Table4101317251247545298684173134143[PM 34]))</f>
        <v>38</v>
      </c>
      <c r="G18" s="14" t="str">
        <f>IF(COUNTBLANK(Table4101317251247545298684173134143[[SCORE 1]:[SCORE 2]])=0,IF(RANK(H18,$H$17:$H$20)=1,RANK(H18,$H$17:$H$20)&amp;"st",IF(RANK(H18,$H$17:$H$20)=2,RANK(H18,$H$17:$H$20)&amp;"nd",RANK(H18,$H$17:$H$20)&amp;"th")),"")</f>
        <v>3th</v>
      </c>
      <c r="H18" s="51">
        <f>Table36111418263048555399694375135144[[#This Row],[WIN]]*1000000+Table36111418263048555399694375135144[[#This Row],[Saldo]]*1000+Table36111418263048555399694375135144[[#This Row],[PM]]</f>
        <v>1002038</v>
      </c>
      <c r="I18" s="2">
        <f t="shared" ref="I18:I20" si="0">H18</f>
        <v>1002038</v>
      </c>
      <c r="J18" s="2" t="str">
        <f>IF(COUNTBLANK(Table4101317251247545298684173134143[[SCORE 1]:[SCORE 2]])=0,IF(RANK(I18,$I$17:$I$28)=1,RANK(I18,$I$17:$I$28)&amp;"st",IF(RANK(I18,$I$17:$I$28)=2,RANK(I18,$I$17:$I$28)&amp;"nd",IF(RANK(I18,$I$17:$I$28)=3,RANK(I18,$I$17:$I$28)&amp;"rd",RANK(I18,$I$17:$I$28)&amp;"th"))),"")</f>
        <v>5th</v>
      </c>
      <c r="K18" s="38" t="str">
        <f>Table36111418263048555399694375135144[[#This Row],[Team]]</f>
        <v>Gabi LA &amp; Caua</v>
      </c>
      <c r="L18" s="2" t="str">
        <f t="shared" ref="L18:L20" si="1">J18</f>
        <v>5th</v>
      </c>
      <c r="M18" s="592" t="str">
        <f>IF(COUNTBLANK($O$17:$P$30)=0,IF($O$18="lose",$U$7,""),"")</f>
        <v/>
      </c>
      <c r="N18" s="593"/>
      <c r="O18" s="2" t="str">
        <f>IF(OR(O17="",P17=""),"",IF((O17&gt;P17),"WIN","LOSE"))</f>
        <v>WIN</v>
      </c>
      <c r="P18" s="2" t="str">
        <f>IF(OR(O17="",P17=""),"",IF((O17&lt;P17),"WIN","LOSE"))</f>
        <v>LOSE</v>
      </c>
      <c r="Q18" s="593" t="str">
        <f>IF(COUNTBLANK($O$17:$P$30)=0,IF($P$18="lose",$U$10,""),"")</f>
        <v/>
      </c>
      <c r="R18" s="594"/>
      <c r="S18" s="17"/>
    </row>
    <row r="19" spans="1:25">
      <c r="A19" s="3" t="s">
        <v>207</v>
      </c>
      <c r="B19" s="171" t="s">
        <v>335</v>
      </c>
      <c r="C19" s="14">
        <f>SUM(COUNTIFS(Table4101317251247545298684173134143[ATHLETE 2],Table36111418263048555399694375135144[[#This Row],[Team]],Table4101317251247545298684173134143[RESULT 12],Table36111418263048555399694375135144[[#Headers],[WIN]]),COUNTIFS(Table4101317251247545298684173134143[ATHLETE 4],Table36111418263048555399694375135144[[#This Row],[Team]],Table4101317251247545298684173134143[RESULT 34],Table36111418263048555399694375135144[[#Headers],[WIN]]))</f>
        <v>0</v>
      </c>
      <c r="D19" s="14">
        <f>SUM(COUNTIFS(Table4101317251247545298684173134143[ATHLETE 2],Table36111418263048555399694375135144[[#This Row],[Team]],Table4101317251247545298684173134143[RESULT 12],Table36111418263048555399694375135144[[#Headers],[LOSE]]),COUNTIFS(Table4101317251247545298684173134143[ATHLETE 4],Table36111418263048555399694375135144[[#This Row],[Team]],Table4101317251247545298684173134143[RESULT 34],Table36111418263048555399694375135144[[#Headers],[LOSE]]))</f>
        <v>3</v>
      </c>
      <c r="E19" s="19">
        <f>SUM(SUMIF(Table4101317251247545298684173134143[ATHLETE 2],Table36111418263048555399694375135144[[#This Row],[Team]],Table4101317251247545298684173134143[SALDO 12]),SUMIF(Table4101317251247545298684173134143[ATHLETE 4],Table36111418263048555399694375135144[[#This Row],[Team]],Table4101317251247545298684173134143[SALDO 34]))</f>
        <v>-54</v>
      </c>
      <c r="F19" s="19">
        <f>SUM(SUMIF(Table4101317251247545298684173134143[ATHLETE 2],Table36111418263048555399694375135144[[#This Row],[Team]],Table4101317251247545298684173134143[PM 12]),SUMIF(Table4101317251247545298684173134143[ATHLETE 4],Table36111418263048555399694375135144[[#This Row],[Team]],Table4101317251247545298684173134143[PM 34]))</f>
        <v>0</v>
      </c>
      <c r="G19" s="14" t="str">
        <f>IF(COUNTBLANK(Table4101317251247545298684173134143[[SCORE 1]:[SCORE 2]])=0,IF(RANK(H19,$H$17:$H$20)=1,RANK(H19,$H$17:$H$20)&amp;"st",IF(RANK(H19,$H$17:$H$20)=2,RANK(H19,$H$17:$H$20)&amp;"nd",RANK(H19,$H$17:$H$20)&amp;"th")),"")</f>
        <v>4th</v>
      </c>
      <c r="H19" s="51">
        <f>Table36111418263048555399694375135144[[#This Row],[WIN]]*1000000+Table36111418263048555399694375135144[[#This Row],[Saldo]]*1000+Table36111418263048555399694375135144[[#This Row],[PM]]</f>
        <v>-54000</v>
      </c>
      <c r="I19" s="2">
        <f t="shared" si="0"/>
        <v>-54000</v>
      </c>
      <c r="J19" s="2" t="str">
        <f>IF(COUNTBLANK(Table4101317251247545298684173134143[[SCORE 1]:[SCORE 2]])=0,IF(RANK(I19,$I$17:$I$28)=1,RANK(I19,$I$17:$I$28)&amp;"st",IF(RANK(I19,$I$17:$I$28)=2,RANK(I19,$I$17:$I$28)&amp;"nd",IF(RANK(I19,$I$17:$I$28)=3,RANK(I19,$I$17:$I$28)&amp;"rd",RANK(I19,$I$17:$I$28)&amp;"th"))),"")</f>
        <v>8th</v>
      </c>
      <c r="K19" s="38" t="str">
        <f>Table36111418263048555399694375135144[[#This Row],[Team]]</f>
        <v>Fiorella &amp; Guina</v>
      </c>
      <c r="L19" s="2" t="str">
        <f t="shared" si="1"/>
        <v>8th</v>
      </c>
      <c r="M19" s="598">
        <v>1</v>
      </c>
      <c r="N19" s="599"/>
      <c r="O19" s="183" t="s">
        <v>302</v>
      </c>
      <c r="P19" s="183" t="s">
        <v>302</v>
      </c>
      <c r="Q19" s="599">
        <v>8</v>
      </c>
      <c r="R19" s="600"/>
      <c r="V19" s="66"/>
      <c r="W19" s="66"/>
      <c r="X19" s="66"/>
      <c r="Y19" s="66"/>
    </row>
    <row r="20" spans="1:25" ht="15.95">
      <c r="A20" s="5" t="s">
        <v>208</v>
      </c>
      <c r="B20" s="171" t="s">
        <v>336</v>
      </c>
      <c r="C20" s="14">
        <f>SUM(COUNTIFS(Table4101317251247545298684173134143[ATHLETE 2],Table36111418263048555399694375135144[[#This Row],[Team]],Table4101317251247545298684173134143[RESULT 12],Table36111418263048555399694375135144[[#Headers],[WIN]]),COUNTIFS(Table4101317251247545298684173134143[ATHLETE 4],Table36111418263048555399694375135144[[#This Row],[Team]],Table4101317251247545298684173134143[RESULT 34],Table36111418263048555399694375135144[[#Headers],[WIN]]))</f>
        <v>3</v>
      </c>
      <c r="D20" s="14">
        <f>SUM(COUNTIFS(Table4101317251247545298684173134143[ATHLETE 2],Table36111418263048555399694375135144[[#This Row],[Team]],Table4101317251247545298684173134143[RESULT 12],Table36111418263048555399694375135144[[#Headers],[LOSE]]),COUNTIFS(Table4101317251247545298684173134143[ATHLETE 4],Table36111418263048555399694375135144[[#This Row],[Team]],Table4101317251247545298684173134143[RESULT 34],Table36111418263048555399694375135144[[#Headers],[LOSE]]))</f>
        <v>0</v>
      </c>
      <c r="E20" s="19">
        <f>SUM(SUMIF(Table4101317251247545298684173134143[ATHLETE 2],Table36111418263048555399694375135144[[#This Row],[Team]],Table4101317251247545298684173134143[SALDO 12]),SUMIF(Table4101317251247545298684173134143[ATHLETE 4],Table36111418263048555399694375135144[[#This Row],[Team]],Table4101317251247545298684173134143[SALDO 34]))</f>
        <v>35</v>
      </c>
      <c r="F20" s="19">
        <f>SUM(SUMIF(Table4101317251247545298684173134143[ATHLETE 2],Table36111418263048555399694375135144[[#This Row],[Team]],Table4101317251247545298684173134143[PM 12]),SUMIF(Table4101317251247545298684173134143[ATHLETE 4],Table36111418263048555399694375135144[[#This Row],[Team]],Table4101317251247545298684173134143[PM 34]))</f>
        <v>54</v>
      </c>
      <c r="G20" s="14" t="str">
        <f>IF(COUNTBLANK(Table4101317251247545298684173134143[[SCORE 1]:[SCORE 2]])=0,IF(RANK(H20,$H$17:$H$20)=1,RANK(H20,$H$17:$H$20)&amp;"st",IF(RANK(H20,$H$17:$H$20)=2,RANK(H20,$H$17:$H$20)&amp;"nd",RANK(H20,$H$17:$H$20)&amp;"th")),"")</f>
        <v>1st</v>
      </c>
      <c r="H20" s="51">
        <f>Table36111418263048555399694375135144[[#This Row],[WIN]]*1000000+Table36111418263048555399694375135144[[#This Row],[Saldo]]*1000+Table36111418263048555399694375135144[[#This Row],[PM]]</f>
        <v>3035054</v>
      </c>
      <c r="I20" s="2">
        <f t="shared" si="0"/>
        <v>3035054</v>
      </c>
      <c r="J20" s="2" t="str">
        <f>IF(COUNTBLANK(Table4101317251247545298684173134143[[SCORE 1]:[SCORE 2]])=0,IF(RANK(I20,$I$17:$I$28)=1,RANK(I20,$I$17:$I$28)&amp;"st",IF(RANK(I20,$I$17:$I$28)=2,RANK(I20,$I$17:$I$28)&amp;"nd",IF(RANK(I20,$I$17:$I$28)=3,RANK(I20,$I$17:$I$28)&amp;"rd",RANK(I20,$I$17:$I$28)&amp;"th"))),"")</f>
        <v>1st</v>
      </c>
      <c r="K20" s="38" t="str">
        <f>Table36111418263048555399694375135144[[#This Row],[Team]]</f>
        <v>Roberta &amp; João</v>
      </c>
      <c r="L20" s="2" t="str">
        <f t="shared" si="1"/>
        <v>1st</v>
      </c>
      <c r="M20" s="601" t="s">
        <v>297</v>
      </c>
      <c r="N20" s="553"/>
      <c r="O20" s="179" t="s">
        <v>195</v>
      </c>
      <c r="P20" s="181" t="s">
        <v>302</v>
      </c>
      <c r="Q20" s="552" t="s">
        <v>298</v>
      </c>
      <c r="R20" s="602"/>
      <c r="V20" s="66"/>
      <c r="W20" s="66"/>
      <c r="X20" s="66"/>
      <c r="Y20" s="66"/>
    </row>
    <row r="21" spans="1:25">
      <c r="I21" s="2">
        <f>H23</f>
        <v>982032</v>
      </c>
      <c r="J21" s="2" t="str">
        <f>IF(COUNTBLANK(Table4101317251247545298684173134143[[SCORE 1]:[SCORE 2]])=0,IF(RANK(I21,$I$17:$I$28)=1,RANK(I21,$I$17:$I$28)&amp;"st",IF(RANK(I21,$I$17:$I$28)=2,RANK(I21,$I$17:$I$28)&amp;"nd",IF(RANK(I21,$I$17:$I$28)=3,RANK(I21,$I$17:$I$28)&amp;"rd",RANK(I21,$I$17:$I$28)&amp;"th"))),"")</f>
        <v>6th</v>
      </c>
      <c r="K21" s="38" t="str">
        <f>B23</f>
        <v>Bruno C. &amp; Ju</v>
      </c>
      <c r="L21" s="2"/>
      <c r="M21" s="588" t="str" cm="1">
        <f t="array" ref="M21">_xlfn.TEXTJOIN(", ", TRUE, _xlfn._xlws.FILTER($K$17:$K$24, $J$17:$J$24=$U$4, ""))</f>
        <v>Gabriela C. &amp; Thyago</v>
      </c>
      <c r="N21" s="589"/>
      <c r="O21" s="119">
        <v>18</v>
      </c>
      <c r="P21" s="119">
        <v>0</v>
      </c>
      <c r="Q21" s="590" t="str" cm="1">
        <f t="array" ref="Q21">_xlfn.TEXTJOIN(", ", TRUE, _xlfn._xlws.FILTER($K$17:$K$24, $J$17:$J$24=$U$9, ""))</f>
        <v>Janelle &amp; Pedro I.</v>
      </c>
      <c r="R21" s="591"/>
      <c r="V21" s="66"/>
      <c r="W21" s="66"/>
      <c r="X21" s="66"/>
      <c r="Y21" s="66"/>
    </row>
    <row r="22" spans="1:25" s="44" customFormat="1" ht="28.5" customHeight="1">
      <c r="A22" s="9" t="s">
        <v>184</v>
      </c>
      <c r="B22" s="48" t="s">
        <v>296</v>
      </c>
      <c r="C22" s="48" t="s">
        <v>186</v>
      </c>
      <c r="D22" s="48" t="s">
        <v>187</v>
      </c>
      <c r="E22" s="48" t="s">
        <v>188</v>
      </c>
      <c r="F22" s="48" t="s">
        <v>189</v>
      </c>
      <c r="G22" s="43" t="s">
        <v>8</v>
      </c>
      <c r="H22" s="79" t="s">
        <v>204</v>
      </c>
      <c r="I22" s="2">
        <f>H24</f>
        <v>-13960</v>
      </c>
      <c r="J22" s="2" t="str">
        <f>IF(COUNTBLANK(Table4101317251247545298684173134143[[SCORE 1]:[SCORE 2]])=0,IF(RANK(I22,$I$17:$I$28)=1,RANK(I22,$I$17:$I$28)&amp;"st",IF(RANK(I22,$I$17:$I$28)=2,RANK(I22,$I$17:$I$28)&amp;"nd",IF(RANK(I22,$I$17:$I$28)=3,RANK(I22,$I$17:$I$28)&amp;"rd",RANK(I22,$I$17:$I$28)&amp;"th"))),"")</f>
        <v>7th</v>
      </c>
      <c r="K22" s="38" t="str">
        <f>B24</f>
        <v>Janelle &amp; Pedro I.</v>
      </c>
      <c r="L22" s="419" t="s">
        <v>192</v>
      </c>
      <c r="M22" s="592" t="str">
        <f>IF(COUNTBLANK($O$17:$P$30)=0,IF(O22="lose",IF(O18="win",$U$7,U8),""),"")</f>
        <v/>
      </c>
      <c r="N22" s="593"/>
      <c r="O22" s="2" t="str">
        <f>IF(OR(O21="",P21=""),"",IF((O21&gt;P21),"WIN","LOSE"))</f>
        <v>WIN</v>
      </c>
      <c r="P22" s="2" t="str">
        <f>IF(OR(O21="",P21=""),"",IF((O21&lt;P21),"WIN","LOSE"))</f>
        <v>LOSE</v>
      </c>
      <c r="Q22" s="593" t="str">
        <f>IF(COUNTBLANK($O$17:$P$30)=0,IF(P22="lose",IF(P18="win",$U$10,U9),""),"")</f>
        <v/>
      </c>
      <c r="R22" s="594"/>
      <c r="V22" s="92"/>
      <c r="W22" s="92"/>
      <c r="X22" s="92"/>
      <c r="Y22" s="92"/>
    </row>
    <row r="23" spans="1:25">
      <c r="A23" s="430" t="s">
        <v>209</v>
      </c>
      <c r="B23" s="171" t="s">
        <v>337</v>
      </c>
      <c r="C23" s="14">
        <f>SUM(COUNTIFS(Table4101317251247545298684173134143[ATHLETE 2],Table61215192731495671100704476136145[[#This Row],[Team]],Table4101317251247545298684173134143[RESULT 12],Table36111418263048555399694375135144[[#Headers],[WIN]]),COUNTIFS(Table4101317251247545298684173134143[ATHLETE 4],Table61215192731495671100704476136145[[#This Row],[Team]],Table4101317251247545298684173134143[RESULT 34],Table36111418263048555399694375135144[[#Headers],[WIN]]))</f>
        <v>1</v>
      </c>
      <c r="D23" s="14">
        <f>SUM(COUNTIFS(Table4101317251247545298684173134143[ATHLETE 2],Table61215192731495671100704476136145[[#This Row],[Team]],Table4101317251247545298684173134143[RESULT 12],Table36111418263048555399694375135144[[#Headers],[LOSE]]),COUNTIFS(Table4101317251247545298684173134143[ATHLETE 4],Table61215192731495671100704476136145[[#This Row],[Team]],Table4101317251247545298684173134143[RESULT 34],Table36111418263048555399694375135144[[#Headers],[LOSE]]))</f>
        <v>2</v>
      </c>
      <c r="E23" s="19">
        <f>SUM(SUMIF(Table4101317251247545298684173134143[ATHLETE 2],Table61215192731495671100704476136145[[#This Row],[Team]],Table4101317251247545298684173134143[SALDO 12]),SUMIF(Table4101317251247545298684173134143[ATHLETE 4],Table61215192731495671100704476136145[[#This Row],[Team]],Table4101317251247545298684173134143[SALDO 34]))</f>
        <v>-18</v>
      </c>
      <c r="F23" s="19">
        <f>SUM(SUMIF(Table4101317251247545298684173134143[ATHLETE 2],Table61215192731495671100704476136145[[#This Row],[Team]],Table4101317251247545298684173134143[PM 12]),SUMIF(Table4101317251247545298684173134143[ATHLETE 4],Table61215192731495671100704476136145[[#This Row],[Team]],Table4101317251247545298684173134143[PM 34]))</f>
        <v>32</v>
      </c>
      <c r="G23" s="14" t="str">
        <f>IF(COUNTBLANK(Table4101317251247545298684173134143[[SCORE 1]:[SCORE 2]])=0,IF(RANK(H23,$H$23:$H$26)=1,RANK(H23,$H$23:$H$26)&amp;"st",IF(RANK(H23,$H$23:$H$26)=2,RANK(H23,$H$23:$H$26)&amp;"nd",RANK(H23,$H$23:$H$26)&amp;"th")),"")</f>
        <v>3th</v>
      </c>
      <c r="H23" s="51">
        <f>Table61215192731495671100704476136145[[#This Row],[WIN]]*1000000+Table61215192731495671100704476136145[[#This Row],[Saldo]]*1000+Table61215192731495671100704476136145[[#This Row],[PM]]</f>
        <v>982032</v>
      </c>
      <c r="I23" s="2">
        <f>H25</f>
        <v>2012053</v>
      </c>
      <c r="J23" s="2" t="str">
        <f>IF(COUNTBLANK(Table4101317251247545298684173134143[[SCORE 1]:[SCORE 2]])=0,IF(RANK(I23,$I$17:$I$28)=1,RANK(I23,$I$17:$I$28)&amp;"st",IF(RANK(I23,$I$17:$I$28)=2,RANK(I23,$I$17:$I$28)&amp;"nd",IF(RANK(I23,$I$17:$I$28)=3,RANK(I23,$I$17:$I$28)&amp;"rd",RANK(I23,$I$17:$I$28)&amp;"th"))),"")</f>
        <v>4th</v>
      </c>
      <c r="K23" s="38" t="str">
        <f>B25</f>
        <v>Malu &amp; Arthur</v>
      </c>
      <c r="L23" s="2" t="str">
        <f>J21</f>
        <v>6th</v>
      </c>
      <c r="M23" s="598">
        <v>2</v>
      </c>
      <c r="N23" s="599"/>
      <c r="O23" s="183" t="s">
        <v>302</v>
      </c>
      <c r="P23" s="183" t="s">
        <v>302</v>
      </c>
      <c r="Q23" s="599">
        <v>7</v>
      </c>
      <c r="R23" s="600"/>
      <c r="V23" s="66"/>
      <c r="W23" s="66"/>
      <c r="X23" s="66"/>
      <c r="Y23" s="66"/>
    </row>
    <row r="24" spans="1:25">
      <c r="A24" s="430" t="s">
        <v>210</v>
      </c>
      <c r="B24" s="171" t="s">
        <v>338</v>
      </c>
      <c r="C24" s="14">
        <f>SUM(COUNTIFS(Table4101317251247545298684173134143[ATHLETE 2],Table61215192731495671100704476136145[[#This Row],[Team]],Table4101317251247545298684173134143[RESULT 12],Table36111418263048555399694375135144[[#Headers],[WIN]]),COUNTIFS(Table4101317251247545298684173134143[ATHLETE 4],Table61215192731495671100704476136145[[#This Row],[Team]],Table4101317251247545298684173134143[RESULT 34],Table36111418263048555399694375135144[[#Headers],[WIN]]))</f>
        <v>0</v>
      </c>
      <c r="D24" s="14">
        <f>SUM(COUNTIFS(Table4101317251247545298684173134143[ATHLETE 2],Table61215192731495671100704476136145[[#This Row],[Team]],Table4101317251247545298684173134143[RESULT 12],Table36111418263048555399694375135144[[#Headers],[LOSE]]),COUNTIFS(Table4101317251247545298684173134143[ATHLETE 4],Table61215192731495671100704476136145[[#This Row],[Team]],Table4101317251247545298684173134143[RESULT 34],Table36111418263048555399694375135144[[#Headers],[LOSE]]))</f>
        <v>3</v>
      </c>
      <c r="E24" s="19">
        <f>SUM(SUMIF(Table4101317251247545298684173134143[ATHLETE 2],Table61215192731495671100704476136145[[#This Row],[Team]],Table4101317251247545298684173134143[SALDO 12]),SUMIF(Table4101317251247545298684173134143[ATHLETE 4],Table61215192731495671100704476136145[[#This Row],[Team]],Table4101317251247545298684173134143[SALDO 34]))</f>
        <v>-14</v>
      </c>
      <c r="F24" s="19">
        <f>SUM(SUMIF(Table4101317251247545298684173134143[ATHLETE 2],Table61215192731495671100704476136145[[#This Row],[Team]],Table4101317251247545298684173134143[PM 12]),SUMIF(Table4101317251247545298684173134143[ATHLETE 4],Table61215192731495671100704476136145[[#This Row],[Team]],Table4101317251247545298684173134143[PM 34]))</f>
        <v>40</v>
      </c>
      <c r="G24" s="14" t="str">
        <f>IF(COUNTBLANK(Table4101317251247545298684173134143[[SCORE 1]:[SCORE 2]])=0,IF(RANK(H24,$H$23:$H$26)=1,RANK(H24,$H$23:$H$26)&amp;"st",IF(RANK(H24,$H$23:$H$26)=2,RANK(H24,$H$23:$H$26)&amp;"nd",RANK(H24,$H$23:$H$26)&amp;"th")),"")</f>
        <v>4th</v>
      </c>
      <c r="H24" s="51">
        <f>Table61215192731495671100704476136145[[#This Row],[WIN]]*1000000+Table61215192731495671100704476136145[[#This Row],[Saldo]]*1000+Table61215192731495671100704476136145[[#This Row],[PM]]</f>
        <v>-13960</v>
      </c>
      <c r="I24" s="2">
        <f>H26</f>
        <v>3020055</v>
      </c>
      <c r="J24" s="2" t="str">
        <f>IF(COUNTBLANK(Table4101317251247545298684173134143[[SCORE 1]:[SCORE 2]])=0,IF(RANK(I24,$I$17:$I$28)=1,RANK(I24,$I$17:$I$28)&amp;"st",IF(RANK(I24,$I$17:$I$28)=2,RANK(I24,$I$17:$I$28)&amp;"nd",IF(RANK(I24,$I$17:$I$28)=3,RANK(I24,$I$17:$I$28)&amp;"rd",RANK(I24,$I$17:$I$28)&amp;"th"))),"")</f>
        <v>2nd</v>
      </c>
      <c r="K24" s="38" t="str">
        <f>B26</f>
        <v>Gabriela C. &amp; Thyago</v>
      </c>
      <c r="L24" s="2" t="str">
        <f t="shared" ref="L24:L26" si="2">J22</f>
        <v>7th</v>
      </c>
      <c r="M24" s="601" t="s">
        <v>297</v>
      </c>
      <c r="N24" s="553"/>
      <c r="O24" s="179" t="s">
        <v>195</v>
      </c>
      <c r="P24" s="181" t="s">
        <v>302</v>
      </c>
      <c r="Q24" s="552" t="s">
        <v>298</v>
      </c>
      <c r="R24" s="602"/>
      <c r="V24" s="66"/>
      <c r="W24" s="66"/>
      <c r="X24" s="66"/>
      <c r="Y24" s="66"/>
    </row>
    <row r="25" spans="1:25">
      <c r="A25" s="430" t="s">
        <v>211</v>
      </c>
      <c r="B25" s="171" t="s">
        <v>339</v>
      </c>
      <c r="C25" s="14">
        <f>SUM(COUNTIFS(Table4101317251247545298684173134143[ATHLETE 2],Table61215192731495671100704476136145[[#This Row],[Team]],Table4101317251247545298684173134143[RESULT 12],Table36111418263048555399694375135144[[#Headers],[WIN]]),COUNTIFS(Table4101317251247545298684173134143[ATHLETE 4],Table61215192731495671100704476136145[[#This Row],[Team]],Table4101317251247545298684173134143[RESULT 34],Table36111418263048555399694375135144[[#Headers],[WIN]]))</f>
        <v>2</v>
      </c>
      <c r="D25" s="14">
        <f>SUM(COUNTIFS(Table4101317251247545298684173134143[ATHLETE 2],Table61215192731495671100704476136145[[#This Row],[Team]],Table4101317251247545298684173134143[RESULT 12],Table36111418263048555399694375135144[[#Headers],[LOSE]]),COUNTIFS(Table4101317251247545298684173134143[ATHLETE 4],Table61215192731495671100704476136145[[#This Row],[Team]],Table4101317251247545298684173134143[RESULT 34],Table36111418263048555399694375135144[[#Headers],[LOSE]]))</f>
        <v>1</v>
      </c>
      <c r="E25" s="19">
        <f>SUM(SUMIF(Table4101317251247545298684173134143[ATHLETE 2],Table61215192731495671100704476136145[[#This Row],[Team]],Table4101317251247545298684173134143[SALDO 12]),SUMIF(Table4101317251247545298684173134143[ATHLETE 4],Table61215192731495671100704476136145[[#This Row],[Team]],Table4101317251247545298684173134143[SALDO 34]))</f>
        <v>12</v>
      </c>
      <c r="F25" s="19">
        <f>SUM(SUMIF(Table4101317251247545298684173134143[ATHLETE 2],Table61215192731495671100704476136145[[#This Row],[Team]],Table4101317251247545298684173134143[PM 12]),SUMIF(Table4101317251247545298684173134143[ATHLETE 4],Table61215192731495671100704476136145[[#This Row],[Team]],Table4101317251247545298684173134143[PM 34]))</f>
        <v>53</v>
      </c>
      <c r="G25" s="14" t="str">
        <f>IF(COUNTBLANK(Table4101317251247545298684173134143[[SCORE 1]:[SCORE 2]])=0,IF(RANK(H25,$H$23:$H$26)=1,RANK(H25,$H$23:$H$26)&amp;"st",IF(RANK(H25,$H$23:$H$26)=2,RANK(H25,$H$23:$H$26)&amp;"nd",RANK(H25,$H$23:$H$26)&amp;"th")),"")</f>
        <v>2nd</v>
      </c>
      <c r="H25" s="51">
        <f>Table61215192731495671100704476136145[[#This Row],[WIN]]*1000000+Table61215192731495671100704476136145[[#This Row],[Saldo]]*1000+Table61215192731495671100704476136145[[#This Row],[PM]]</f>
        <v>2012053</v>
      </c>
      <c r="L25" s="2" t="str">
        <f t="shared" si="2"/>
        <v>4th</v>
      </c>
      <c r="M25" s="588" t="str" cm="1">
        <f t="array" ref="M25">_xlfn.TEXTJOIN(", ", TRUE, _xlfn._xlws.FILTER($K$17:$K$24, $J$17:$J$24=$U$5, ""))</f>
        <v>Bibi &amp; Tizoc</v>
      </c>
      <c r="N25" s="589"/>
      <c r="O25" s="119">
        <v>0</v>
      </c>
      <c r="P25" s="119">
        <v>18</v>
      </c>
      <c r="Q25" s="590" t="str" cm="1">
        <f t="array" ref="Q25">_xlfn.TEXTJOIN(", ", TRUE, _xlfn._xlws.FILTER($K$17:$K$24, $J$17:$J$24=$U$8, ""))</f>
        <v>Bruno C. &amp; Ju</v>
      </c>
      <c r="R25" s="591"/>
      <c r="V25" s="66"/>
      <c r="W25" s="66"/>
      <c r="X25" s="66"/>
      <c r="Y25" s="66"/>
    </row>
    <row r="26" spans="1:25">
      <c r="A26" s="430" t="s">
        <v>212</v>
      </c>
      <c r="B26" s="105" t="s">
        <v>340</v>
      </c>
      <c r="C26" s="14">
        <f>SUM(COUNTIFS(Table4101317251247545298684173134143[ATHLETE 2],Table61215192731495671100704476136145[[#This Row],[Team]],Table4101317251247545298684173134143[RESULT 12],Table36111418263048555399694375135144[[#Headers],[WIN]]),COUNTIFS(Table4101317251247545298684173134143[ATHLETE 4],Table61215192731495671100704476136145[[#This Row],[Team]],Table4101317251247545298684173134143[RESULT 34],Table36111418263048555399694375135144[[#Headers],[WIN]]))</f>
        <v>3</v>
      </c>
      <c r="D26" s="14">
        <f>SUM(COUNTIFS(Table4101317251247545298684173134143[ATHLETE 2],Table61215192731495671100704476136145[[#This Row],[Team]],Table4101317251247545298684173134143[RESULT 12],Table36111418263048555399694375135144[[#Headers],[LOSE]]),COUNTIFS(Table4101317251247545298684173134143[ATHLETE 4],Table61215192731495671100704476136145[[#This Row],[Team]],Table4101317251247545298684173134143[RESULT 34],Table36111418263048555399694375135144[[#Headers],[LOSE]]))</f>
        <v>0</v>
      </c>
      <c r="E26" s="19">
        <f>SUM(SUMIF(Table4101317251247545298684173134143[ATHLETE 2],Table61215192731495671100704476136145[[#This Row],[Team]],Table4101317251247545298684173134143[SALDO 12]),SUMIF(Table4101317251247545298684173134143[ATHLETE 4],Table61215192731495671100704476136145[[#This Row],[Team]],Table4101317251247545298684173134143[SALDO 34]))</f>
        <v>20</v>
      </c>
      <c r="F26" s="19">
        <f>SUM(SUMIF(Table4101317251247545298684173134143[ATHLETE 2],Table61215192731495671100704476136145[[#This Row],[Team]],Table4101317251247545298684173134143[PM 12]),SUMIF(Table4101317251247545298684173134143[ATHLETE 4],Table61215192731495671100704476136145[[#This Row],[Team]],Table4101317251247545298684173134143[PM 34]))</f>
        <v>55</v>
      </c>
      <c r="G26" s="14" t="str">
        <f>IF(COUNTBLANK(Table4101317251247545298684173134143[[SCORE 1]:[SCORE 2]])=0,IF(RANK(H26,$H$23:$H$26)=1,RANK(H26,$H$23:$H$26)&amp;"st",IF(RANK(H26,$H$23:$H$26)=2,RANK(H26,$H$23:$H$26)&amp;"nd",RANK(H26,$H$23:$H$26)&amp;"th")),"")</f>
        <v>1st</v>
      </c>
      <c r="H26" s="51">
        <f>Table61215192731495671100704476136145[[#This Row],[WIN]]*1000000+Table61215192731495671100704476136145[[#This Row],[Saldo]]*1000+Table61215192731495671100704476136145[[#This Row],[PM]]</f>
        <v>3020055</v>
      </c>
      <c r="L26" s="2" t="str">
        <f t="shared" si="2"/>
        <v>2nd</v>
      </c>
      <c r="M26" s="592" t="str">
        <f>IF(COUNTBLANK($O$17:$P$30)=0,IF(O26="lose",IF(AND($O$18="lose",$O$22="lose"),$U$9,IF(OR($O$18="lose",$O$22="lose"),$U$8,$U$7)),""),"")</f>
        <v/>
      </c>
      <c r="N26" s="593"/>
      <c r="O26" s="2" t="str">
        <f>IF(OR(O25="",P25=""),"",IF((O25&gt;P25),"WIN","LOSE"))</f>
        <v>LOSE</v>
      </c>
      <c r="P26" s="2" t="str">
        <f>IF(OR(O25="",P25=""),"",IF((O25&lt;P25),"WIN","LOSE"))</f>
        <v>WIN</v>
      </c>
      <c r="Q26" s="593" t="str">
        <f>IF(COUNTBLANK($O$17:$P$30)=0,IF(P26="lose",IF(AND($P$18="lose",$P$22="lose"),$U$7,IF(OR($P$18="lose",$P$22="lose"),$U$8,$U$9)),""),"")</f>
        <v/>
      </c>
      <c r="R26" s="594"/>
      <c r="V26" s="66"/>
      <c r="W26" s="66"/>
      <c r="X26" s="66"/>
      <c r="Y26" s="66"/>
    </row>
    <row r="27" spans="1:25">
      <c r="L27" s="2"/>
      <c r="M27" s="598">
        <v>3</v>
      </c>
      <c r="N27" s="599"/>
      <c r="O27" s="183" t="s">
        <v>302</v>
      </c>
      <c r="P27" s="183" t="s">
        <v>302</v>
      </c>
      <c r="Q27" s="599">
        <v>6</v>
      </c>
      <c r="R27" s="600"/>
      <c r="V27" s="66"/>
      <c r="W27" s="66"/>
      <c r="X27" s="66"/>
      <c r="Y27" s="66"/>
    </row>
    <row r="28" spans="1:25">
      <c r="M28" s="601" t="s">
        <v>297</v>
      </c>
      <c r="N28" s="553"/>
      <c r="O28" s="179" t="s">
        <v>195</v>
      </c>
      <c r="P28" s="181" t="s">
        <v>302</v>
      </c>
      <c r="Q28" s="552" t="s">
        <v>298</v>
      </c>
      <c r="R28" s="602"/>
      <c r="V28" s="66"/>
      <c r="W28" s="66"/>
      <c r="X28" s="66"/>
      <c r="Y28" s="66"/>
    </row>
    <row r="29" spans="1:25">
      <c r="I29" s="2"/>
      <c r="J29" s="2"/>
      <c r="K29" s="2"/>
      <c r="M29" s="588" t="str" cm="1">
        <f t="array" ref="M29">_xlfn.TEXTJOIN(", ", TRUE, _xlfn._xlws.FILTER($K$17:$K$24, $J$17:$J$24=$U$6, ""))</f>
        <v>Malu &amp; Arthur</v>
      </c>
      <c r="N29" s="589"/>
      <c r="O29" s="119"/>
      <c r="P29" s="119"/>
      <c r="Q29" s="590" t="str" cm="1">
        <f t="array" ref="Q29">_xlfn.TEXTJOIN(", ", TRUE, _xlfn._xlws.FILTER($K$17:$K$24, $J$17:$J$24=$U$7, ""))</f>
        <v>Gabi LA &amp; Caua</v>
      </c>
      <c r="R29" s="591"/>
      <c r="V29" s="66"/>
      <c r="W29" s="66"/>
      <c r="X29" s="66"/>
      <c r="Y29" s="66"/>
    </row>
    <row r="30" spans="1:25">
      <c r="I30" s="2"/>
      <c r="J30" s="2"/>
      <c r="K30" s="2"/>
      <c r="M30" s="592" t="str">
        <f>IF(COUNTBLANK($O$17:$P$30)=0,IF(O30="lose",IF(COUNTIF(O18:O26,"lose")=3,$U$10,IF(COUNTIF(O18:O26,"lose")=2,U9,IF(COUNTIF(O18:O26,"lose")=1,U8,U7))),""),"")</f>
        <v/>
      </c>
      <c r="N30" s="593"/>
      <c r="O30" s="2" t="str">
        <f>IF(OR(O29="",P29=""),"",IF((O29&gt;P29),"WIN","LOSE"))</f>
        <v/>
      </c>
      <c r="P30" s="2" t="str">
        <f>IF(OR(O29="",P29=""),"",IF((O29&lt;P29),"WIN","LOSE"))</f>
        <v/>
      </c>
      <c r="Q30" s="593" t="str">
        <f>IF(COUNTBLANK($O$17:$P$30)=0,IF(P30="lose",IF(COUNTIF(O18:O26,"lose")=3,$U$10,IF(COUNTIF(O18:O26,"lose")=2,U9,IF(COUNTIF(O18:O26,"lose")=1,U8,U7))),""),"")</f>
        <v/>
      </c>
      <c r="R30" s="594"/>
      <c r="U30">
        <f>COUNTIF(O17:O26,"lose")</f>
        <v>1</v>
      </c>
      <c r="V30" s="66"/>
      <c r="W30" s="66"/>
      <c r="X30" s="66"/>
      <c r="Y30" s="66"/>
    </row>
    <row r="31" spans="1:25" ht="15.95" thickBot="1">
      <c r="I31" s="2"/>
      <c r="J31" s="2"/>
      <c r="K31" s="2"/>
      <c r="M31" s="595">
        <v>4</v>
      </c>
      <c r="N31" s="596"/>
      <c r="O31" s="184" t="s">
        <v>302</v>
      </c>
      <c r="P31" s="184" t="s">
        <v>302</v>
      </c>
      <c r="Q31" s="596">
        <v>5</v>
      </c>
      <c r="R31" s="597"/>
      <c r="V31" s="66"/>
      <c r="W31" s="66"/>
      <c r="X31" s="66"/>
      <c r="Y31" s="66"/>
    </row>
    <row r="32" spans="1:25" ht="29.1">
      <c r="I32" s="2"/>
      <c r="J32" s="2"/>
      <c r="K32" s="2"/>
      <c r="M32" s="560" t="s">
        <v>199</v>
      </c>
      <c r="N32" s="561"/>
      <c r="O32" s="561"/>
      <c r="P32" s="561"/>
      <c r="Q32" s="561"/>
      <c r="R32" s="562"/>
      <c r="V32" s="66"/>
      <c r="W32" s="66"/>
      <c r="X32" s="66"/>
      <c r="Y32" s="66"/>
    </row>
    <row r="33" spans="1:25" ht="15.95" thickBot="1">
      <c r="M33" s="563" t="s">
        <v>193</v>
      </c>
      <c r="N33" s="543"/>
      <c r="O33" s="177" t="s">
        <v>195</v>
      </c>
      <c r="P33" s="182" t="s">
        <v>302</v>
      </c>
      <c r="Q33" s="542" t="s">
        <v>196</v>
      </c>
      <c r="R33" s="564"/>
      <c r="T33" s="66"/>
      <c r="U33" s="66"/>
      <c r="V33" s="66"/>
      <c r="W33" s="66"/>
      <c r="X33" s="66"/>
      <c r="Y33" s="66"/>
    </row>
    <row r="34" spans="1:25" ht="15.95" thickBot="1">
      <c r="A34" s="123" t="s">
        <v>218</v>
      </c>
      <c r="B34" s="124">
        <v>45814</v>
      </c>
      <c r="M34" s="581" t="str">
        <f>IF(COUNTBLANK($O$17:$P$30)&lt;&gt;0,"",IF($O$18="win",M17,Q17))</f>
        <v/>
      </c>
      <c r="N34" s="582"/>
      <c r="O34" s="149"/>
      <c r="P34" s="150"/>
      <c r="Q34" s="583" t="str">
        <f>IF(COUNTBLANK($O$17:$P$30)&lt;&gt;0,"",IF($O$30="win",M29,Q29))</f>
        <v/>
      </c>
      <c r="R34" s="584"/>
      <c r="T34" s="66"/>
      <c r="U34" s="66"/>
      <c r="V34" s="66"/>
      <c r="W34" s="66"/>
      <c r="X34" s="66"/>
      <c r="Y34" s="66"/>
    </row>
    <row r="35" spans="1:25">
      <c r="M35" s="572"/>
      <c r="N35" s="573"/>
      <c r="O35" s="2" t="str">
        <f>IF(OR(O34="",P34=""),"",IF((O34&gt;P34),"WIN","LOSE"))</f>
        <v/>
      </c>
      <c r="P35" s="2" t="str">
        <f>IF(OR(O34="",P34=""),"",IF((O34&lt;P34),"WIN","LOSE"))</f>
        <v/>
      </c>
      <c r="Q35" s="573"/>
      <c r="R35" s="574"/>
      <c r="T35" s="66"/>
      <c r="U35" s="66"/>
      <c r="V35" s="66"/>
      <c r="W35" s="66"/>
      <c r="X35" s="66"/>
      <c r="Y35" s="66"/>
    </row>
    <row r="36" spans="1:25">
      <c r="M36" s="578">
        <v>18</v>
      </c>
      <c r="N36" s="579"/>
      <c r="O36" s="185" t="s">
        <v>302</v>
      </c>
      <c r="P36" s="185" t="s">
        <v>302</v>
      </c>
      <c r="Q36" s="579">
        <v>45</v>
      </c>
      <c r="R36" s="580"/>
      <c r="T36" s="66"/>
      <c r="U36" s="66"/>
      <c r="V36" s="66"/>
      <c r="W36" s="66"/>
      <c r="X36" s="66"/>
      <c r="Y36" s="66"/>
    </row>
    <row r="37" spans="1:25">
      <c r="M37" s="563" t="s">
        <v>193</v>
      </c>
      <c r="N37" s="543"/>
      <c r="O37" s="177" t="s">
        <v>195</v>
      </c>
      <c r="P37" s="178" t="s">
        <v>302</v>
      </c>
      <c r="Q37" s="542" t="s">
        <v>196</v>
      </c>
      <c r="R37" s="564"/>
      <c r="T37" s="66"/>
      <c r="U37" s="66"/>
      <c r="V37" s="66"/>
      <c r="W37" s="66"/>
      <c r="X37" s="66"/>
      <c r="Y37" s="66"/>
    </row>
    <row r="38" spans="1:25">
      <c r="M38" s="581" t="str">
        <f>IF(COUNTBLANK($O$17:$P$30)&lt;&gt;0,"",IF($O$22="win",M21,Q21))</f>
        <v/>
      </c>
      <c r="N38" s="582"/>
      <c r="O38" s="149"/>
      <c r="P38" s="150"/>
      <c r="Q38" s="583" t="str">
        <f>IF(COUNTBLANK($O$17:$P$30)&lt;&gt;0,"",IF($O$26="win",M25,Q25))</f>
        <v/>
      </c>
      <c r="R38" s="584"/>
      <c r="T38" s="66"/>
      <c r="U38" s="66"/>
      <c r="V38" s="66"/>
      <c r="W38" s="66"/>
      <c r="X38" s="66"/>
    </row>
    <row r="39" spans="1:25">
      <c r="M39" s="572"/>
      <c r="N39" s="573"/>
      <c r="O39" s="2" t="str">
        <f>IF(OR(O38="",P38=""),"",IF((O38&gt;P38),"WIN","LOSE"))</f>
        <v/>
      </c>
      <c r="P39" s="2" t="str">
        <f>IF(OR(O38="",P38=""),"",IF((O38&lt;P38),"WIN","LOSE"))</f>
        <v/>
      </c>
      <c r="Q39" s="573"/>
      <c r="R39" s="574"/>
    </row>
    <row r="40" spans="1:25" ht="15.95" thickBot="1">
      <c r="M40" s="585">
        <v>27</v>
      </c>
      <c r="N40" s="586"/>
      <c r="O40" s="186" t="s">
        <v>302</v>
      </c>
      <c r="P40" s="186" t="s">
        <v>302</v>
      </c>
      <c r="Q40" s="586">
        <v>36</v>
      </c>
      <c r="R40" s="587"/>
    </row>
    <row r="41" spans="1:25" ht="29.1" customHeight="1">
      <c r="M41" s="560" t="s">
        <v>308</v>
      </c>
      <c r="N41" s="561"/>
      <c r="O41" s="561"/>
      <c r="P41" s="561"/>
      <c r="Q41" s="561"/>
      <c r="R41" s="562"/>
    </row>
    <row r="42" spans="1:25">
      <c r="M42" s="563" t="s">
        <v>193</v>
      </c>
      <c r="N42" s="543"/>
      <c r="O42" s="417" t="s">
        <v>195</v>
      </c>
      <c r="P42" s="418"/>
      <c r="Q42" s="542" t="s">
        <v>196</v>
      </c>
      <c r="R42" s="564"/>
    </row>
    <row r="43" spans="1:25">
      <c r="M43" s="565" t="str">
        <f>IF(COUNTBLANK($O$34:$P$40)&lt;&gt;0,"",IF($O$35="lose",M34,Q34))</f>
        <v/>
      </c>
      <c r="N43" s="566"/>
      <c r="O43" s="149"/>
      <c r="P43" s="149"/>
      <c r="Q43" s="567" t="str">
        <f>IF(COUNTBLANK($O$34:$P$40)&lt;&gt;0,"",IF($O$39="lose",M38,Q38))</f>
        <v/>
      </c>
      <c r="R43" s="568"/>
    </row>
    <row r="44" spans="1:25">
      <c r="M44" s="572" t="str">
        <f>IF(COUNTBLANK(O43:P43)&lt;&gt;0,"",IF($O$44="lose",$U$6,$U$5))</f>
        <v/>
      </c>
      <c r="N44" s="573"/>
      <c r="O44" s="2" t="str">
        <f>IF(OR(O43="",P43=""),"",IF((O43&gt;P43),"WIN","LOSE"))</f>
        <v/>
      </c>
      <c r="P44" s="2" t="str">
        <f>IF(OR(O43="",P43=""),"",IF((O43&lt;P43),"WIN","LOSE"))</f>
        <v/>
      </c>
      <c r="Q44" s="573" t="str">
        <f>IF(COUNTBLANK(O43:P43)&lt;&gt;0,"",IF($P$44="lose",$U$6,$U$5))</f>
        <v/>
      </c>
      <c r="R44" s="574"/>
    </row>
    <row r="45" spans="1:25" ht="15.95" thickBot="1">
      <c r="M45" s="575"/>
      <c r="N45" s="576"/>
      <c r="O45" s="186" t="s">
        <v>302</v>
      </c>
      <c r="P45" s="186" t="s">
        <v>302</v>
      </c>
      <c r="Q45" s="576"/>
      <c r="R45" s="577"/>
    </row>
    <row r="46" spans="1:25" ht="30" customHeight="1">
      <c r="M46" s="560" t="s">
        <v>200</v>
      </c>
      <c r="N46" s="561"/>
      <c r="O46" s="561"/>
      <c r="P46" s="561"/>
      <c r="Q46" s="561"/>
      <c r="R46" s="562"/>
    </row>
    <row r="47" spans="1:25">
      <c r="M47" s="563" t="s">
        <v>193</v>
      </c>
      <c r="N47" s="543"/>
      <c r="O47" s="417" t="s">
        <v>195</v>
      </c>
      <c r="P47" s="418"/>
      <c r="Q47" s="542" t="s">
        <v>196</v>
      </c>
      <c r="R47" s="564"/>
    </row>
    <row r="48" spans="1:25">
      <c r="M48" s="565" t="str">
        <f>IF(COUNTBLANK($O$34:$P$40)&lt;&gt;0,"",IF($O$35="win",M34,Q34))</f>
        <v/>
      </c>
      <c r="N48" s="566"/>
      <c r="O48" s="149"/>
      <c r="P48" s="149"/>
      <c r="Q48" s="567" t="str">
        <f>IF(COUNTBLANK($O$34:$P$40)&lt;&gt;0,"",IF($O$39="win",M38,Q38))</f>
        <v/>
      </c>
      <c r="R48" s="568"/>
    </row>
    <row r="49" spans="13:18" ht="15.95" thickBot="1">
      <c r="M49" s="569" t="str">
        <f>IF(COUNTBLANK(O48:P48)&lt;&gt;0,"",IF($O$49="lose",$U$4,$U$3))</f>
        <v/>
      </c>
      <c r="N49" s="570"/>
      <c r="O49" s="187" t="str">
        <f>IF(OR(O48="",P48=""),"",IF((O48&gt;P48),"WIN","LOSE"))</f>
        <v/>
      </c>
      <c r="P49" s="187" t="str">
        <f>IF(OR(O48="",P48=""),"",IF((O48&lt;P48),"WIN","LOSE"))</f>
        <v/>
      </c>
      <c r="Q49" s="570" t="str">
        <f>IF(COUNTBLANK(O48:P48)&lt;&gt;0,"",IF($P$49="lose",$U$4,$U$3))</f>
        <v/>
      </c>
      <c r="R49" s="571"/>
    </row>
    <row r="50" spans="13:18">
      <c r="M50" s="559"/>
      <c r="N50" s="559"/>
      <c r="Q50" s="559"/>
      <c r="R50" s="559"/>
    </row>
  </sheetData>
  <sheetProtection algorithmName="SHA-512" hashValue="spkXJx2Q/aM2rw0VpSvl5SGLvkSkesDSw4cdgszVkAoNw+CQenlEQM6VNYYyqUVzpsd2doWf9/FftO0WWijsuQ==" saltValue="ZBCXBOjcZdpta1GKUvh/JA==" spinCount="100000" sheet="1" objects="1" scenarios="1"/>
  <mergeCells count="71">
    <mergeCell ref="M50:N50"/>
    <mergeCell ref="Q50:R50"/>
    <mergeCell ref="M46:R46"/>
    <mergeCell ref="M47:N47"/>
    <mergeCell ref="Q47:R47"/>
    <mergeCell ref="M48:N48"/>
    <mergeCell ref="Q48:R48"/>
    <mergeCell ref="M49:N49"/>
    <mergeCell ref="Q49:R49"/>
    <mergeCell ref="M43:N43"/>
    <mergeCell ref="Q43:R43"/>
    <mergeCell ref="M44:N44"/>
    <mergeCell ref="Q44:R44"/>
    <mergeCell ref="M45:N45"/>
    <mergeCell ref="Q45:R45"/>
    <mergeCell ref="M42:N42"/>
    <mergeCell ref="Q42:R42"/>
    <mergeCell ref="M36:N36"/>
    <mergeCell ref="Q36:R36"/>
    <mergeCell ref="M37:N37"/>
    <mergeCell ref="Q37:R37"/>
    <mergeCell ref="M38:N38"/>
    <mergeCell ref="Q38:R38"/>
    <mergeCell ref="M39:N39"/>
    <mergeCell ref="Q39:R39"/>
    <mergeCell ref="M40:N40"/>
    <mergeCell ref="Q40:R40"/>
    <mergeCell ref="M41:R41"/>
    <mergeCell ref="M35:N35"/>
    <mergeCell ref="Q35:R35"/>
    <mergeCell ref="M29:N29"/>
    <mergeCell ref="Q29:R29"/>
    <mergeCell ref="M30:N30"/>
    <mergeCell ref="Q30:R30"/>
    <mergeCell ref="M31:N31"/>
    <mergeCell ref="Q31:R31"/>
    <mergeCell ref="M32:R32"/>
    <mergeCell ref="M33:N33"/>
    <mergeCell ref="Q33:R33"/>
    <mergeCell ref="M34:N34"/>
    <mergeCell ref="Q34:R34"/>
    <mergeCell ref="M26:N26"/>
    <mergeCell ref="Q26:R26"/>
    <mergeCell ref="M27:N27"/>
    <mergeCell ref="Q27:R27"/>
    <mergeCell ref="M28:N28"/>
    <mergeCell ref="Q28:R28"/>
    <mergeCell ref="M23:N23"/>
    <mergeCell ref="Q23:R23"/>
    <mergeCell ref="M24:N24"/>
    <mergeCell ref="Q24:R24"/>
    <mergeCell ref="M25:N25"/>
    <mergeCell ref="Q25:R25"/>
    <mergeCell ref="M20:N20"/>
    <mergeCell ref="Q20:R20"/>
    <mergeCell ref="M21:N21"/>
    <mergeCell ref="Q21:R21"/>
    <mergeCell ref="M22:N22"/>
    <mergeCell ref="Q22:R22"/>
    <mergeCell ref="M17:N17"/>
    <mergeCell ref="Q17:R17"/>
    <mergeCell ref="M18:N18"/>
    <mergeCell ref="Q18:R18"/>
    <mergeCell ref="M19:N19"/>
    <mergeCell ref="Q19:R19"/>
    <mergeCell ref="A1:A13"/>
    <mergeCell ref="T1:U1"/>
    <mergeCell ref="A15:G15"/>
    <mergeCell ref="M15:R15"/>
    <mergeCell ref="M16:N16"/>
    <mergeCell ref="Q16:R16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834A-D0F5-C541-99BE-0878E9FA082F}">
  <sheetPr codeName="Sheet47"/>
  <dimension ref="A1:X46"/>
  <sheetViews>
    <sheetView workbookViewId="0">
      <selection sqref="A1:A19"/>
    </sheetView>
    <sheetView workbookViewId="1">
      <selection sqref="A1:A19"/>
    </sheetView>
  </sheetViews>
  <sheetFormatPr defaultColWidth="8.85546875" defaultRowHeight="15"/>
  <cols>
    <col min="1" max="1" width="10.7109375" style="44" customWidth="1"/>
    <col min="2" max="4" width="20" style="44" customWidth="1"/>
    <col min="5" max="6" width="10.7109375" style="44" customWidth="1"/>
    <col min="7" max="7" width="14.140625" style="44" bestFit="1" customWidth="1"/>
    <col min="8" max="8" width="16.28515625" style="44" hidden="1" customWidth="1"/>
    <col min="9" max="9" width="12" style="44" hidden="1" customWidth="1"/>
    <col min="10" max="10" width="10.7109375" style="44" hidden="1" customWidth="1"/>
    <col min="11" max="11" width="8" style="44" hidden="1" customWidth="1"/>
    <col min="12" max="12" width="14.140625" style="44" bestFit="1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 ht="15" customHeight="1">
      <c r="A1" s="550" t="s">
        <v>322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323</v>
      </c>
      <c r="U1" s="545"/>
      <c r="W1" s="44" t="s">
        <v>205</v>
      </c>
      <c r="X1" s="44">
        <f>COUNTIF(Games_2151178[[ATHLETE 1]:[ATHLETE 4]],W1)</f>
        <v>3</v>
      </c>
    </row>
    <row r="2" spans="1:24" ht="15" customHeight="1">
      <c r="A2" s="550"/>
      <c r="B2" s="430" t="s">
        <v>178</v>
      </c>
      <c r="C2" s="2" t="str">
        <f>$B$27</f>
        <v>HA1</v>
      </c>
      <c r="D2" s="38" t="str">
        <f>B23</f>
        <v>A1</v>
      </c>
      <c r="E2" s="100"/>
      <c r="F2" s="101"/>
      <c r="G2" s="41" t="str">
        <f>$B$28</f>
        <v>HA2</v>
      </c>
      <c r="H2" s="41"/>
      <c r="I2" s="41"/>
      <c r="J2" s="41"/>
      <c r="K2" s="41"/>
      <c r="L2" s="2" t="str">
        <f>B24</f>
        <v>A2</v>
      </c>
      <c r="M2" s="430" t="str">
        <f>IF(OR(Games_2151178[[#This Row],[SCORE 1]]="",Games_2151178[[#This Row],[SCORE 2]]=""),"",Games_2151178[[#This Row],[SCORE 1]]-Games_2151178[[#This Row],[SCORE 2]])</f>
        <v/>
      </c>
      <c r="N2" s="430" t="str">
        <f>IF(OR(Games_2151178[[#This Row],[SCORE 1]]="",Games_2151178[[#This Row],[SCORE 2]]=""),"",Games_2151178[[#This Row],[SCORE 2]]-Games_2151178[[#This Row],[SCORE 1]])</f>
        <v/>
      </c>
      <c r="O2" s="430" t="str">
        <f>IF(Games_2151178[[#This Row],[SCORE 1]]="","",Games_2151178[[#This Row],[SCORE 1]])</f>
        <v/>
      </c>
      <c r="P2" s="430" t="str">
        <f>IF(Games_2151178[[#This Row],[SCORE 2]]="","",Games_2151178[[#This Row],[SCORE 2]])</f>
        <v/>
      </c>
      <c r="Q2" s="430" t="str">
        <f>IF(OR(Games_2151178[[#This Row],[SCORE 1]]="",Games_2151178[[#This Row],[SCORE 2]]=""),"",IF(Games_2151178[[#This Row],[SALDO 12]]&gt;0, "WIN","LOSE"))</f>
        <v/>
      </c>
      <c r="R2" s="430" t="str">
        <f>IF(OR(Games_2151178[[#This Row],[SCORE 2]]="",Games_2151178[[#This Row],[SCORE 1]]=""),"",IF(Games_2151178[[#This Row],[SALDO 34]]&gt;0, "WIN","LOSE"))</f>
        <v/>
      </c>
      <c r="T2" s="35" t="s">
        <v>179</v>
      </c>
      <c r="U2" s="35" t="s">
        <v>8</v>
      </c>
      <c r="W2" s="44" t="s">
        <v>206</v>
      </c>
      <c r="X2" s="44">
        <f>COUNTIF(Games_2151178[[ATHLETE 1]:[ATHLETE 4]],W2)</f>
        <v>3</v>
      </c>
    </row>
    <row r="3" spans="1:24">
      <c r="A3" s="550"/>
      <c r="B3" s="430" t="s">
        <v>180</v>
      </c>
      <c r="C3" s="2" t="str">
        <f>$B$35</f>
        <v>HB1</v>
      </c>
      <c r="D3" s="38" t="str">
        <f>B31</f>
        <v>B1</v>
      </c>
      <c r="E3" s="100"/>
      <c r="F3" s="101"/>
      <c r="G3" s="41" t="str">
        <f>$B$36</f>
        <v>HB2</v>
      </c>
      <c r="H3" s="41"/>
      <c r="I3" s="41"/>
      <c r="J3" s="41"/>
      <c r="K3" s="41"/>
      <c r="L3" s="2" t="str">
        <f>B32</f>
        <v>B2</v>
      </c>
      <c r="M3" s="430" t="str">
        <f>IF(OR(Games_2151178[[#This Row],[SCORE 1]]="",Games_2151178[[#This Row],[SCORE 2]]=""),"",Games_2151178[[#This Row],[SCORE 1]]-Games_2151178[[#This Row],[SCORE 2]])</f>
        <v/>
      </c>
      <c r="N3" s="430" t="str">
        <f>IF(OR(Games_2151178[[#This Row],[SCORE 1]]="",Games_2151178[[#This Row],[SCORE 2]]=""),"",Games_2151178[[#This Row],[SCORE 2]]-Games_2151178[[#This Row],[SCORE 1]])</f>
        <v/>
      </c>
      <c r="O3" s="430" t="str">
        <f>IF(Games_2151178[[#This Row],[SCORE 1]]="","",Games_2151178[[#This Row],[SCORE 1]])</f>
        <v/>
      </c>
      <c r="P3" s="430" t="str">
        <f>IF(Games_2151178[[#This Row],[SCORE 2]]="","",Games_2151178[[#This Row],[SCORE 2]])</f>
        <v/>
      </c>
      <c r="Q3" s="430" t="str">
        <f>IF(OR(Games_2151178[[#This Row],[SCORE 1]]="",Games_2151178[[#This Row],[SCORE 2]]=""),"",IF(Games_2151178[[#This Row],[SALDO 12]]&gt;0, "WIN","LOSE"))</f>
        <v/>
      </c>
      <c r="R3" s="430" t="str">
        <f>IF(OR(Games_2151178[[#This Row],[SCORE 2]]="",Games_2151178[[#This Row],[SCORE 1]]=""),"",IF(Games_2151178[[#This Row],[SALDO 34]]&gt;0, "WIN","LOSE"))</f>
        <v/>
      </c>
      <c r="T3" s="2" t="str">
        <f>IFERROR(_xlfn.XLOOKUP(Table157223544789133510153180[[#This Row],[Rank]],$M$30:$R$30,$M$29:$R$29),"")</f>
        <v/>
      </c>
      <c r="U3" s="2" t="s">
        <v>19</v>
      </c>
      <c r="W3" s="44" t="s">
        <v>207</v>
      </c>
      <c r="X3" s="44">
        <f>COUNTIF(Games_2151178[[ATHLETE 1]:[ATHLETE 4]],W3)</f>
        <v>3</v>
      </c>
    </row>
    <row r="4" spans="1:24">
      <c r="A4" s="550"/>
      <c r="B4" s="430" t="s">
        <v>181</v>
      </c>
      <c r="C4" s="2" t="str">
        <f>$B$43</f>
        <v>HC1</v>
      </c>
      <c r="D4" s="38" t="str">
        <f>B39</f>
        <v>C1</v>
      </c>
      <c r="E4" s="100"/>
      <c r="F4" s="101"/>
      <c r="G4" s="41" t="str">
        <f>$B$44</f>
        <v>HC2</v>
      </c>
      <c r="H4" s="41"/>
      <c r="I4" s="41"/>
      <c r="J4" s="41"/>
      <c r="K4" s="41"/>
      <c r="L4" s="2" t="str">
        <f>B40</f>
        <v>C2</v>
      </c>
      <c r="M4" s="430" t="str">
        <f>IF(OR(Games_2151178[[#This Row],[SCORE 1]]="",Games_2151178[[#This Row],[SCORE 2]]=""),"",Games_2151178[[#This Row],[SCORE 1]]-Games_2151178[[#This Row],[SCORE 2]])</f>
        <v/>
      </c>
      <c r="N4" s="430" t="str">
        <f>IF(OR(Games_2151178[[#This Row],[SCORE 1]]="",Games_2151178[[#This Row],[SCORE 2]]=""),"",Games_2151178[[#This Row],[SCORE 2]]-Games_2151178[[#This Row],[SCORE 1]])</f>
        <v/>
      </c>
      <c r="O4" s="430" t="str">
        <f>IF(Games_2151178[[#This Row],[SCORE 1]]="","",Games_2151178[[#This Row],[SCORE 1]])</f>
        <v/>
      </c>
      <c r="P4" s="430" t="str">
        <f>IF(Games_2151178[[#This Row],[SCORE 2]]="","",Games_2151178[[#This Row],[SCORE 2]])</f>
        <v/>
      </c>
      <c r="Q4" s="430" t="str">
        <f>IF(OR(Games_2151178[[#This Row],[SCORE 1]]="",Games_2151178[[#This Row],[SCORE 2]]=""),"",IF(Games_2151178[[#This Row],[SALDO 12]]&gt;0, "WIN","LOSE"))</f>
        <v/>
      </c>
      <c r="R4" s="430" t="str">
        <f>IF(OR(Games_2151178[[#This Row],[SCORE 2]]="",Games_2151178[[#This Row],[SCORE 1]]=""),"",IF(Games_2151178[[#This Row],[SALDO 34]]&gt;0, "WIN","LOSE"))</f>
        <v/>
      </c>
      <c r="T4" s="2" t="str">
        <f>IFERROR(_xlfn.XLOOKUP(Table157223544789133510153180[[#This Row],[Rank]],$M$30:$R$30,$M$29:$R$29),"")</f>
        <v/>
      </c>
      <c r="U4" s="2" t="s">
        <v>22</v>
      </c>
    </row>
    <row r="5" spans="1:24">
      <c r="A5" s="550"/>
      <c r="B5" s="430" t="s">
        <v>178</v>
      </c>
      <c r="C5" s="2" t="str">
        <f>$B$27</f>
        <v>HA1</v>
      </c>
      <c r="D5" s="38" t="str">
        <f>B25</f>
        <v>A3</v>
      </c>
      <c r="E5" s="100"/>
      <c r="F5" s="101"/>
      <c r="G5" s="41" t="str">
        <f>$B$28</f>
        <v>HA2</v>
      </c>
      <c r="H5" s="41"/>
      <c r="I5" s="41"/>
      <c r="J5" s="41"/>
      <c r="K5" s="41"/>
      <c r="L5" s="2" t="str">
        <f>B26</f>
        <v>A4</v>
      </c>
      <c r="M5" s="430" t="str">
        <f>IF(OR(Games_2151178[[#This Row],[SCORE 1]]="",Games_2151178[[#This Row],[SCORE 2]]=""),"",Games_2151178[[#This Row],[SCORE 1]]-Games_2151178[[#This Row],[SCORE 2]])</f>
        <v/>
      </c>
      <c r="N5" s="430" t="str">
        <f>IF(OR(Games_2151178[[#This Row],[SCORE 1]]="",Games_2151178[[#This Row],[SCORE 2]]=""),"",Games_2151178[[#This Row],[SCORE 2]]-Games_2151178[[#This Row],[SCORE 1]])</f>
        <v/>
      </c>
      <c r="O5" s="430" t="str">
        <f>IF(Games_2151178[[#This Row],[SCORE 1]]="","",Games_2151178[[#This Row],[SCORE 1]])</f>
        <v/>
      </c>
      <c r="P5" s="430" t="str">
        <f>IF(Games_2151178[[#This Row],[SCORE 2]]="","",Games_2151178[[#This Row],[SCORE 2]])</f>
        <v/>
      </c>
      <c r="Q5" s="430" t="str">
        <f>IF(OR(Games_2151178[[#This Row],[SCORE 1]]="",Games_2151178[[#This Row],[SCORE 2]]=""),"",IF(Games_2151178[[#This Row],[SALDO 12]]&gt;0, "WIN","LOSE"))</f>
        <v/>
      </c>
      <c r="R5" s="430" t="str">
        <f>IF(OR(Games_2151178[[#This Row],[SCORE 2]]="",Games_2151178[[#This Row],[SCORE 1]]=""),"",IF(Games_2151178[[#This Row],[SALDO 34]]&gt;0, "WIN","LOSE"))</f>
        <v/>
      </c>
      <c r="T5" s="2" t="str">
        <f>IFERROR(_xlfn.XLOOKUP(Table157223544789133510153180[[#This Row],[Rank]],$M$24:$R$24,$M$23:$R$23),"")</f>
        <v/>
      </c>
      <c r="U5" s="2" t="s">
        <v>25</v>
      </c>
      <c r="W5" s="44" t="s">
        <v>208</v>
      </c>
      <c r="X5" s="44">
        <f>COUNTIF(Games_2151178[[ATHLETE 1]:[ATHLETE 4]],W5)</f>
        <v>3</v>
      </c>
    </row>
    <row r="6" spans="1:24">
      <c r="A6" s="550"/>
      <c r="B6" s="430" t="s">
        <v>180</v>
      </c>
      <c r="C6" s="2" t="str">
        <f>$B$35</f>
        <v>HB1</v>
      </c>
      <c r="D6" s="38" t="str">
        <f>B33</f>
        <v>B3</v>
      </c>
      <c r="E6" s="100"/>
      <c r="F6" s="101"/>
      <c r="G6" s="41" t="str">
        <f>$B$36</f>
        <v>HB2</v>
      </c>
      <c r="H6" s="41"/>
      <c r="I6" s="41"/>
      <c r="J6" s="41"/>
      <c r="K6" s="41"/>
      <c r="L6" s="2" t="str">
        <f>B34</f>
        <v>B4</v>
      </c>
      <c r="M6" s="11" t="str">
        <f>IF(OR(Games_2151178[[#This Row],[SCORE 1]]="",Games_2151178[[#This Row],[SCORE 2]]=""),"",Games_2151178[[#This Row],[SCORE 1]]-Games_2151178[[#This Row],[SCORE 2]])</f>
        <v/>
      </c>
      <c r="N6" s="430" t="str">
        <f>IF(OR(Games_2151178[[#This Row],[SCORE 1]]="",Games_2151178[[#This Row],[SCORE 2]]=""),"",Games_2151178[[#This Row],[SCORE 2]]-Games_2151178[[#This Row],[SCORE 1]])</f>
        <v/>
      </c>
      <c r="O6" s="430" t="str">
        <f>IF(Games_2151178[[#This Row],[SCORE 1]]="","",Games_2151178[[#This Row],[SCORE 1]])</f>
        <v/>
      </c>
      <c r="P6" s="430" t="str">
        <f>IF(Games_2151178[[#This Row],[SCORE 2]]="","",Games_2151178[[#This Row],[SCORE 2]])</f>
        <v/>
      </c>
      <c r="Q6" s="430" t="str">
        <f>IF(OR(Games_2151178[[#This Row],[SCORE 1]]="",Games_2151178[[#This Row],[SCORE 2]]=""),"",IF(Games_2151178[[#This Row],[SALDO 12]]&gt;0, "WIN","LOSE"))</f>
        <v/>
      </c>
      <c r="R6" s="430" t="str">
        <f>IF(OR(Games_2151178[[#This Row],[SCORE 2]]="",Games_2151178[[#This Row],[SCORE 1]]=""),"",IF(Games_2151178[[#This Row],[SALDO 34]]&gt;0, "WIN","LOSE"))</f>
        <v/>
      </c>
      <c r="T6" s="2" t="str">
        <f>IFERROR(_xlfn.XLOOKUP(Table157223544789133510153180[[#This Row],[Rank]],$M$24:$R$24,$M$23:$R$23),"")</f>
        <v/>
      </c>
      <c r="U6" s="2" t="s">
        <v>28</v>
      </c>
      <c r="W6" s="44" t="s">
        <v>230</v>
      </c>
      <c r="X6" s="44">
        <f>COUNTIF(Games_2151178[[ATHLETE 1]:[ATHLETE 4]],W6)</f>
        <v>0</v>
      </c>
    </row>
    <row r="7" spans="1:24">
      <c r="A7" s="550"/>
      <c r="B7" s="430" t="s">
        <v>181</v>
      </c>
      <c r="C7" s="2" t="str">
        <f>$B$43</f>
        <v>HC1</v>
      </c>
      <c r="D7" s="38" t="str">
        <f>B41</f>
        <v>C3</v>
      </c>
      <c r="E7" s="100"/>
      <c r="F7" s="101"/>
      <c r="G7" s="41" t="str">
        <f>$B$44</f>
        <v>HC2</v>
      </c>
      <c r="H7" s="41"/>
      <c r="I7" s="41"/>
      <c r="J7" s="41"/>
      <c r="K7" s="41"/>
      <c r="L7" s="2" t="str">
        <f>B42</f>
        <v>C4</v>
      </c>
      <c r="M7" s="2" t="str">
        <f>IF(OR(Games_2151178[[#This Row],[SCORE 1]]="",Games_2151178[[#This Row],[SCORE 2]]=""),"",Games_2151178[[#This Row],[SCORE 1]]-Games_2151178[[#This Row],[SCORE 2]])</f>
        <v/>
      </c>
      <c r="N7" s="430" t="str">
        <f>IF(OR(Games_2151178[[#This Row],[SCORE 1]]="",Games_2151178[[#This Row],[SCORE 2]]=""),"",Games_2151178[[#This Row],[SCORE 2]]-Games_2151178[[#This Row],[SCORE 1]])</f>
        <v/>
      </c>
      <c r="O7" s="430" t="str">
        <f>IF(Games_2151178[[#This Row],[SCORE 1]]="","",Games_2151178[[#This Row],[SCORE 1]])</f>
        <v/>
      </c>
      <c r="P7" s="430" t="str">
        <f>IF(Games_2151178[[#This Row],[SCORE 2]]="","",Games_2151178[[#This Row],[SCORE 2]])</f>
        <v/>
      </c>
      <c r="Q7" s="430" t="str">
        <f>IF(OR(Games_2151178[[#This Row],[SCORE 1]]="",Games_2151178[[#This Row],[SCORE 2]]=""),"",IF(Games_2151178[[#This Row],[SALDO 12]]&gt;0, "WIN","LOSE"))</f>
        <v/>
      </c>
      <c r="R7" s="430" t="str">
        <f>IF(OR(Games_2151178[[#This Row],[SCORE 2]]="",Games_2151178[[#This Row],[SCORE 1]]=""),"",IF(Games_2151178[[#This Row],[SALDO 34]]&gt;0, "WIN","LOSE"))</f>
        <v/>
      </c>
      <c r="T7" s="2" t="str" cm="1">
        <f t="array" ref="T7">_xlfn.TEXTJOIN(", ", TRUE, _xlfn._xlws.FILTER($K$23:$K$30, $J$23:$J$30=U7,""))</f>
        <v/>
      </c>
      <c r="U7" s="2" t="s">
        <v>31</v>
      </c>
    </row>
    <row r="8" spans="1:24">
      <c r="A8" s="550"/>
      <c r="B8" s="430" t="s">
        <v>178</v>
      </c>
      <c r="C8" s="2" t="str">
        <f>$B$27</f>
        <v>HA1</v>
      </c>
      <c r="D8" s="38" t="str">
        <f>B23</f>
        <v>A1</v>
      </c>
      <c r="E8" s="100"/>
      <c r="F8" s="101"/>
      <c r="G8" s="41" t="str">
        <f>$B$28</f>
        <v>HA2</v>
      </c>
      <c r="H8" s="41"/>
      <c r="I8" s="41"/>
      <c r="J8" s="41"/>
      <c r="K8" s="41"/>
      <c r="L8" s="2" t="str">
        <f>B25</f>
        <v>A3</v>
      </c>
      <c r="M8" s="2" t="str">
        <f>IF(OR(Games_2151178[[#This Row],[SCORE 1]]="",Games_2151178[[#This Row],[SCORE 2]]=""),"",Games_2151178[[#This Row],[SCORE 1]]-Games_2151178[[#This Row],[SCORE 2]])</f>
        <v/>
      </c>
      <c r="N8" s="430" t="str">
        <f>IF(OR(Games_2151178[[#This Row],[SCORE 1]]="",Games_2151178[[#This Row],[SCORE 2]]=""),"",Games_2151178[[#This Row],[SCORE 2]]-Games_2151178[[#This Row],[SCORE 1]])</f>
        <v/>
      </c>
      <c r="O8" s="430" t="str">
        <f>IF(Games_2151178[[#This Row],[SCORE 1]]="","",Games_2151178[[#This Row],[SCORE 1]])</f>
        <v/>
      </c>
      <c r="P8" s="430" t="str">
        <f>IF(Games_2151178[[#This Row],[SCORE 2]]="","",Games_2151178[[#This Row],[SCORE 2]])</f>
        <v/>
      </c>
      <c r="Q8" s="430" t="str">
        <f>IF(OR(Games_2151178[[#This Row],[SCORE 1]]="",Games_2151178[[#This Row],[SCORE 2]]=""),"",IF(Games_2151178[[#This Row],[SALDO 12]]&gt;0, "WIN","LOSE"))</f>
        <v/>
      </c>
      <c r="R8" s="430" t="str">
        <f>IF(OR(Games_2151178[[#This Row],[SCORE 2]]="",Games_2151178[[#This Row],[SCORE 1]]=""),"",IF(Games_2151178[[#This Row],[SALDO 34]]&gt;0, "WIN","LOSE"))</f>
        <v/>
      </c>
      <c r="T8" s="2" t="str" cm="1">
        <f t="array" ref="T8">_xlfn.TEXTJOIN(", ", TRUE, _xlfn._xlws.FILTER($K$23:$K$30, $J$23:$J$30=U8,""))</f>
        <v/>
      </c>
      <c r="U8" s="2" t="s">
        <v>34</v>
      </c>
      <c r="W8" s="44" t="s">
        <v>245</v>
      </c>
      <c r="X8" s="44">
        <f>COUNTIF(Games_2151178[[ATHLETE 1]:[ATHLETE 4]],W8)</f>
        <v>0</v>
      </c>
    </row>
    <row r="9" spans="1:24">
      <c r="A9" s="550"/>
      <c r="B9" s="430" t="s">
        <v>180</v>
      </c>
      <c r="C9" s="2" t="str">
        <f>$B$35</f>
        <v>HB1</v>
      </c>
      <c r="D9" s="38" t="str">
        <f>B31</f>
        <v>B1</v>
      </c>
      <c r="E9" s="100"/>
      <c r="F9" s="101"/>
      <c r="G9" s="41" t="str">
        <f>$B$36</f>
        <v>HB2</v>
      </c>
      <c r="H9" s="41"/>
      <c r="I9" s="41"/>
      <c r="J9" s="41"/>
      <c r="K9" s="41"/>
      <c r="L9" s="2" t="str">
        <f>B33</f>
        <v>B3</v>
      </c>
      <c r="M9" s="2" t="str">
        <f>IF(OR(Games_2151178[[#This Row],[SCORE 1]]="",Games_2151178[[#This Row],[SCORE 2]]=""),"",Games_2151178[[#This Row],[SCORE 1]]-Games_2151178[[#This Row],[SCORE 2]])</f>
        <v/>
      </c>
      <c r="N9" s="430" t="str">
        <f>IF(OR(Games_2151178[[#This Row],[SCORE 1]]="",Games_2151178[[#This Row],[SCORE 2]]=""),"",Games_2151178[[#This Row],[SCORE 2]]-Games_2151178[[#This Row],[SCORE 1]])</f>
        <v/>
      </c>
      <c r="O9" s="430" t="str">
        <f>IF(Games_2151178[[#This Row],[SCORE 1]]="","",Games_2151178[[#This Row],[SCORE 1]])</f>
        <v/>
      </c>
      <c r="P9" s="430" t="str">
        <f>IF(Games_2151178[[#This Row],[SCORE 2]]="","",Games_2151178[[#This Row],[SCORE 2]])</f>
        <v/>
      </c>
      <c r="Q9" s="430" t="str">
        <f>IF(OR(Games_2151178[[#This Row],[SCORE 1]]="",Games_2151178[[#This Row],[SCORE 2]]=""),"",IF(Games_2151178[[#This Row],[SALDO 12]]&gt;0, "WIN","LOSE"))</f>
        <v/>
      </c>
      <c r="R9" s="430" t="str">
        <f>IF(OR(Games_2151178[[#This Row],[SCORE 2]]="",Games_2151178[[#This Row],[SCORE 1]]=""),"",IF(Games_2151178[[#This Row],[SALDO 34]]&gt;0, "WIN","LOSE"))</f>
        <v/>
      </c>
      <c r="T9" s="2" t="str" cm="1">
        <f t="array" ref="T9">_xlfn.TEXTJOIN(", ", TRUE, _xlfn._xlws.FILTER($K$23:$K$30, $J$23:$J$30=U9,""))</f>
        <v/>
      </c>
      <c r="U9" s="2" t="s">
        <v>37</v>
      </c>
    </row>
    <row r="10" spans="1:24">
      <c r="A10" s="550"/>
      <c r="B10" s="430" t="s">
        <v>181</v>
      </c>
      <c r="C10" s="2" t="str">
        <f>$B$43</f>
        <v>HC1</v>
      </c>
      <c r="D10" s="38" t="str">
        <f>B39</f>
        <v>C1</v>
      </c>
      <c r="E10" s="100"/>
      <c r="F10" s="101"/>
      <c r="G10" s="41" t="str">
        <f>$B$44</f>
        <v>HC2</v>
      </c>
      <c r="H10" s="41"/>
      <c r="I10" s="41"/>
      <c r="J10" s="41"/>
      <c r="K10" s="41"/>
      <c r="L10" s="2" t="str">
        <f>B41</f>
        <v>C3</v>
      </c>
      <c r="M10" s="2" t="str">
        <f>IF(OR(Games_2151178[[#This Row],[SCORE 1]]="",Games_2151178[[#This Row],[SCORE 2]]=""),"",Games_2151178[[#This Row],[SCORE 1]]-Games_2151178[[#This Row],[SCORE 2]])</f>
        <v/>
      </c>
      <c r="N10" s="430" t="str">
        <f>IF(OR(Games_2151178[[#This Row],[SCORE 1]]="",Games_2151178[[#This Row],[SCORE 2]]=""),"",Games_2151178[[#This Row],[SCORE 2]]-Games_2151178[[#This Row],[SCORE 1]])</f>
        <v/>
      </c>
      <c r="O10" s="430" t="str">
        <f>IF(Games_2151178[[#This Row],[SCORE 1]]="","",Games_2151178[[#This Row],[SCORE 1]])</f>
        <v/>
      </c>
      <c r="P10" s="430" t="str">
        <f>IF(Games_2151178[[#This Row],[SCORE 2]]="","",Games_2151178[[#This Row],[SCORE 2]])</f>
        <v/>
      </c>
      <c r="Q10" s="430" t="str">
        <f>IF(OR(Games_2151178[[#This Row],[SCORE 1]]="",Games_2151178[[#This Row],[SCORE 2]]=""),"",IF(Games_2151178[[#This Row],[SALDO 12]]&gt;0, "WIN","LOSE"))</f>
        <v/>
      </c>
      <c r="R10" s="430" t="str">
        <f>IF(OR(Games_2151178[[#This Row],[SCORE 2]]="",Games_2151178[[#This Row],[SCORE 1]]=""),"",IF(Games_2151178[[#This Row],[SALDO 34]]&gt;0, "WIN","LOSE"))</f>
        <v/>
      </c>
      <c r="T10" s="2" t="str" cm="1">
        <f t="array" ref="T10">_xlfn.TEXTJOIN(", ", TRUE, _xlfn._xlws.FILTER($K$23:$K$30, $J$23:$J$30=U10,""))</f>
        <v/>
      </c>
      <c r="U10" s="2" t="s">
        <v>41</v>
      </c>
    </row>
    <row r="11" spans="1:24">
      <c r="A11" s="550"/>
      <c r="B11" s="430" t="s">
        <v>178</v>
      </c>
      <c r="C11" s="2" t="str">
        <f>$B$27</f>
        <v>HA1</v>
      </c>
      <c r="D11" s="38" t="str">
        <f>B24</f>
        <v>A2</v>
      </c>
      <c r="E11" s="100"/>
      <c r="F11" s="101"/>
      <c r="G11" s="41" t="str">
        <f>$B$28</f>
        <v>HA2</v>
      </c>
      <c r="H11" s="41"/>
      <c r="I11" s="41"/>
      <c r="J11" s="41"/>
      <c r="K11" s="41"/>
      <c r="L11" s="2" t="str">
        <f>B26</f>
        <v>A4</v>
      </c>
      <c r="M11" s="2" t="str">
        <f>IF(OR(Games_2151178[[#This Row],[SCORE 1]]="",Games_2151178[[#This Row],[SCORE 2]]=""),"",Games_2151178[[#This Row],[SCORE 1]]-Games_2151178[[#This Row],[SCORE 2]])</f>
        <v/>
      </c>
      <c r="N11" s="430" t="str">
        <f>IF(OR(Games_2151178[[#This Row],[SCORE 1]]="",Games_2151178[[#This Row],[SCORE 2]]=""),"",Games_2151178[[#This Row],[SCORE 2]]-Games_2151178[[#This Row],[SCORE 1]])</f>
        <v/>
      </c>
      <c r="O11" s="430" t="str">
        <f>IF(Games_2151178[[#This Row],[SCORE 1]]="","",Games_2151178[[#This Row],[SCORE 1]])</f>
        <v/>
      </c>
      <c r="P11" s="430" t="str">
        <f>IF(Games_2151178[[#This Row],[SCORE 2]]="","",Games_2151178[[#This Row],[SCORE 2]])</f>
        <v/>
      </c>
      <c r="Q11" s="430" t="str">
        <f>IF(OR(Games_2151178[[#This Row],[SCORE 1]]="",Games_2151178[[#This Row],[SCORE 2]]=""),"",IF(Games_2151178[[#This Row],[SALDO 12]]&gt;0, "WIN","LOSE"))</f>
        <v/>
      </c>
      <c r="R11" s="430" t="str">
        <f>IF(OR(Games_2151178[[#This Row],[SCORE 2]]="",Games_2151178[[#This Row],[SCORE 1]]=""),"",IF(Games_2151178[[#This Row],[SALDO 34]]&gt;0, "WIN","LOSE"))</f>
        <v/>
      </c>
      <c r="T11" s="2" t="str" cm="1">
        <f t="array" ref="T11">_xlfn.TEXTJOIN(", ", TRUE, _xlfn._xlws.FILTER($K$23:$K$30, $J$23:$J$30=U11,""))</f>
        <v/>
      </c>
      <c r="U11" s="2" t="s">
        <v>44</v>
      </c>
    </row>
    <row r="12" spans="1:24">
      <c r="A12" s="550"/>
      <c r="B12" s="430" t="s">
        <v>180</v>
      </c>
      <c r="C12" s="2" t="str">
        <f>$B$35</f>
        <v>HB1</v>
      </c>
      <c r="D12" s="38" t="str">
        <f>B32</f>
        <v>B2</v>
      </c>
      <c r="E12" s="100"/>
      <c r="F12" s="101"/>
      <c r="G12" s="41" t="str">
        <f>$B$36</f>
        <v>HB2</v>
      </c>
      <c r="H12" s="41"/>
      <c r="I12" s="41"/>
      <c r="J12" s="41"/>
      <c r="K12" s="41"/>
      <c r="L12" s="2" t="str">
        <f>B34</f>
        <v>B4</v>
      </c>
      <c r="M12" s="2" t="str">
        <f>IF(OR(Games_2151178[[#This Row],[SCORE 1]]="",Games_2151178[[#This Row],[SCORE 2]]=""),"",Games_2151178[[#This Row],[SCORE 1]]-Games_2151178[[#This Row],[SCORE 2]])</f>
        <v/>
      </c>
      <c r="N12" s="430" t="str">
        <f>IF(OR(Games_2151178[[#This Row],[SCORE 1]]="",Games_2151178[[#This Row],[SCORE 2]]=""),"",Games_2151178[[#This Row],[SCORE 2]]-Games_2151178[[#This Row],[SCORE 1]])</f>
        <v/>
      </c>
      <c r="O12" s="430" t="str">
        <f>IF(Games_2151178[[#This Row],[SCORE 1]]="","",Games_2151178[[#This Row],[SCORE 1]])</f>
        <v/>
      </c>
      <c r="P12" s="430" t="str">
        <f>IF(Games_2151178[[#This Row],[SCORE 2]]="","",Games_2151178[[#This Row],[SCORE 2]])</f>
        <v/>
      </c>
      <c r="Q12" s="430" t="str">
        <f>IF(OR(Games_2151178[[#This Row],[SCORE 1]]="",Games_2151178[[#This Row],[SCORE 2]]=""),"",IF(Games_2151178[[#This Row],[SALDO 12]]&gt;0, "WIN","LOSE"))</f>
        <v/>
      </c>
      <c r="R12" s="430" t="str">
        <f>IF(OR(Games_2151178[[#This Row],[SCORE 2]]="",Games_2151178[[#This Row],[SCORE 1]]=""),"",IF(Games_2151178[[#This Row],[SALDO 34]]&gt;0, "WIN","LOSE"))</f>
        <v/>
      </c>
      <c r="T12" s="2" t="str" cm="1">
        <f t="array" ref="T12">_xlfn.TEXTJOIN(", ", TRUE, _xlfn._xlws.FILTER($K$23:$K$30, $J$23:$J$30=U12,""))</f>
        <v/>
      </c>
      <c r="U12" s="2" t="s">
        <v>39</v>
      </c>
    </row>
    <row r="13" spans="1:24">
      <c r="A13" s="550"/>
      <c r="B13" s="430" t="s">
        <v>181</v>
      </c>
      <c r="C13" s="2" t="str">
        <f>$B$43</f>
        <v>HC1</v>
      </c>
      <c r="D13" s="38" t="str">
        <f>B40</f>
        <v>C2</v>
      </c>
      <c r="E13" s="100"/>
      <c r="F13" s="101"/>
      <c r="G13" s="41" t="str">
        <f>$B$44</f>
        <v>HC2</v>
      </c>
      <c r="H13" s="41"/>
      <c r="I13" s="41"/>
      <c r="J13" s="41"/>
      <c r="K13" s="41"/>
      <c r="L13" s="2" t="str">
        <f>B42</f>
        <v>C4</v>
      </c>
      <c r="M13" s="2" t="str">
        <f>IF(OR(Games_2151178[[#This Row],[SCORE 1]]="",Games_2151178[[#This Row],[SCORE 2]]=""),"",Games_2151178[[#This Row],[SCORE 1]]-Games_2151178[[#This Row],[SCORE 2]])</f>
        <v/>
      </c>
      <c r="N13" s="430" t="str">
        <f>IF(OR(Games_2151178[[#This Row],[SCORE 1]]="",Games_2151178[[#This Row],[SCORE 2]]=""),"",Games_2151178[[#This Row],[SCORE 2]]-Games_2151178[[#This Row],[SCORE 1]])</f>
        <v/>
      </c>
      <c r="O13" s="430" t="str">
        <f>IF(Games_2151178[[#This Row],[SCORE 1]]="","",Games_2151178[[#This Row],[SCORE 1]])</f>
        <v/>
      </c>
      <c r="P13" s="430" t="str">
        <f>IF(Games_2151178[[#This Row],[SCORE 2]]="","",Games_2151178[[#This Row],[SCORE 2]])</f>
        <v/>
      </c>
      <c r="Q13" s="430" t="str">
        <f>IF(OR(Games_2151178[[#This Row],[SCORE 1]]="",Games_2151178[[#This Row],[SCORE 2]]=""),"",IF(Games_2151178[[#This Row],[SALDO 12]]&gt;0, "WIN","LOSE"))</f>
        <v/>
      </c>
      <c r="R13" s="430" t="str">
        <f>IF(OR(Games_2151178[[#This Row],[SCORE 2]]="",Games_2151178[[#This Row],[SCORE 1]]=""),"",IF(Games_2151178[[#This Row],[SALDO 34]]&gt;0, "WIN","LOSE"))</f>
        <v/>
      </c>
      <c r="T13" s="2" t="str" cm="1">
        <f t="array" ref="T13">_xlfn.TEXTJOIN(", ", TRUE, _xlfn._xlws.FILTER($K$23:$K$30, $J$23:$J$30=U13,""))</f>
        <v/>
      </c>
      <c r="U13" s="2" t="s">
        <v>49</v>
      </c>
    </row>
    <row r="14" spans="1:24">
      <c r="A14" s="550"/>
      <c r="B14" s="430" t="s">
        <v>178</v>
      </c>
      <c r="C14" s="2" t="str">
        <f>$B$27</f>
        <v>HA1</v>
      </c>
      <c r="D14" s="38" t="str">
        <f>B26</f>
        <v>A4</v>
      </c>
      <c r="E14" s="100"/>
      <c r="F14" s="101"/>
      <c r="G14" s="41" t="str">
        <f>$B$28</f>
        <v>HA2</v>
      </c>
      <c r="H14" s="41"/>
      <c r="I14" s="41"/>
      <c r="J14" s="41"/>
      <c r="K14" s="41"/>
      <c r="L14" s="2" t="str">
        <f>B23</f>
        <v>A1</v>
      </c>
      <c r="M14" s="2" t="str">
        <f>IF(OR(Games_2151178[[#This Row],[SCORE 1]]="",Games_2151178[[#This Row],[SCORE 2]]=""),"",Games_2151178[[#This Row],[SCORE 1]]-Games_2151178[[#This Row],[SCORE 2]])</f>
        <v/>
      </c>
      <c r="N14" s="430" t="str">
        <f>IF(OR(Games_2151178[[#This Row],[SCORE 1]]="",Games_2151178[[#This Row],[SCORE 2]]=""),"",Games_2151178[[#This Row],[SCORE 2]]-Games_2151178[[#This Row],[SCORE 1]])</f>
        <v/>
      </c>
      <c r="O14" s="430" t="str">
        <f>IF(Games_2151178[[#This Row],[SCORE 1]]="","",Games_2151178[[#This Row],[SCORE 1]])</f>
        <v/>
      </c>
      <c r="P14" s="430" t="str">
        <f>IF(Games_2151178[[#This Row],[SCORE 2]]="","",Games_2151178[[#This Row],[SCORE 2]])</f>
        <v/>
      </c>
      <c r="Q14" s="430" t="str">
        <f>IF(OR(Games_2151178[[#This Row],[SCORE 1]]="",Games_2151178[[#This Row],[SCORE 2]]=""),"",IF(Games_2151178[[#This Row],[SALDO 12]]&gt;0, "WIN","LOSE"))</f>
        <v/>
      </c>
      <c r="R14" s="430" t="str">
        <f>IF(OR(Games_2151178[[#This Row],[SCORE 2]]="",Games_2151178[[#This Row],[SCORE 1]]=""),"",IF(Games_2151178[[#This Row],[SALDO 34]]&gt;0, "WIN","LOSE"))</f>
        <v/>
      </c>
      <c r="T14" s="2" t="str" cm="1">
        <f t="array" ref="T14">_xlfn.TEXTJOIN(", ", TRUE, _xlfn._xlws.FILTER($K$23:$K$30, $J$23:$J$30=U14,""))</f>
        <v/>
      </c>
      <c r="U14" s="2" t="s">
        <v>51</v>
      </c>
    </row>
    <row r="15" spans="1:24">
      <c r="A15" s="550"/>
      <c r="B15" s="11" t="s">
        <v>180</v>
      </c>
      <c r="C15" s="2" t="str">
        <f>$B$35</f>
        <v>HB1</v>
      </c>
      <c r="D15" s="38" t="str">
        <f>B34</f>
        <v>B4</v>
      </c>
      <c r="E15" s="111"/>
      <c r="F15" s="112"/>
      <c r="G15" s="41" t="str">
        <f>$B$36</f>
        <v>HB2</v>
      </c>
      <c r="H15" s="97"/>
      <c r="I15" s="97"/>
      <c r="J15" s="97"/>
      <c r="K15" s="97"/>
      <c r="L15" s="2" t="str">
        <f>B31</f>
        <v>B1</v>
      </c>
      <c r="M15" s="2" t="str">
        <f>IF(OR(Games_2151178[[#This Row],[SCORE 1]]="",Games_2151178[[#This Row],[SCORE 2]]=""),"",Games_2151178[[#This Row],[SCORE 1]]-Games_2151178[[#This Row],[SCORE 2]])</f>
        <v/>
      </c>
      <c r="N15" s="11" t="str">
        <f>IF(OR(Games_2151178[[#This Row],[SCORE 1]]="",Games_2151178[[#This Row],[SCORE 2]]=""),"",Games_2151178[[#This Row],[SCORE 2]]-Games_2151178[[#This Row],[SCORE 1]])</f>
        <v/>
      </c>
      <c r="O15" s="11" t="str">
        <f>IF(Games_2151178[[#This Row],[SCORE 1]]="","",Games_2151178[[#This Row],[SCORE 1]])</f>
        <v/>
      </c>
      <c r="P15" s="11" t="str">
        <f>IF(Games_2151178[[#This Row],[SCORE 2]]="","",Games_2151178[[#This Row],[SCORE 2]])</f>
        <v/>
      </c>
      <c r="Q15" s="11" t="str">
        <f>IF(OR(Games_2151178[[#This Row],[SCORE 1]]="",Games_2151178[[#This Row],[SCORE 2]]=""),"",IF(Games_2151178[[#This Row],[SALDO 12]]&gt;0, "WIN","LOSE"))</f>
        <v/>
      </c>
      <c r="R15" s="11" t="str">
        <f>IF(OR(Games_2151178[[#This Row],[SCORE 2]]="",Games_2151178[[#This Row],[SCORE 1]]=""),"",IF(Games_2151178[[#This Row],[SALDO 34]]&gt;0, "WIN","LOSE"))</f>
        <v/>
      </c>
    </row>
    <row r="16" spans="1:24">
      <c r="A16" s="550"/>
      <c r="B16" s="11" t="s">
        <v>181</v>
      </c>
      <c r="C16" s="2" t="str">
        <f>$B$43</f>
        <v>HC1</v>
      </c>
      <c r="D16" s="38" t="str">
        <f>B42</f>
        <v>C4</v>
      </c>
      <c r="E16" s="111"/>
      <c r="F16" s="112"/>
      <c r="G16" s="41" t="str">
        <f>$B$44</f>
        <v>HC2</v>
      </c>
      <c r="H16" s="97"/>
      <c r="I16" s="97"/>
      <c r="J16" s="97"/>
      <c r="K16" s="97"/>
      <c r="L16" s="2" t="str">
        <f>B39</f>
        <v>C1</v>
      </c>
      <c r="M16" s="2" t="str">
        <f>IF(OR(Games_2151178[[#This Row],[SCORE 1]]="",Games_2151178[[#This Row],[SCORE 2]]=""),"",Games_2151178[[#This Row],[SCORE 1]]-Games_2151178[[#This Row],[SCORE 2]])</f>
        <v/>
      </c>
      <c r="N16" s="11" t="str">
        <f>IF(OR(Games_2151178[[#This Row],[SCORE 1]]="",Games_2151178[[#This Row],[SCORE 2]]=""),"",Games_2151178[[#This Row],[SCORE 2]]-Games_2151178[[#This Row],[SCORE 1]])</f>
        <v/>
      </c>
      <c r="O16" s="11" t="str">
        <f>IF(Games_2151178[[#This Row],[SCORE 1]]="","",Games_2151178[[#This Row],[SCORE 1]])</f>
        <v/>
      </c>
      <c r="P16" s="11" t="str">
        <f>IF(Games_2151178[[#This Row],[SCORE 2]]="","",Games_2151178[[#This Row],[SCORE 2]])</f>
        <v/>
      </c>
      <c r="Q16" s="11" t="str">
        <f>IF(OR(Games_2151178[[#This Row],[SCORE 1]]="",Games_2151178[[#This Row],[SCORE 2]]=""),"",IF(Games_2151178[[#This Row],[SALDO 12]]&gt;0, "WIN","LOSE"))</f>
        <v/>
      </c>
      <c r="R16" s="11" t="str">
        <f>IF(OR(Games_2151178[[#This Row],[SCORE 2]]="",Games_2151178[[#This Row],[SCORE 1]]=""),"",IF(Games_2151178[[#This Row],[SALDO 34]]&gt;0, "WIN","LOSE"))</f>
        <v/>
      </c>
    </row>
    <row r="17" spans="1:19">
      <c r="A17" s="550"/>
      <c r="B17" s="11" t="s">
        <v>178</v>
      </c>
      <c r="C17" s="2" t="str">
        <f>$B$27</f>
        <v>HA1</v>
      </c>
      <c r="D17" s="38" t="str">
        <f>B24</f>
        <v>A2</v>
      </c>
      <c r="E17" s="111"/>
      <c r="F17" s="112"/>
      <c r="G17" s="41" t="str">
        <f>$B$28</f>
        <v>HA2</v>
      </c>
      <c r="H17" s="97"/>
      <c r="I17" s="97"/>
      <c r="J17" s="97"/>
      <c r="K17" s="97"/>
      <c r="L17" s="2" t="str">
        <f>B25</f>
        <v>A3</v>
      </c>
      <c r="M17" s="2" t="str">
        <f>IF(OR(Games_2151178[[#This Row],[SCORE 1]]="",Games_2151178[[#This Row],[SCORE 2]]=""),"",Games_2151178[[#This Row],[SCORE 1]]-Games_2151178[[#This Row],[SCORE 2]])</f>
        <v/>
      </c>
      <c r="N17" s="11" t="str">
        <f>IF(OR(Games_2151178[[#This Row],[SCORE 1]]="",Games_2151178[[#This Row],[SCORE 2]]=""),"",Games_2151178[[#This Row],[SCORE 2]]-Games_2151178[[#This Row],[SCORE 1]])</f>
        <v/>
      </c>
      <c r="O17" s="11" t="str">
        <f>IF(Games_2151178[[#This Row],[SCORE 1]]="","",Games_2151178[[#This Row],[SCORE 1]])</f>
        <v/>
      </c>
      <c r="P17" s="11" t="str">
        <f>IF(Games_2151178[[#This Row],[SCORE 2]]="","",Games_2151178[[#This Row],[SCORE 2]])</f>
        <v/>
      </c>
      <c r="Q17" s="11" t="str">
        <f>IF(OR(Games_2151178[[#This Row],[SCORE 1]]="",Games_2151178[[#This Row],[SCORE 2]]=""),"",IF(Games_2151178[[#This Row],[SALDO 12]]&gt;0, "WIN","LOSE"))</f>
        <v/>
      </c>
      <c r="R17" s="11" t="str">
        <f>IF(OR(Games_2151178[[#This Row],[SCORE 2]]="",Games_2151178[[#This Row],[SCORE 1]]=""),"",IF(Games_2151178[[#This Row],[SALDO 34]]&gt;0, "WIN","LOSE"))</f>
        <v/>
      </c>
    </row>
    <row r="18" spans="1:19">
      <c r="A18" s="550"/>
      <c r="B18" s="11" t="s">
        <v>180</v>
      </c>
      <c r="C18" s="2" t="str">
        <f>$B$35</f>
        <v>HB1</v>
      </c>
      <c r="D18" s="38" t="str">
        <f>B32</f>
        <v>B2</v>
      </c>
      <c r="E18" s="111"/>
      <c r="F18" s="112"/>
      <c r="G18" s="41" t="str">
        <f>$B$36</f>
        <v>HB2</v>
      </c>
      <c r="H18" s="97"/>
      <c r="I18" s="97"/>
      <c r="J18" s="97"/>
      <c r="K18" s="97"/>
      <c r="L18" s="2" t="str">
        <f>B33</f>
        <v>B3</v>
      </c>
      <c r="M18" s="2" t="str">
        <f>IF(OR(Games_2151178[[#This Row],[SCORE 1]]="",Games_2151178[[#This Row],[SCORE 2]]=""),"",Games_2151178[[#This Row],[SCORE 1]]-Games_2151178[[#This Row],[SCORE 2]])</f>
        <v/>
      </c>
      <c r="N18" s="11" t="str">
        <f>IF(OR(Games_2151178[[#This Row],[SCORE 1]]="",Games_2151178[[#This Row],[SCORE 2]]=""),"",Games_2151178[[#This Row],[SCORE 2]]-Games_2151178[[#This Row],[SCORE 1]])</f>
        <v/>
      </c>
      <c r="O18" s="11" t="str">
        <f>IF(Games_2151178[[#This Row],[SCORE 1]]="","",Games_2151178[[#This Row],[SCORE 1]])</f>
        <v/>
      </c>
      <c r="P18" s="11" t="str">
        <f>IF(Games_2151178[[#This Row],[SCORE 2]]="","",Games_2151178[[#This Row],[SCORE 2]])</f>
        <v/>
      </c>
      <c r="Q18" s="11" t="str">
        <f>IF(OR(Games_2151178[[#This Row],[SCORE 1]]="",Games_2151178[[#This Row],[SCORE 2]]=""),"",IF(Games_2151178[[#This Row],[SALDO 12]]&gt;0, "WIN","LOSE"))</f>
        <v/>
      </c>
      <c r="R18" s="11" t="str">
        <f>IF(OR(Games_2151178[[#This Row],[SCORE 2]]="",Games_2151178[[#This Row],[SCORE 1]]=""),"",IF(Games_2151178[[#This Row],[SALDO 34]]&gt;0, "WIN","LOSE"))</f>
        <v/>
      </c>
    </row>
    <row r="19" spans="1:19">
      <c r="A19" s="550"/>
      <c r="B19" s="11" t="s">
        <v>181</v>
      </c>
      <c r="C19" s="2" t="str">
        <f>$B$43</f>
        <v>HC1</v>
      </c>
      <c r="D19" s="38" t="str">
        <f>B40</f>
        <v>C2</v>
      </c>
      <c r="E19" s="111"/>
      <c r="F19" s="112"/>
      <c r="G19" s="41" t="str">
        <f>$B$44</f>
        <v>HC2</v>
      </c>
      <c r="H19" s="97"/>
      <c r="I19" s="97"/>
      <c r="J19" s="97"/>
      <c r="K19" s="97"/>
      <c r="L19" s="360" t="str">
        <f>B41</f>
        <v>C3</v>
      </c>
      <c r="M19" s="11" t="str">
        <f>IF(OR(Games_2151178[[#This Row],[SCORE 1]]="",Games_2151178[[#This Row],[SCORE 2]]=""),"",Games_2151178[[#This Row],[SCORE 1]]-Games_2151178[[#This Row],[SCORE 2]])</f>
        <v/>
      </c>
      <c r="N19" s="11" t="str">
        <f>IF(OR(Games_2151178[[#This Row],[SCORE 1]]="",Games_2151178[[#This Row],[SCORE 2]]=""),"",Games_2151178[[#This Row],[SCORE 2]]-Games_2151178[[#This Row],[SCORE 1]])</f>
        <v/>
      </c>
      <c r="O19" s="11" t="str">
        <f>IF(Games_2151178[[#This Row],[SCORE 1]]="","",Games_2151178[[#This Row],[SCORE 1]])</f>
        <v/>
      </c>
      <c r="P19" s="11" t="str">
        <f>IF(Games_2151178[[#This Row],[SCORE 2]]="","",Games_2151178[[#This Row],[SCORE 2]])</f>
        <v/>
      </c>
      <c r="Q19" s="11" t="str">
        <f>IF(OR(Games_2151178[[#This Row],[SCORE 1]]="",Games_2151178[[#This Row],[SCORE 2]]=""),"",IF(Games_2151178[[#This Row],[SALDO 12]]&gt;0, "WIN","LOSE"))</f>
        <v/>
      </c>
      <c r="R19" s="11" t="str">
        <f>IF(OR(Games_2151178[[#This Row],[SCORE 2]]="",Games_2151178[[#This Row],[SCORE 1]]=""),"",IF(Games_2151178[[#This Row],[SALDO 34]]&gt;0, "WIN","LOSE"))</f>
        <v/>
      </c>
    </row>
    <row r="20" spans="1:19" ht="30" customHeight="1"/>
    <row r="21" spans="1:19" ht="29.1">
      <c r="A21" s="546" t="s">
        <v>182</v>
      </c>
      <c r="B21" s="547"/>
      <c r="C21" s="547"/>
      <c r="D21" s="547"/>
      <c r="E21" s="547"/>
      <c r="F21" s="547"/>
      <c r="G21" s="547"/>
      <c r="H21" s="420"/>
      <c r="I21" s="420"/>
      <c r="J21" s="420"/>
      <c r="K21" s="420"/>
      <c r="M21" s="548" t="s">
        <v>199</v>
      </c>
      <c r="N21" s="549"/>
      <c r="O21" s="549"/>
      <c r="P21" s="549"/>
      <c r="Q21" s="549"/>
      <c r="R21" s="549"/>
    </row>
    <row r="22" spans="1:19" ht="15.95">
      <c r="A22" s="6" t="s">
        <v>246</v>
      </c>
      <c r="B22" s="43" t="s">
        <v>185</v>
      </c>
      <c r="C22" s="43" t="s">
        <v>186</v>
      </c>
      <c r="D22" s="43" t="s">
        <v>187</v>
      </c>
      <c r="E22" s="43" t="s">
        <v>188</v>
      </c>
      <c r="F22" s="43" t="s">
        <v>189</v>
      </c>
      <c r="G22" s="43" t="s">
        <v>8</v>
      </c>
      <c r="H22" s="425" t="s">
        <v>204</v>
      </c>
      <c r="I22" s="425" t="s">
        <v>191</v>
      </c>
      <c r="J22" s="425" t="s">
        <v>192</v>
      </c>
      <c r="K22" s="425" t="s">
        <v>1</v>
      </c>
      <c r="L22" s="425" t="s">
        <v>277</v>
      </c>
      <c r="M22" s="424" t="s">
        <v>193</v>
      </c>
      <c r="N22" s="424" t="s">
        <v>194</v>
      </c>
      <c r="O22" s="552" t="s">
        <v>195</v>
      </c>
      <c r="P22" s="553"/>
      <c r="Q22" s="424" t="s">
        <v>196</v>
      </c>
      <c r="R22" s="424" t="s">
        <v>197</v>
      </c>
    </row>
    <row r="23" spans="1:19">
      <c r="A23" s="3" t="s">
        <v>205</v>
      </c>
      <c r="B23" s="102" t="s">
        <v>205</v>
      </c>
      <c r="C23" s="14">
        <f>SUM(COUNTIFS(Games_2151178[ATHLETE 2],Analysis_3152179[[#This Row],[Atheletes ]],Games_2151178[RESULT 12],Analysis_3152179[[#Headers],[WIN]]),COUNTIFS(Games_2151178[ATHLETE 4],Analysis_3152179[[#This Row],[Atheletes ]],Games_2151178[RESULT 34],Analysis_3152179[[#Headers],[WIN]]))</f>
        <v>0</v>
      </c>
      <c r="D23" s="14">
        <f>SUM(COUNTIFS(Games_2151178[ATHLETE 2],Analysis_3152179[[#This Row],[Atheletes ]],Games_2151178[RESULT 12],Analysis_3152179[[#Headers],[LOSE]]),COUNTIFS(Games_2151178[ATHLETE 4],Analysis_3152179[[#This Row],[Atheletes ]],Games_2151178[RESULT 34],Analysis_3152179[[#Headers],[LOSE]]))</f>
        <v>0</v>
      </c>
      <c r="E23" s="46">
        <f>SUM(SUMIF(Games_2151178[ATHLETE 2],Analysis_3152179[[#This Row],[Atheletes ]],Games_2151178[SALDO 12]),SUMIF(Games_2151178[ATHLETE 4],Analysis_3152179[[#This Row],[Atheletes ]],Games_2151178[SALDO 34]))</f>
        <v>0</v>
      </c>
      <c r="F23" s="46">
        <f>SUM(SUMIF(Games_2151178[ATHLETE 2],Analysis_3152179[[#This Row],[Atheletes ]],Games_2151178[PM 12]),SUMIF(Games_2151178[ATHLETE 4],Analysis_3152179[[#This Row],[Atheletes ]],Games_2151178[PM 34]))</f>
        <v>0</v>
      </c>
      <c r="G23" s="430" t="str">
        <f>IF(COUNTBLANK(Games_2151178[[SCORE 1]:[SCORE 2]])=0,IF(RANK(H23,$H$23:$H$26)=1,RANK(H23,$H$23:$H$26)&amp;"st",IF(RANK(H23,$H$23:$H$26)=2,RANK(H23,$H$23:$H$26)&amp;"nd",IF(RANK(H23,$H$23:$H$26)=3,RANK(H23,$H$23:$H$26)&amp;"rd",RANK(H23,$H$23:$H$26)&amp;"th"))),"")</f>
        <v/>
      </c>
      <c r="H23" s="51">
        <f>Analysis_3152179[[#This Row],[WIN]]*1000000+Analysis_3152179[[#This Row],[Saldo]]*1000+Analysis_3152179[[#This Row],[PM]]</f>
        <v>0</v>
      </c>
      <c r="I23" s="51">
        <f>H23</f>
        <v>0</v>
      </c>
      <c r="J23" s="2" t="str">
        <f>IF(COUNTBLANK(Games_2151178[[SCORE 1]:[SCORE 2]])=0,IF(RANK(I23,$I$23:$I$34)=1,RANK(I23,$I$23:$I$34)&amp;"st",IF(RANK(I23,$I$23:$I$34)=2,RANK(I23,$I$23:$I$34)&amp;"nd",IF(RANK(I23,$I$23:$I$34)=3,RANK(I23,$I$23:$I$34)&amp;"rd",RANK(I23,$I$23:$I$34)&amp;"th"))),"")</f>
        <v/>
      </c>
      <c r="K23" s="51" t="str">
        <f>Analysis_3152179[[#This Row],[Atheletes ]]</f>
        <v>A1</v>
      </c>
      <c r="L23" s="2" t="str">
        <f>J23</f>
        <v/>
      </c>
      <c r="M23" s="432" t="str" cm="1">
        <f t="array" ref="M23">IF(COUNTBLANK(Games_2151178[[SCORE 1]:[SCORE 2]])=0,_xlfn.TEXTJOIN(", ", TRUE, _xlfn._xlws.FILTER($K$23:$K$34, $J$23:$J$34=U3,"")),"")</f>
        <v/>
      </c>
      <c r="N23" s="432" t="str" cm="1">
        <f t="array" ref="N23">IF(COUNTBLANK(Games_2151178[[SCORE 1]:[SCORE 2]])=0,_xlfn.TEXTJOIN(", ", TRUE, _xlfn._xlws.FILTER($K$23:$K$34, $J$23:$J$34=U4,"")),"")</f>
        <v/>
      </c>
      <c r="O23" s="99"/>
      <c r="P23" s="98"/>
      <c r="Q23" s="432" t="str" cm="1">
        <f t="array" ref="Q23">IF(COUNTBLANK(Games_2151178[[SCORE 1]:[SCORE 2]])=0,_xlfn.TEXTJOIN(", ", TRUE, _xlfn._xlws.FILTER($K$23:$K$34, $J$23:$J$34=U5,"")),"")</f>
        <v/>
      </c>
      <c r="R23" s="432" t="str" cm="1">
        <f t="array" ref="R23">IF(COUNTBLANK(Games_2151178[[SCORE 1]:[SCORE 2]])=0,_xlfn.TEXTJOIN(", ", TRUE, _xlfn._xlws.FILTER($K$23:$K$34, $J$23:$J$34=U6,"")),"")</f>
        <v/>
      </c>
      <c r="S23" s="47"/>
    </row>
    <row r="24" spans="1:19">
      <c r="A24" s="3" t="s">
        <v>206</v>
      </c>
      <c r="B24" s="102" t="s">
        <v>206</v>
      </c>
      <c r="C24" s="14">
        <f>SUM(COUNTIFS(Games_2151178[ATHLETE 2],Analysis_3152179[[#This Row],[Atheletes ]],Games_2151178[RESULT 12],Analysis_3152179[[#Headers],[WIN]]),COUNTIFS(Games_2151178[ATHLETE 4],Analysis_3152179[[#This Row],[Atheletes ]],Games_2151178[RESULT 34],Analysis_3152179[[#Headers],[WIN]]))</f>
        <v>0</v>
      </c>
      <c r="D24" s="14">
        <f>SUM(COUNTIFS(Games_2151178[ATHLETE 2],Analysis_3152179[[#This Row],[Atheletes ]],Games_2151178[RESULT 12],Analysis_3152179[[#Headers],[LOSE]]),COUNTIFS(Games_2151178[ATHLETE 4],Analysis_3152179[[#This Row],[Atheletes ]],Games_2151178[RESULT 34],Analysis_3152179[[#Headers],[LOSE]]))</f>
        <v>0</v>
      </c>
      <c r="E24" s="46">
        <f>SUM(SUMIF(Games_2151178[ATHLETE 2],Analysis_3152179[[#This Row],[Atheletes ]],Games_2151178[SALDO 12]),SUMIF(Games_2151178[ATHLETE 4],Analysis_3152179[[#This Row],[Atheletes ]],Games_2151178[SALDO 34]))</f>
        <v>0</v>
      </c>
      <c r="F24" s="46">
        <f>SUM(SUMIF(Games_2151178[ATHLETE 2],Analysis_3152179[[#This Row],[Atheletes ]],Games_2151178[PM 12]),SUMIF(Games_2151178[ATHLETE 4],Analysis_3152179[[#This Row],[Atheletes ]],Games_2151178[PM 34]))</f>
        <v>0</v>
      </c>
      <c r="G24" s="430" t="str">
        <f>IF(COUNTBLANK(Games_2151178[[SCORE 1]:[SCORE 2]])=0,IF(RANK(H24,$H$23:$H$26)=1,RANK(H24,$H$23:$H$26)&amp;"st",IF(RANK(H24,$H$23:$H$26)=2,RANK(H24,$H$23:$H$26)&amp;"nd",IF(RANK(H24,$H$23:$H$26)=3,RANK(H24,$H$23:$H$26)&amp;"rd",RANK(H24,$H$23:$H$26)&amp;"th"))),"")</f>
        <v/>
      </c>
      <c r="H24" s="51">
        <f>Analysis_3152179[[#This Row],[WIN]]*1000000+Analysis_3152179[[#This Row],[Saldo]]*1000+Analysis_3152179[[#This Row],[PM]]</f>
        <v>0</v>
      </c>
      <c r="I24" s="51">
        <f t="shared" ref="I24:I26" si="0">H24</f>
        <v>0</v>
      </c>
      <c r="J24" s="2" t="str">
        <f>IF(COUNTBLANK(Games_2151178[[SCORE 1]:[SCORE 2]])=0,IF(RANK(I24,$I$23:$I$34)=1,RANK(I24,$I$23:$I$34)&amp;"st",IF(RANK(I24,$I$23:$I$34)=2,RANK(I24,$I$23:$I$34)&amp;"nd",IF(RANK(I24,$I$23:$I$34)=3,RANK(I24,$I$23:$I$34)&amp;"rd",RANK(I24,$I$23:$I$34)&amp;"th"))),"")</f>
        <v/>
      </c>
      <c r="K24" s="51" t="str">
        <f>Analysis_3152179[[#This Row],[Atheletes ]]</f>
        <v>A2</v>
      </c>
      <c r="L24" s="2" t="str">
        <f t="shared" ref="L24:L26" si="1">J24</f>
        <v/>
      </c>
      <c r="M24" s="50" t="str">
        <f>IF(OR($O$23="",$P$23=""),"",IF($O$24="lose",$U$5,""))</f>
        <v/>
      </c>
      <c r="N24" s="50" t="str">
        <f>IF(OR($O$23="",$P$23=""),"",IF($O$24="lose",$U$6,""))</f>
        <v/>
      </c>
      <c r="O24" s="2" t="str">
        <f>IF(OR(O23="",P23=""),"",IF((O23&gt;P23),"WIN","LOSE"))</f>
        <v/>
      </c>
      <c r="P24" s="2" t="str">
        <f>IF(OR(O23="",P23=""),"",IF((O23&lt;P23),"WIN","LOSE"))</f>
        <v/>
      </c>
      <c r="Q24" s="50" t="str">
        <f>IF(OR($O$23="",$P$23=""),"",IF($P$24="lose",$U$5,""))</f>
        <v/>
      </c>
      <c r="R24" s="50" t="str">
        <f>IF(OR($O$23="",$P$23=""),"",IF($P$24="lose",$U$6,""))</f>
        <v/>
      </c>
    </row>
    <row r="25" spans="1:19" ht="15.95">
      <c r="A25" s="5" t="s">
        <v>207</v>
      </c>
      <c r="B25" s="102" t="s">
        <v>207</v>
      </c>
      <c r="C25" s="14">
        <f>SUM(COUNTIFS(Games_2151178[ATHLETE 2],Analysis_3152179[[#This Row],[Atheletes ]],Games_2151178[RESULT 12],Analysis_3152179[[#Headers],[WIN]]),COUNTIFS(Games_2151178[ATHLETE 4],Analysis_3152179[[#This Row],[Atheletes ]],Games_2151178[RESULT 34],Analysis_3152179[[#Headers],[WIN]]))</f>
        <v>0</v>
      </c>
      <c r="D25" s="14">
        <f>SUM(COUNTIFS(Games_2151178[ATHLETE 2],Analysis_3152179[[#This Row],[Atheletes ]],Games_2151178[RESULT 12],Analysis_3152179[[#Headers],[LOSE]]),COUNTIFS(Games_2151178[ATHLETE 4],Analysis_3152179[[#This Row],[Atheletes ]],Games_2151178[RESULT 34],Analysis_3152179[[#Headers],[LOSE]]))</f>
        <v>0</v>
      </c>
      <c r="E25" s="46">
        <f>SUM(SUMIF(Games_2151178[ATHLETE 2],Analysis_3152179[[#This Row],[Atheletes ]],Games_2151178[SALDO 12]),SUMIF(Games_2151178[ATHLETE 4],Analysis_3152179[[#This Row],[Atheletes ]],Games_2151178[SALDO 34]))</f>
        <v>0</v>
      </c>
      <c r="F25" s="46">
        <f>SUM(SUMIF(Games_2151178[ATHLETE 2],Analysis_3152179[[#This Row],[Atheletes ]],Games_2151178[PM 12]),SUMIF(Games_2151178[ATHLETE 4],Analysis_3152179[[#This Row],[Atheletes ]],Games_2151178[PM 34]))</f>
        <v>0</v>
      </c>
      <c r="G25" s="430" t="str">
        <f>IF(COUNTBLANK(Games_2151178[[SCORE 1]:[SCORE 2]])=0,IF(RANK(H25,$H$23:$H$26)=1,RANK(H25,$H$23:$H$26)&amp;"st",IF(RANK(H25,$H$23:$H$26)=2,RANK(H25,$H$23:$H$26)&amp;"nd",IF(RANK(H25,$H$23:$H$26)=3,RANK(H25,$H$23:$H$26)&amp;"rd",RANK(H25,$H$23:$H$26)&amp;"th"))),"")</f>
        <v/>
      </c>
      <c r="H25" s="51">
        <f>Analysis_3152179[[#This Row],[WIN]]*1000000+Analysis_3152179[[#This Row],[Saldo]]*1000+Analysis_3152179[[#This Row],[PM]]</f>
        <v>0</v>
      </c>
      <c r="I25" s="51">
        <f t="shared" si="0"/>
        <v>0</v>
      </c>
      <c r="J25" s="2" t="str">
        <f>IF(COUNTBLANK(Games_2151178[[SCORE 1]:[SCORE 2]])=0,IF(RANK(I25,$I$23:$I$34)=1,RANK(I25,$I$23:$I$34)&amp;"st",IF(RANK(I25,$I$23:$I$34)=2,RANK(I25,$I$23:$I$34)&amp;"nd",IF(RANK(I25,$I$23:$I$34)=3,RANK(I25,$I$23:$I$34)&amp;"rd",RANK(I25,$I$23:$I$34)&amp;"th"))),"")</f>
        <v/>
      </c>
      <c r="K25" s="51" t="str">
        <f>Analysis_3152179[[#This Row],[Atheletes ]]</f>
        <v>A3</v>
      </c>
      <c r="L25" s="2" t="str">
        <f t="shared" si="1"/>
        <v/>
      </c>
      <c r="M25" s="173">
        <v>1</v>
      </c>
      <c r="N25" s="173">
        <v>2</v>
      </c>
      <c r="Q25" s="173">
        <v>3</v>
      </c>
      <c r="R25" s="173">
        <v>4</v>
      </c>
    </row>
    <row r="26" spans="1:19" ht="30" customHeight="1">
      <c r="A26" s="3" t="s">
        <v>208</v>
      </c>
      <c r="B26" s="102" t="s">
        <v>208</v>
      </c>
      <c r="C26" s="14">
        <f>SUM(COUNTIFS(Games_2151178[ATHLETE 2],Analysis_3152179[[#This Row],[Atheletes ]],Games_2151178[RESULT 12],Analysis_3152179[[#Headers],[WIN]]),COUNTIFS(Games_2151178[ATHLETE 4],Analysis_3152179[[#This Row],[Atheletes ]],Games_2151178[RESULT 34],Analysis_3152179[[#Headers],[WIN]]))</f>
        <v>0</v>
      </c>
      <c r="D26" s="14">
        <f>SUM(COUNTIFS(Games_2151178[ATHLETE 2],Analysis_3152179[[#This Row],[Atheletes ]],Games_2151178[RESULT 12],Analysis_3152179[[#Headers],[LOSE]]),COUNTIFS(Games_2151178[ATHLETE 4],Analysis_3152179[[#This Row],[Atheletes ]],Games_2151178[RESULT 34],Analysis_3152179[[#Headers],[LOSE]]))</f>
        <v>0</v>
      </c>
      <c r="E26" s="46">
        <f>SUM(SUMIF(Games_2151178[ATHLETE 2],Analysis_3152179[[#This Row],[Atheletes ]],Games_2151178[SALDO 12]),SUMIF(Games_2151178[ATHLETE 4],Analysis_3152179[[#This Row],[Atheletes ]],Games_2151178[SALDO 34]))</f>
        <v>0</v>
      </c>
      <c r="F26" s="46">
        <f>SUM(SUMIF(Games_2151178[ATHLETE 2],Analysis_3152179[[#This Row],[Atheletes ]],Games_2151178[PM 12]),SUMIF(Games_2151178[ATHLETE 4],Analysis_3152179[[#This Row],[Atheletes ]],Games_2151178[PM 34]))</f>
        <v>0</v>
      </c>
      <c r="G26" s="430" t="str">
        <f>IF(COUNTBLANK(Games_2151178[[SCORE 1]:[SCORE 2]])=0,IF(RANK(H26,$H$23:$H$26)=1,RANK(H26,$H$23:$H$26)&amp;"st",IF(RANK(H26,$H$23:$H$26)=2,RANK(H26,$H$23:$H$26)&amp;"nd",IF(RANK(H26,$H$23:$H$26)=3,RANK(H26,$H$23:$H$26)&amp;"rd",RANK(H26,$H$23:$H$26)&amp;"th"))),"")</f>
        <v/>
      </c>
      <c r="H26" s="51">
        <f>Analysis_3152179[[#This Row],[WIN]]*1000000+Analysis_3152179[[#This Row],[Saldo]]*1000+Analysis_3152179[[#This Row],[PM]]</f>
        <v>0</v>
      </c>
      <c r="I26" s="51">
        <f t="shared" si="0"/>
        <v>0</v>
      </c>
      <c r="J26" s="2" t="str">
        <f>IF(COUNTBLANK(Games_2151178[[SCORE 1]:[SCORE 2]])=0,IF(RANK(I26,$I$23:$I$34)=1,RANK(I26,$I$23:$I$34)&amp;"st",IF(RANK(I26,$I$23:$I$34)=2,RANK(I26,$I$23:$I$34)&amp;"nd",IF(RANK(I26,$I$23:$I$34)=3,RANK(I26,$I$23:$I$34)&amp;"rd",RANK(I26,$I$23:$I$34)&amp;"th"))),"")</f>
        <v/>
      </c>
      <c r="K26" s="51" t="str">
        <f>Analysis_3152179[[#This Row],[Atheletes ]]</f>
        <v>A4</v>
      </c>
      <c r="L26" s="2" t="str">
        <f t="shared" si="1"/>
        <v/>
      </c>
    </row>
    <row r="27" spans="1:19" ht="28.5" customHeight="1">
      <c r="A27" s="2" t="s">
        <v>278</v>
      </c>
      <c r="B27" s="113" t="s">
        <v>278</v>
      </c>
      <c r="C27" s="11" t="s">
        <v>249</v>
      </c>
      <c r="D27" s="11" t="s">
        <v>249</v>
      </c>
      <c r="E27" s="11" t="s">
        <v>249</v>
      </c>
      <c r="F27" s="11" t="s">
        <v>249</v>
      </c>
      <c r="G27" s="11" t="s">
        <v>249</v>
      </c>
      <c r="H27" s="51" t="s">
        <v>249</v>
      </c>
      <c r="I27" s="51">
        <f>H31</f>
        <v>0</v>
      </c>
      <c r="J27" s="2" t="str">
        <f>IF(COUNTBLANK(Games_2151178[[SCORE 1]:[SCORE 2]])=0,IF(RANK(I27,$I$23:$I$34)=1,RANK(I27,$I$23:$I$34)&amp;"st",IF(RANK(I27,$I$23:$I$34)=2,RANK(I27,$I$23:$I$34)&amp;"nd",IF(RANK(I27,$I$23:$I$34)=3,RANK(I27,$I$23:$I$34)&amp;"rd",RANK(I27,$I$23:$I$34)&amp;"th"))),"")</f>
        <v/>
      </c>
      <c r="K27" s="51" t="str">
        <f>B31</f>
        <v>B1</v>
      </c>
      <c r="M27" s="548" t="s">
        <v>200</v>
      </c>
      <c r="N27" s="549"/>
      <c r="O27" s="549"/>
      <c r="P27" s="549"/>
      <c r="Q27" s="549"/>
      <c r="R27" s="549"/>
    </row>
    <row r="28" spans="1:19">
      <c r="A28" s="2" t="s">
        <v>279</v>
      </c>
      <c r="B28" s="113" t="s">
        <v>279</v>
      </c>
      <c r="C28" s="11" t="s">
        <v>249</v>
      </c>
      <c r="D28" s="11" t="s">
        <v>249</v>
      </c>
      <c r="E28" s="11" t="s">
        <v>249</v>
      </c>
      <c r="F28" s="11" t="s">
        <v>249</v>
      </c>
      <c r="G28" s="11" t="s">
        <v>249</v>
      </c>
      <c r="H28" s="51" t="s">
        <v>249</v>
      </c>
      <c r="I28" s="51">
        <f t="shared" ref="I28:I30" si="2">H32</f>
        <v>0</v>
      </c>
      <c r="J28" s="2" t="str">
        <f>IF(COUNTBLANK(Games_2151178[[SCORE 1]:[SCORE 2]])=0,IF(RANK(I28,$I$23:$I$34)=1,RANK(I28,$I$23:$I$34)&amp;"st",IF(RANK(I28,$I$23:$I$34)=2,RANK(I28,$I$23:$I$34)&amp;"nd",IF(RANK(I28,$I$23:$I$34)=3,RANK(I28,$I$23:$I$34)&amp;"rd",RANK(I28,$I$23:$I$34)&amp;"th"))),"")</f>
        <v/>
      </c>
      <c r="K28" s="51" t="str">
        <f t="shared" ref="K28:K30" si="3">B32</f>
        <v>B2</v>
      </c>
      <c r="M28" s="424" t="s">
        <v>193</v>
      </c>
      <c r="N28" s="424" t="s">
        <v>194</v>
      </c>
      <c r="O28" s="552" t="s">
        <v>195</v>
      </c>
      <c r="P28" s="553"/>
      <c r="Q28" s="424" t="s">
        <v>196</v>
      </c>
      <c r="R28" s="424" t="s">
        <v>197</v>
      </c>
    </row>
    <row r="29" spans="1:19">
      <c r="I29" s="51">
        <f t="shared" si="2"/>
        <v>0</v>
      </c>
      <c r="J29" s="2" t="str">
        <f>IF(COUNTBLANK(Games_2151178[[SCORE 1]:[SCORE 2]])=0,IF(RANK(I29,$I$23:$I$34)=1,RANK(I29,$I$23:$I$34)&amp;"st",IF(RANK(I29,$I$23:$I$34)=2,RANK(I29,$I$23:$I$34)&amp;"nd",IF(RANK(I29,$I$23:$I$34)=3,RANK(I29,$I$23:$I$34)&amp;"rd",RANK(I29,$I$23:$I$34)&amp;"th"))),"")</f>
        <v/>
      </c>
      <c r="K29" s="51" t="str">
        <f t="shared" si="3"/>
        <v>B3</v>
      </c>
      <c r="M29" s="432" t="str">
        <f>IF(OR($O$23="",$P$23=""),"",IF($O$24="WIN",$M$23,$Q$23))</f>
        <v/>
      </c>
      <c r="N29" s="115"/>
      <c r="O29" s="99"/>
      <c r="P29" s="98"/>
      <c r="Q29" s="432" t="str">
        <f>IF(OR($O$23="",$P$23=""),"",IF($O$24="WIN",$N$23,$R$23))</f>
        <v/>
      </c>
      <c r="R29" s="115"/>
    </row>
    <row r="30" spans="1:19" ht="15.95">
      <c r="A30" s="110" t="s">
        <v>246</v>
      </c>
      <c r="B30" s="43" t="s">
        <v>185</v>
      </c>
      <c r="C30" s="43" t="s">
        <v>186</v>
      </c>
      <c r="D30" s="43" t="s">
        <v>187</v>
      </c>
      <c r="E30" s="43" t="s">
        <v>188</v>
      </c>
      <c r="F30" s="43" t="s">
        <v>189</v>
      </c>
      <c r="G30" s="419" t="s">
        <v>8</v>
      </c>
      <c r="H30" s="419" t="s">
        <v>204</v>
      </c>
      <c r="I30" s="51">
        <f t="shared" si="2"/>
        <v>0</v>
      </c>
      <c r="J30" s="2" t="str">
        <f>IF(COUNTBLANK(Games_2151178[[SCORE 1]:[SCORE 2]])=0,IF(RANK(I30,$I$23:$I$34)=1,RANK(I30,$I$23:$I$34)&amp;"st",IF(RANK(I30,$I$23:$I$34)=2,RANK(I30,$I$23:$I$34)&amp;"nd",IF(RANK(I30,$I$23:$I$34)=3,RANK(I30,$I$23:$I$34)&amp;"rd",RANK(I30,$I$23:$I$34)&amp;"th"))),"")</f>
        <v/>
      </c>
      <c r="K30" s="51" t="str">
        <f t="shared" si="3"/>
        <v>B4</v>
      </c>
      <c r="L30" s="425" t="s">
        <v>277</v>
      </c>
      <c r="M30" s="50" t="str">
        <f>IF(OR($O$29="",$P$29=""),"",IF($O$30="win",$U$3,$U$4))</f>
        <v/>
      </c>
      <c r="O30" s="2" t="str">
        <f>IF(OR(O29="",P29=""),"",IF((O29&gt;P29),"WIN","LOSE"))</f>
        <v/>
      </c>
      <c r="P30" s="2" t="str">
        <f>IF(OR(O29="",P29=""),"",IF((O29&lt;P29),"WIN","LOSE"))</f>
        <v/>
      </c>
      <c r="Q30" s="50" t="str">
        <f>IF(OR($O$29="",$P$29=""),"",IF($P$30="win",$U$3,$U$4))</f>
        <v/>
      </c>
    </row>
    <row r="31" spans="1:19">
      <c r="A31" s="96" t="s">
        <v>209</v>
      </c>
      <c r="B31" s="102" t="s">
        <v>209</v>
      </c>
      <c r="C31" s="14">
        <f>SUM(COUNTIFS(Games_2151178[ATHLETE 2],Analysis_4168181[[#This Row],[Atheletes ]],Games_2151178[RESULT 12],Analysis_3152179[[#Headers],[WIN]]),COUNTIFS(Games_2151178[ATHLETE 4],Analysis_4168181[[#This Row],[Atheletes ]],Games_2151178[RESULT 34],Analysis_3152179[[#Headers],[WIN]]))</f>
        <v>0</v>
      </c>
      <c r="D31" s="14">
        <f>SUM(COUNTIFS(Games_2151178[ATHLETE 2],Analysis_4168181[[#This Row],[Atheletes ]],Games_2151178[RESULT 12],Analysis_3152179[[#Headers],[LOSE]]),COUNTIFS(Games_2151178[ATHLETE 4],Analysis_4168181[[#This Row],[Atheletes ]],Games_2151178[RESULT 34],Analysis_3152179[[#Headers],[LOSE]]))</f>
        <v>0</v>
      </c>
      <c r="E31" s="46">
        <f>SUM(SUMIF(Games_2151178[ATHLETE 2],Analysis_4168181[[#This Row],[Atheletes ]],Games_2151178[SALDO 12]),SUMIF(Games_2151178[ATHLETE 4],Analysis_4168181[[#This Row],[Atheletes ]],Games_2151178[SALDO 34]))</f>
        <v>0</v>
      </c>
      <c r="F31" s="46">
        <f>SUM(SUMIF(Games_2151178[ATHLETE 2],Analysis_4168181[[#This Row],[Atheletes ]],Games_2151178[PM 12]),SUMIF(Games_2151178[ATHLETE 4],Analysis_4168181[[#This Row],[Atheletes ]],Games_2151178[PM 34]))</f>
        <v>0</v>
      </c>
      <c r="G31" s="430" t="str">
        <f>IF(COUNTBLANK(Games_2151178[[SCORE 1]:[SCORE 2]])=0,IF(RANK(H31,$H$31:$H$34)=1,RANK(H31,$H$31:$H$34)&amp;"st",IF(RANK(H31,$H$31:$H$34)=2,RANK(H31,$H$31:$H$34)&amp;"nd",IF(RANK(H31,$H$31:$H$34)=3,RANK(H31,$H$31:$H$34)&amp;"rd",RANK(H31,$H$31:$H$34)&amp;"th"))),"")</f>
        <v/>
      </c>
      <c r="H31" s="51">
        <f>Analysis_4168181[[#This Row],[WIN]]*1000000+Analysis_4168181[[#This Row],[Saldo]]*1000+Analysis_4168181[[#This Row],[PM]]</f>
        <v>0</v>
      </c>
      <c r="I31" s="51">
        <f>H39</f>
        <v>0</v>
      </c>
      <c r="J31" s="2" t="str">
        <f>IF(COUNTBLANK(Games_2151178[[SCORE 1]:[SCORE 2]])=0,IF(RANK(I31,$I$23:$I$34)=1,RANK(I31,$I$23:$I$34)&amp;"st",IF(RANK(I31,$I$23:$I$34)=2,RANK(I31,$I$23:$I$34)&amp;"nd",IF(RANK(I31,$I$23:$I$34)=3,RANK(I31,$I$23:$I$34)&amp;"rd",RANK(I31,$I$23:$I$34)&amp;"th"))),"")</f>
        <v/>
      </c>
      <c r="K31" s="51" t="str">
        <f>B39</f>
        <v>C1</v>
      </c>
      <c r="L31" s="2" t="str">
        <f>J27</f>
        <v/>
      </c>
    </row>
    <row r="32" spans="1:19">
      <c r="A32" s="430" t="s">
        <v>210</v>
      </c>
      <c r="B32" s="102" t="s">
        <v>210</v>
      </c>
      <c r="C32" s="14">
        <f>SUM(COUNTIFS(Games_2151178[ATHLETE 2],Analysis_4168181[[#This Row],[Atheletes ]],Games_2151178[RESULT 12],Analysis_3152179[[#Headers],[WIN]]),COUNTIFS(Games_2151178[ATHLETE 4],Analysis_4168181[[#This Row],[Atheletes ]],Games_2151178[RESULT 34],Analysis_3152179[[#Headers],[WIN]]))</f>
        <v>0</v>
      </c>
      <c r="D32" s="14">
        <f>SUM(COUNTIFS(Games_2151178[ATHLETE 2],Analysis_4168181[[#This Row],[Atheletes ]],Games_2151178[RESULT 12],Analysis_3152179[[#Headers],[LOSE]]),COUNTIFS(Games_2151178[ATHLETE 4],Analysis_4168181[[#This Row],[Atheletes ]],Games_2151178[RESULT 34],Analysis_3152179[[#Headers],[LOSE]]))</f>
        <v>0</v>
      </c>
      <c r="E32" s="46">
        <f>SUM(SUMIF(Games_2151178[ATHLETE 2],Analysis_4168181[[#This Row],[Atheletes ]],Games_2151178[SALDO 12]),SUMIF(Games_2151178[ATHLETE 4],Analysis_4168181[[#This Row],[Atheletes ]],Games_2151178[SALDO 34]))</f>
        <v>0</v>
      </c>
      <c r="F32" s="46">
        <f>SUM(SUMIF(Games_2151178[ATHLETE 2],Analysis_4168181[[#This Row],[Atheletes ]],Games_2151178[PM 12]),SUMIF(Games_2151178[ATHLETE 4],Analysis_4168181[[#This Row],[Atheletes ]],Games_2151178[PM 34]))</f>
        <v>0</v>
      </c>
      <c r="G32" s="430" t="str">
        <f>IF(COUNTBLANK(Games_2151178[[SCORE 1]:[SCORE 2]])=0,IF(RANK(H32,$H$31:$H$34)=1,RANK(H32,$H$31:$H$34)&amp;"st",IF(RANK(H32,$H$31:$H$34)=2,RANK(H32,$H$31:$H$34)&amp;"nd",IF(RANK(H32,$H$31:$H$34)=3,RANK(H32,$H$31:$H$34)&amp;"rd",RANK(H32,$H$31:$H$34)&amp;"th"))),"")</f>
        <v/>
      </c>
      <c r="H32" s="51">
        <f>Analysis_4168181[[#This Row],[WIN]]*1000000+Analysis_4168181[[#This Row],[Saldo]]*1000+Analysis_4168181[[#This Row],[PM]]</f>
        <v>0</v>
      </c>
      <c r="I32" s="51">
        <f t="shared" ref="I32:I34" si="4">H40</f>
        <v>0</v>
      </c>
      <c r="J32" s="2" t="str">
        <f>IF(COUNTBLANK(Games_2151178[[SCORE 1]:[SCORE 2]])=0,IF(RANK(I32,$I$23:$I$34)=1,RANK(I32,$I$23:$I$34)&amp;"st",IF(RANK(I32,$I$23:$I$34)=2,RANK(I32,$I$23:$I$34)&amp;"nd",IF(RANK(I32,$I$23:$I$34)=3,RANK(I32,$I$23:$I$34)&amp;"rd",RANK(I32,$I$23:$I$34)&amp;"th"))),"")</f>
        <v/>
      </c>
      <c r="K32" s="51" t="str">
        <f t="shared" ref="K32:K34" si="5">B40</f>
        <v>C2</v>
      </c>
      <c r="L32" s="2" t="str">
        <f t="shared" ref="L32:L34" si="6">J28</f>
        <v/>
      </c>
    </row>
    <row r="33" spans="1:12">
      <c r="A33" s="96" t="s">
        <v>211</v>
      </c>
      <c r="B33" s="102" t="s">
        <v>211</v>
      </c>
      <c r="C33" s="14">
        <f>SUM(COUNTIFS(Games_2151178[ATHLETE 2],Analysis_4168181[[#This Row],[Atheletes ]],Games_2151178[RESULT 12],Analysis_3152179[[#Headers],[WIN]]),COUNTIFS(Games_2151178[ATHLETE 4],Analysis_4168181[[#This Row],[Atheletes ]],Games_2151178[RESULT 34],Analysis_3152179[[#Headers],[WIN]]))</f>
        <v>0</v>
      </c>
      <c r="D33" s="14">
        <f>SUM(COUNTIFS(Games_2151178[ATHLETE 2],Analysis_4168181[[#This Row],[Atheletes ]],Games_2151178[RESULT 12],Analysis_3152179[[#Headers],[LOSE]]),COUNTIFS(Games_2151178[ATHLETE 4],Analysis_4168181[[#This Row],[Atheletes ]],Games_2151178[RESULT 34],Analysis_3152179[[#Headers],[LOSE]]))</f>
        <v>0</v>
      </c>
      <c r="E33" s="46">
        <f>SUM(SUMIF(Games_2151178[ATHLETE 2],Analysis_4168181[[#This Row],[Atheletes ]],Games_2151178[SALDO 12]),SUMIF(Games_2151178[ATHLETE 4],Analysis_4168181[[#This Row],[Atheletes ]],Games_2151178[SALDO 34]))</f>
        <v>0</v>
      </c>
      <c r="F33" s="46">
        <f>SUM(SUMIF(Games_2151178[ATHLETE 2],Analysis_4168181[[#This Row],[Atheletes ]],Games_2151178[PM 12]),SUMIF(Games_2151178[ATHLETE 4],Analysis_4168181[[#This Row],[Atheletes ]],Games_2151178[PM 34]))</f>
        <v>0</v>
      </c>
      <c r="G33" s="430" t="str">
        <f>IF(COUNTBLANK(Games_2151178[[SCORE 1]:[SCORE 2]])=0,IF(RANK(H33,$H$31:$H$34)=1,RANK(H33,$H$31:$H$34)&amp;"st",IF(RANK(H33,$H$31:$H$34)=2,RANK(H33,$H$31:$H$34)&amp;"nd",IF(RANK(H33,$H$31:$H$34)=3,RANK(H33,$H$31:$H$34)&amp;"rd",RANK(H33,$H$31:$H$34)&amp;"th"))),"")</f>
        <v/>
      </c>
      <c r="H33" s="51">
        <f>Analysis_4168181[[#This Row],[WIN]]*1000000+Analysis_4168181[[#This Row],[Saldo]]*1000+Analysis_4168181[[#This Row],[PM]]</f>
        <v>0</v>
      </c>
      <c r="I33" s="51">
        <f t="shared" si="4"/>
        <v>0</v>
      </c>
      <c r="J33" s="2" t="str">
        <f>IF(COUNTBLANK(Games_2151178[[SCORE 1]:[SCORE 2]])=0,IF(RANK(I33,$I$23:$I$34)=1,RANK(I33,$I$23:$I$34)&amp;"st",IF(RANK(I33,$I$23:$I$34)=2,RANK(I33,$I$23:$I$34)&amp;"nd",IF(RANK(I33,$I$23:$I$34)=3,RANK(I33,$I$23:$I$34)&amp;"rd",RANK(I33,$I$23:$I$34)&amp;"th"))),"")</f>
        <v/>
      </c>
      <c r="K33" s="51" t="str">
        <f t="shared" si="5"/>
        <v>C3</v>
      </c>
      <c r="L33" s="2" t="str">
        <f t="shared" si="6"/>
        <v/>
      </c>
    </row>
    <row r="34" spans="1:12">
      <c r="A34" s="430" t="s">
        <v>212</v>
      </c>
      <c r="B34" s="102" t="s">
        <v>212</v>
      </c>
      <c r="C34" s="14">
        <f>SUM(COUNTIFS(Games_2151178[ATHLETE 2],Analysis_4168181[[#This Row],[Atheletes ]],Games_2151178[RESULT 12],Analysis_3152179[[#Headers],[WIN]]),COUNTIFS(Games_2151178[ATHLETE 4],Analysis_4168181[[#This Row],[Atheletes ]],Games_2151178[RESULT 34],Analysis_3152179[[#Headers],[WIN]]))</f>
        <v>0</v>
      </c>
      <c r="D34" s="14">
        <f>SUM(COUNTIFS(Games_2151178[ATHLETE 2],Analysis_4168181[[#This Row],[Atheletes ]],Games_2151178[RESULT 12],Analysis_3152179[[#Headers],[LOSE]]),COUNTIFS(Games_2151178[ATHLETE 4],Analysis_4168181[[#This Row],[Atheletes ]],Games_2151178[RESULT 34],Analysis_3152179[[#Headers],[LOSE]]))</f>
        <v>0</v>
      </c>
      <c r="E34" s="46">
        <f>SUM(SUMIF(Games_2151178[ATHLETE 2],Analysis_4168181[[#This Row],[Atheletes ]],Games_2151178[SALDO 12]),SUMIF(Games_2151178[ATHLETE 4],Analysis_4168181[[#This Row],[Atheletes ]],Games_2151178[SALDO 34]))</f>
        <v>0</v>
      </c>
      <c r="F34" s="46">
        <f>SUM(SUMIF(Games_2151178[ATHLETE 2],Analysis_4168181[[#This Row],[Atheletes ]],Games_2151178[PM 12]),SUMIF(Games_2151178[ATHLETE 4],Analysis_4168181[[#This Row],[Atheletes ]],Games_2151178[PM 34]))</f>
        <v>0</v>
      </c>
      <c r="G34" s="430" t="str">
        <f>IF(COUNTBLANK(Games_2151178[[SCORE 1]:[SCORE 2]])=0,IF(RANK(H34,$H$31:$H$34)=1,RANK(H34,$H$31:$H$34)&amp;"st",IF(RANK(H34,$H$31:$H$34)=2,RANK(H34,$H$31:$H$34)&amp;"nd",IF(RANK(H34,$H$31:$H$34)=3,RANK(H34,$H$31:$H$34)&amp;"rd",RANK(H34,$H$31:$H$34)&amp;"th"))),"")</f>
        <v/>
      </c>
      <c r="H34" s="51">
        <f>Analysis_4168181[[#This Row],[WIN]]*1000000+Analysis_4168181[[#This Row],[Saldo]]*1000+Analysis_4168181[[#This Row],[PM]]</f>
        <v>0</v>
      </c>
      <c r="I34" s="51">
        <f t="shared" si="4"/>
        <v>0</v>
      </c>
      <c r="J34" s="2" t="str">
        <f>IF(COUNTBLANK(Games_2151178[[SCORE 1]:[SCORE 2]])=0,IF(RANK(I34,$I$23:$I$34)=1,RANK(I34,$I$23:$I$34)&amp;"st",IF(RANK(I34,$I$23:$I$34)=2,RANK(I34,$I$23:$I$34)&amp;"nd",IF(RANK(I34,$I$23:$I$34)=3,RANK(I34,$I$23:$I$34)&amp;"rd",RANK(I34,$I$23:$I$34)&amp;"th"))),"")</f>
        <v/>
      </c>
      <c r="K34" s="51" t="str">
        <f t="shared" si="5"/>
        <v>C4</v>
      </c>
      <c r="L34" s="2" t="str">
        <f t="shared" si="6"/>
        <v/>
      </c>
    </row>
    <row r="35" spans="1:12">
      <c r="A35" s="96" t="s">
        <v>280</v>
      </c>
      <c r="B35" s="102" t="s">
        <v>280</v>
      </c>
      <c r="C35" s="109" t="s">
        <v>249</v>
      </c>
      <c r="D35" s="109" t="s">
        <v>249</v>
      </c>
      <c r="E35" s="109" t="s">
        <v>249</v>
      </c>
      <c r="F35" s="109" t="s">
        <v>249</v>
      </c>
      <c r="G35" s="109" t="s">
        <v>249</v>
      </c>
      <c r="H35" s="2" t="s">
        <v>249</v>
      </c>
      <c r="K35" s="51"/>
    </row>
    <row r="36" spans="1:12">
      <c r="A36" s="430" t="s">
        <v>281</v>
      </c>
      <c r="B36" s="114" t="s">
        <v>281</v>
      </c>
      <c r="C36" s="109" t="s">
        <v>249</v>
      </c>
      <c r="D36" s="109" t="s">
        <v>249</v>
      </c>
      <c r="E36" s="109" t="s">
        <v>249</v>
      </c>
      <c r="F36" s="109" t="s">
        <v>249</v>
      </c>
      <c r="G36" s="109" t="s">
        <v>249</v>
      </c>
      <c r="H36" s="2" t="s">
        <v>249</v>
      </c>
    </row>
    <row r="38" spans="1:12" ht="15.95">
      <c r="A38" s="110" t="s">
        <v>246</v>
      </c>
      <c r="B38" s="43" t="s">
        <v>185</v>
      </c>
      <c r="C38" s="43" t="s">
        <v>186</v>
      </c>
      <c r="D38" s="43" t="s">
        <v>187</v>
      </c>
      <c r="E38" s="43" t="s">
        <v>188</v>
      </c>
      <c r="F38" s="43" t="s">
        <v>189</v>
      </c>
      <c r="G38" s="419" t="s">
        <v>8</v>
      </c>
      <c r="H38" s="419" t="s">
        <v>204</v>
      </c>
      <c r="I38" s="51"/>
      <c r="J38" s="2" t="str">
        <f>IF(COUNTBLANK(Games_2151178[[SCORE 1]:[SCORE 2]])=0,IF(RANK(I38,$I$23:$I$30)=1,RANK(I38,$I$23:$I$30)&amp;"st",IF(RANK(I38,$I$23:$I$30)=2,RANK(I38,$I$23:$I$30)&amp;"nd",IF(RANK(I38,$I$23:$I$30)=3,RANK(I38,$I$23:$I$30)&amp;"rd",RANK(I38,$I$23:$I$30)&amp;"th"))),"")</f>
        <v/>
      </c>
      <c r="K38" s="51"/>
      <c r="L38" s="425" t="s">
        <v>277</v>
      </c>
    </row>
    <row r="39" spans="1:12">
      <c r="A39" s="96" t="s">
        <v>213</v>
      </c>
      <c r="B39" s="102" t="s">
        <v>213</v>
      </c>
      <c r="C39" s="14">
        <f>SUM(COUNTIFS(Games_2151178[ATHLETE 2],Analysis_4168177182[[#This Row],[Atheletes ]],Games_2151178[RESULT 12],Analysis_3152179[[#Headers],[WIN]]),COUNTIFS(Games_2151178[ATHLETE 4],Analysis_4168177182[[#This Row],[Atheletes ]],Games_2151178[RESULT 34],Analysis_3152179[[#Headers],[WIN]]))</f>
        <v>0</v>
      </c>
      <c r="D39" s="14">
        <f>SUM(COUNTIFS(Games_2151178[ATHLETE 2],Analysis_4168177182[[#This Row],[Atheletes ]],Games_2151178[RESULT 12],Analysis_3152179[[#Headers],[LOSE]]),COUNTIFS(Games_2151178[ATHLETE 4],Analysis_4168177182[[#This Row],[Atheletes ]],Games_2151178[RESULT 34],Analysis_3152179[[#Headers],[LOSE]]))</f>
        <v>0</v>
      </c>
      <c r="E39" s="46">
        <f>SUM(SUMIF(Games_2151178[ATHLETE 2],Analysis_4168177182[[#This Row],[Atheletes ]],Games_2151178[SALDO 12]),SUMIF(Games_2151178[ATHLETE 4],Analysis_4168177182[[#This Row],[Atheletes ]],Games_2151178[SALDO 34]))</f>
        <v>0</v>
      </c>
      <c r="F39" s="46">
        <f>SUM(SUMIF(Games_2151178[ATHLETE 2],Analysis_4168177182[[#This Row],[Atheletes ]],Games_2151178[PM 12]),SUMIF(Games_2151178[ATHLETE 4],Analysis_4168177182[[#This Row],[Atheletes ]],Games_2151178[PM 34]))</f>
        <v>0</v>
      </c>
      <c r="G39" s="430" t="str">
        <f>IF(COUNTBLANK(Games_2151178[[SCORE 1]:[SCORE 2]])=0,IF(RANK(H39,$H$39:$H$42)=1,RANK(H39,$H$39:$H$42)&amp;"st",IF(RANK(H39,$H$39:$H$42)=2,RANK(H39,$H$39:$H$42)&amp;"nd",IF(RANK(H39,$H$39:$H$42)=3,RANK(H39,$H$39:$H$42)&amp;"rd",RANK(H39,$H$39:$H$42)&amp;"th"))),"")</f>
        <v/>
      </c>
      <c r="H39" s="51">
        <f>Analysis_4168177182[[#This Row],[WIN]]*1000000+Analysis_4168177182[[#This Row],[Saldo]]*1000+Analysis_4168177182[[#This Row],[PM]]</f>
        <v>0</v>
      </c>
      <c r="L39" s="2" t="str">
        <f>J31</f>
        <v/>
      </c>
    </row>
    <row r="40" spans="1:12">
      <c r="A40" s="430" t="s">
        <v>214</v>
      </c>
      <c r="B40" s="102" t="s">
        <v>214</v>
      </c>
      <c r="C40" s="14">
        <f>SUM(COUNTIFS(Games_2151178[ATHLETE 2],Analysis_4168177182[[#This Row],[Atheletes ]],Games_2151178[RESULT 12],Analysis_3152179[[#Headers],[WIN]]),COUNTIFS(Games_2151178[ATHLETE 4],Analysis_4168177182[[#This Row],[Atheletes ]],Games_2151178[RESULT 34],Analysis_3152179[[#Headers],[WIN]]))</f>
        <v>0</v>
      </c>
      <c r="D40" s="14">
        <f>SUM(COUNTIFS(Games_2151178[ATHLETE 2],Analysis_4168177182[[#This Row],[Atheletes ]],Games_2151178[RESULT 12],Analysis_3152179[[#Headers],[LOSE]]),COUNTIFS(Games_2151178[ATHLETE 4],Analysis_4168177182[[#This Row],[Atheletes ]],Games_2151178[RESULT 34],Analysis_3152179[[#Headers],[LOSE]]))</f>
        <v>0</v>
      </c>
      <c r="E40" s="46">
        <f>SUM(SUMIF(Games_2151178[ATHLETE 2],Analysis_4168177182[[#This Row],[Atheletes ]],Games_2151178[SALDO 12]),SUMIF(Games_2151178[ATHLETE 4],Analysis_4168177182[[#This Row],[Atheletes ]],Games_2151178[SALDO 34]))</f>
        <v>0</v>
      </c>
      <c r="F40" s="46">
        <f>SUM(SUMIF(Games_2151178[ATHLETE 2],Analysis_4168177182[[#This Row],[Atheletes ]],Games_2151178[PM 12]),SUMIF(Games_2151178[ATHLETE 4],Analysis_4168177182[[#This Row],[Atheletes ]],Games_2151178[PM 34]))</f>
        <v>0</v>
      </c>
      <c r="G40" s="430" t="str">
        <f>IF(COUNTBLANK(Games_2151178[[SCORE 1]:[SCORE 2]])=0,IF(RANK(H40,$H$39:$H$42)=1,RANK(H40,$H$39:$H$42)&amp;"st",IF(RANK(H40,$H$39:$H$42)=2,RANK(H40,$H$39:$H$42)&amp;"nd",IF(RANK(H40,$H$39:$H$42)=3,RANK(H40,$H$39:$H$42)&amp;"rd",RANK(H40,$H$39:$H$42)&amp;"th"))),"")</f>
        <v/>
      </c>
      <c r="H40" s="51">
        <f>Analysis_4168177182[[#This Row],[WIN]]*1000000+Analysis_4168177182[[#This Row],[Saldo]]*1000+Analysis_4168177182[[#This Row],[PM]]</f>
        <v>0</v>
      </c>
      <c r="L40" s="2" t="str">
        <f t="shared" ref="L40:L42" si="7">J32</f>
        <v/>
      </c>
    </row>
    <row r="41" spans="1:12">
      <c r="A41" s="96" t="s">
        <v>216</v>
      </c>
      <c r="B41" s="102" t="s">
        <v>216</v>
      </c>
      <c r="C41" s="14">
        <f>SUM(COUNTIFS(Games_2151178[ATHLETE 2],Analysis_4168177182[[#This Row],[Atheletes ]],Games_2151178[RESULT 12],Analysis_3152179[[#Headers],[WIN]]),COUNTIFS(Games_2151178[ATHLETE 4],Analysis_4168177182[[#This Row],[Atheletes ]],Games_2151178[RESULT 34],Analysis_3152179[[#Headers],[WIN]]))</f>
        <v>0</v>
      </c>
      <c r="D41" s="14">
        <f>SUM(COUNTIFS(Games_2151178[ATHLETE 2],Analysis_4168177182[[#This Row],[Atheletes ]],Games_2151178[RESULT 12],Analysis_3152179[[#Headers],[LOSE]]),COUNTIFS(Games_2151178[ATHLETE 4],Analysis_4168177182[[#This Row],[Atheletes ]],Games_2151178[RESULT 34],Analysis_3152179[[#Headers],[LOSE]]))</f>
        <v>0</v>
      </c>
      <c r="E41" s="46">
        <f>SUM(SUMIF(Games_2151178[ATHLETE 2],Analysis_4168177182[[#This Row],[Atheletes ]],Games_2151178[SALDO 12]),SUMIF(Games_2151178[ATHLETE 4],Analysis_4168177182[[#This Row],[Atheletes ]],Games_2151178[SALDO 34]))</f>
        <v>0</v>
      </c>
      <c r="F41" s="46">
        <f>SUM(SUMIF(Games_2151178[ATHLETE 2],Analysis_4168177182[[#This Row],[Atheletes ]],Games_2151178[PM 12]),SUMIF(Games_2151178[ATHLETE 4],Analysis_4168177182[[#This Row],[Atheletes ]],Games_2151178[PM 34]))</f>
        <v>0</v>
      </c>
      <c r="G41" s="430" t="str">
        <f>IF(COUNTBLANK(Games_2151178[[SCORE 1]:[SCORE 2]])=0,IF(RANK(H41,$H$39:$H$42)=1,RANK(H41,$H$39:$H$42)&amp;"st",IF(RANK(H41,$H$39:$H$42)=2,RANK(H41,$H$39:$H$42)&amp;"nd",IF(RANK(H41,$H$39:$H$42)=3,RANK(H41,$H$39:$H$42)&amp;"rd",RANK(H41,$H$39:$H$42)&amp;"th"))),"")</f>
        <v/>
      </c>
      <c r="H41" s="51">
        <f>Analysis_4168177182[[#This Row],[WIN]]*1000000+Analysis_4168177182[[#This Row],[Saldo]]*1000+Analysis_4168177182[[#This Row],[PM]]</f>
        <v>0</v>
      </c>
      <c r="L41" s="2" t="str">
        <f t="shared" si="7"/>
        <v/>
      </c>
    </row>
    <row r="42" spans="1:12">
      <c r="A42" s="430" t="s">
        <v>217</v>
      </c>
      <c r="B42" s="102" t="s">
        <v>217</v>
      </c>
      <c r="C42" s="14">
        <f>SUM(COUNTIFS(Games_2151178[ATHLETE 2],Analysis_4168177182[[#This Row],[Atheletes ]],Games_2151178[RESULT 12],Analysis_3152179[[#Headers],[WIN]]),COUNTIFS(Games_2151178[ATHLETE 4],Analysis_4168177182[[#This Row],[Atheletes ]],Games_2151178[RESULT 34],Analysis_3152179[[#Headers],[WIN]]))</f>
        <v>0</v>
      </c>
      <c r="D42" s="14">
        <f>SUM(COUNTIFS(Games_2151178[ATHLETE 2],Analysis_4168177182[[#This Row],[Atheletes ]],Games_2151178[RESULT 12],Analysis_3152179[[#Headers],[LOSE]]),COUNTIFS(Games_2151178[ATHLETE 4],Analysis_4168177182[[#This Row],[Atheletes ]],Games_2151178[RESULT 34],Analysis_3152179[[#Headers],[LOSE]]))</f>
        <v>0</v>
      </c>
      <c r="E42" s="46">
        <f>SUM(SUMIF(Games_2151178[ATHLETE 2],Analysis_4168177182[[#This Row],[Atheletes ]],Games_2151178[SALDO 12]),SUMIF(Games_2151178[ATHLETE 4],Analysis_4168177182[[#This Row],[Atheletes ]],Games_2151178[SALDO 34]))</f>
        <v>0</v>
      </c>
      <c r="F42" s="46">
        <f>SUM(SUMIF(Games_2151178[ATHLETE 2],Analysis_4168177182[[#This Row],[Atheletes ]],Games_2151178[PM 12]),SUMIF(Games_2151178[ATHLETE 4],Analysis_4168177182[[#This Row],[Atheletes ]],Games_2151178[PM 34]))</f>
        <v>0</v>
      </c>
      <c r="G42" s="430" t="str">
        <f>IF(COUNTBLANK(Games_2151178[[SCORE 1]:[SCORE 2]])=0,IF(RANK(H42,$H$39:$H$42)=1,RANK(H42,$H$39:$H$42)&amp;"st",IF(RANK(H42,$H$39:$H$42)=2,RANK(H42,$H$39:$H$42)&amp;"nd",IF(RANK(H42,$H$39:$H$42)=3,RANK(H42,$H$39:$H$42)&amp;"rd",RANK(H42,$H$39:$H$42)&amp;"th"))),"")</f>
        <v/>
      </c>
      <c r="H42" s="51">
        <f>Analysis_4168177182[[#This Row],[WIN]]*1000000+Analysis_4168177182[[#This Row],[Saldo]]*1000+Analysis_4168177182[[#This Row],[PM]]</f>
        <v>0</v>
      </c>
      <c r="L42" s="2" t="str">
        <f t="shared" si="7"/>
        <v/>
      </c>
    </row>
    <row r="43" spans="1:12">
      <c r="A43" s="96" t="s">
        <v>289</v>
      </c>
      <c r="B43" s="102" t="s">
        <v>289</v>
      </c>
      <c r="C43" s="109" t="s">
        <v>249</v>
      </c>
      <c r="D43" s="109" t="s">
        <v>249</v>
      </c>
      <c r="E43" s="109" t="s">
        <v>249</v>
      </c>
      <c r="F43" s="109" t="s">
        <v>249</v>
      </c>
      <c r="G43" s="109" t="s">
        <v>249</v>
      </c>
      <c r="H43" s="2" t="s">
        <v>249</v>
      </c>
    </row>
    <row r="44" spans="1:12">
      <c r="A44" s="430" t="s">
        <v>290</v>
      </c>
      <c r="B44" s="114" t="s">
        <v>290</v>
      </c>
      <c r="C44" s="109" t="s">
        <v>249</v>
      </c>
      <c r="D44" s="109" t="s">
        <v>249</v>
      </c>
      <c r="E44" s="109" t="s">
        <v>249</v>
      </c>
      <c r="F44" s="109" t="s">
        <v>249</v>
      </c>
      <c r="G44" s="109" t="s">
        <v>249</v>
      </c>
      <c r="H44" s="2" t="s">
        <v>249</v>
      </c>
    </row>
    <row r="45" spans="1:12" ht="15.95" thickBot="1"/>
    <row r="46" spans="1:12" ht="15.95" thickBot="1">
      <c r="A46" s="123" t="s">
        <v>218</v>
      </c>
      <c r="B46" s="124">
        <v>45911</v>
      </c>
      <c r="C46" s="44" t="s">
        <v>256</v>
      </c>
    </row>
  </sheetData>
  <sheetProtection algorithmName="SHA-512" hashValue="b3VwJTlvBqkYTqYdaCAejXt5SlW8bQAEOkQ2MqBWrSbfU4fzyHV6kbWhzPj/YA0Fsn8oobIH75ASpiH36eY0Lw==" saltValue="vrJEPtEpy0h35LYnWWBlWw==" spinCount="100000" sheet="1" objects="1" scenarios="1"/>
  <mergeCells count="7">
    <mergeCell ref="O28:P28"/>
    <mergeCell ref="A1:A19"/>
    <mergeCell ref="T1:U1"/>
    <mergeCell ref="A21:G21"/>
    <mergeCell ref="M21:R21"/>
    <mergeCell ref="O22:P22"/>
    <mergeCell ref="M27:R27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0E87-F347-1D40-BDF4-B886CD708276}">
  <dimension ref="A1:U34"/>
  <sheetViews>
    <sheetView workbookViewId="0">
      <selection activeCell="T21" sqref="T21"/>
    </sheetView>
    <sheetView workbookViewId="1">
      <selection sqref="A1:A11"/>
    </sheetView>
  </sheetViews>
  <sheetFormatPr defaultColWidth="8.85546875" defaultRowHeight="15"/>
  <cols>
    <col min="1" max="1" width="9.7109375" customWidth="1"/>
    <col min="2" max="2" width="13" bestFit="1" customWidth="1"/>
    <col min="3" max="4" width="20" customWidth="1"/>
    <col min="5" max="6" width="9.7109375" customWidth="1"/>
    <col min="7" max="7" width="14.140625" bestFit="1" customWidth="1"/>
    <col min="8" max="8" width="11.42578125" hidden="1" customWidth="1"/>
    <col min="9" max="9" width="12" hidden="1" customWidth="1"/>
    <col min="10" max="10" width="10.7109375" hidden="1" customWidth="1"/>
    <col min="11" max="11" width="8" hidden="1" customWidth="1"/>
    <col min="12" max="12" width="14.140625" bestFit="1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4" bestFit="1" customWidth="1"/>
    <col min="21" max="22" width="9.7109375" bestFit="1" customWidth="1"/>
  </cols>
  <sheetData>
    <row r="1" spans="1:21">
      <c r="A1" s="550" t="s">
        <v>341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178</v>
      </c>
      <c r="L1" s="7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342</v>
      </c>
      <c r="U1" s="545"/>
    </row>
    <row r="2" spans="1:21" ht="15" customHeight="1">
      <c r="A2" s="554"/>
      <c r="B2" s="13" t="s">
        <v>178</v>
      </c>
      <c r="C2" s="433" t="str">
        <f>B15</f>
        <v>Renan Guiot</v>
      </c>
      <c r="D2" s="25" t="str">
        <f>B18</f>
        <v>Thyago Henrique</v>
      </c>
      <c r="E2" s="26"/>
      <c r="F2" s="27"/>
      <c r="G2" s="15" t="str">
        <f>B16</f>
        <v>Gabriel Velloso</v>
      </c>
      <c r="H2" s="15"/>
      <c r="I2" s="15"/>
      <c r="J2" s="15"/>
      <c r="K2" s="15"/>
      <c r="L2" s="16" t="str">
        <f>B17</f>
        <v>Thomas Zahn</v>
      </c>
      <c r="M2" s="13" t="str">
        <f>IF(OR(Game_52183[[#This Row],[SCORE 1]]="",Game_52183[[#This Row],[SCORE 2]]=""),"",Game_52183[[#This Row],[SCORE 1]]-Game_52183[[#This Row],[SCORE 2]])</f>
        <v/>
      </c>
      <c r="N2" s="13" t="str">
        <f>IF(OR(Game_52183[[#This Row],[SCORE 1]]="",Game_52183[[#This Row],[SCORE 2]]=""),"",Game_52183[[#This Row],[SCORE 2]]-Game_52183[[#This Row],[SCORE 1]])</f>
        <v/>
      </c>
      <c r="O2" s="13" t="str">
        <f>IF(Game_52183[[#This Row],[SCORE 1]]="","",Game_52183[[#This Row],[SCORE 1]])</f>
        <v/>
      </c>
      <c r="P2" s="13" t="str">
        <f>IF(Game_52183[[#This Row],[SCORE 2]]="","",Game_52183[[#This Row],[SCORE 2]])</f>
        <v/>
      </c>
      <c r="Q2" s="13" t="str">
        <f>IF(OR(Game_52183[[#This Row],[SCORE 1]]="",Game_52183[[#This Row],[SCORE 2]]=""),"",IF(Game_52183[[#This Row],[SALDO 12]]&gt;0, "WIN","LOSE"))</f>
        <v/>
      </c>
      <c r="R2" s="13" t="str">
        <f>IF(OR(Game_52183[[#This Row],[SCORE 1]]="",Game_52183[[#This Row],[SCORE 2]]=""),"",IF(Game_52183[[#This Row],[SALDO 34]]&gt;0, "WIN","LOSE"))</f>
        <v/>
      </c>
      <c r="T2" s="21" t="s">
        <v>179</v>
      </c>
      <c r="U2" s="21" t="s">
        <v>8</v>
      </c>
    </row>
    <row r="3" spans="1:21">
      <c r="A3" s="554"/>
      <c r="B3" s="13" t="s">
        <v>180</v>
      </c>
      <c r="C3" s="433" t="str">
        <f>B22</f>
        <v>Guilherme Nascimento</v>
      </c>
      <c r="D3" s="25" t="str">
        <f>B25</f>
        <v>Arthur Minota</v>
      </c>
      <c r="E3" s="26"/>
      <c r="F3" s="27"/>
      <c r="G3" s="15" t="str">
        <f>B23</f>
        <v>Bernardo Trotta</v>
      </c>
      <c r="H3" s="15"/>
      <c r="I3" s="15"/>
      <c r="J3" s="15"/>
      <c r="K3" s="15"/>
      <c r="L3" s="16" t="str">
        <f>B24</f>
        <v>Gerardo Torres</v>
      </c>
      <c r="M3" s="13" t="str">
        <f>IF(OR(Game_52183[[#This Row],[SCORE 1]]="",Game_52183[[#This Row],[SCORE 2]]=""),"",Game_52183[[#This Row],[SCORE 1]]-Game_52183[[#This Row],[SCORE 2]])</f>
        <v/>
      </c>
      <c r="N3" s="13" t="str">
        <f>IF(OR(Game_52183[[#This Row],[SCORE 1]]="",Game_52183[[#This Row],[SCORE 2]]=""),"",Game_52183[[#This Row],[SCORE 2]]-Game_52183[[#This Row],[SCORE 1]])</f>
        <v/>
      </c>
      <c r="O3" s="13" t="str">
        <f>IF(Game_52183[[#This Row],[SCORE 1]]="","",Game_52183[[#This Row],[SCORE 1]])</f>
        <v/>
      </c>
      <c r="P3" s="13" t="str">
        <f>IF(Game_52183[[#This Row],[SCORE 2]]="","",Game_52183[[#This Row],[SCORE 2]])</f>
        <v/>
      </c>
      <c r="Q3" s="13" t="str">
        <f>IF(OR(Game_52183[[#This Row],[SCORE 1]]="",Game_52183[[#This Row],[SCORE 2]]=""),"",IF(Game_52183[[#This Row],[SALDO 12]]&gt;0, "WIN","LOSE"))</f>
        <v/>
      </c>
      <c r="R3" s="13" t="str">
        <f>IF(OR(Game_52183[[#This Row],[SCORE 1]]="",Game_52183[[#This Row],[SCORE 2]]=""),"",IF(Game_52183[[#This Row],[SALDO 34]]&gt;0, "WIN","LOSE"))</f>
        <v/>
      </c>
      <c r="U3" s="2" t="s">
        <v>19</v>
      </c>
    </row>
    <row r="4" spans="1:21">
      <c r="A4" s="554"/>
      <c r="B4" s="13" t="s">
        <v>178</v>
      </c>
      <c r="C4" s="433" t="str">
        <f>B15</f>
        <v>Renan Guiot</v>
      </c>
      <c r="D4" s="25" t="str">
        <f>B17</f>
        <v>Thomas Zahn</v>
      </c>
      <c r="E4" s="26"/>
      <c r="F4" s="27"/>
      <c r="G4" s="15" t="str">
        <f>B16</f>
        <v>Gabriel Velloso</v>
      </c>
      <c r="H4" s="15"/>
      <c r="I4" s="15"/>
      <c r="J4" s="15"/>
      <c r="K4" s="15"/>
      <c r="L4" s="16" t="str">
        <f>B19</f>
        <v>João Barreto</v>
      </c>
      <c r="M4" s="13" t="str">
        <f>IF(OR(Game_52183[[#This Row],[SCORE 1]]="",Game_52183[[#This Row],[SCORE 2]]=""),"",Game_52183[[#This Row],[SCORE 1]]-Game_52183[[#This Row],[SCORE 2]])</f>
        <v/>
      </c>
      <c r="N4" s="13" t="str">
        <f>IF(OR(Game_52183[[#This Row],[SCORE 1]]="",Game_52183[[#This Row],[SCORE 2]]=""),"",Game_52183[[#This Row],[SCORE 2]]-Game_52183[[#This Row],[SCORE 1]])</f>
        <v/>
      </c>
      <c r="O4" s="13" t="str">
        <f>IF(Game_52183[[#This Row],[SCORE 1]]="","",Game_52183[[#This Row],[SCORE 1]])</f>
        <v/>
      </c>
      <c r="P4" s="13" t="str">
        <f>IF(Game_52183[[#This Row],[SCORE 2]]="","",Game_52183[[#This Row],[SCORE 2]])</f>
        <v/>
      </c>
      <c r="Q4" s="13" t="str">
        <f>IF(OR(Game_52183[[#This Row],[SCORE 1]]="",Game_52183[[#This Row],[SCORE 2]]=""),"",IF(Game_52183[[#This Row],[SALDO 12]]&gt;0, "WIN","LOSE"))</f>
        <v/>
      </c>
      <c r="R4" s="13" t="str">
        <f>IF(OR(Game_52183[[#This Row],[SCORE 1]]="",Game_52183[[#This Row],[SCORE 2]]=""),"",IF(Game_52183[[#This Row],[SALDO 34]]&gt;0, "WIN","LOSE"))</f>
        <v/>
      </c>
      <c r="U4" s="2" t="s">
        <v>22</v>
      </c>
    </row>
    <row r="5" spans="1:21">
      <c r="A5" s="554"/>
      <c r="B5" s="13" t="s">
        <v>180</v>
      </c>
      <c r="C5" s="433" t="str">
        <f>B22</f>
        <v>Guilherme Nascimento</v>
      </c>
      <c r="D5" s="25" t="str">
        <f>B24</f>
        <v>Gerardo Torres</v>
      </c>
      <c r="E5" s="26"/>
      <c r="F5" s="27"/>
      <c r="G5" s="15" t="str">
        <f>B23</f>
        <v>Bernardo Trotta</v>
      </c>
      <c r="H5" s="15"/>
      <c r="I5" s="15"/>
      <c r="J5" s="15"/>
      <c r="K5" s="15"/>
      <c r="L5" s="16" t="str">
        <f>B26</f>
        <v>Bruno Soares</v>
      </c>
      <c r="M5" s="13" t="str">
        <f>IF(OR(Game_52183[[#This Row],[SCORE 1]]="",Game_52183[[#This Row],[SCORE 2]]=""),"",Game_52183[[#This Row],[SCORE 1]]-Game_52183[[#This Row],[SCORE 2]])</f>
        <v/>
      </c>
      <c r="N5" s="13" t="str">
        <f>IF(OR(Game_52183[[#This Row],[SCORE 1]]="",Game_52183[[#This Row],[SCORE 2]]=""),"",Game_52183[[#This Row],[SCORE 2]]-Game_52183[[#This Row],[SCORE 1]])</f>
        <v/>
      </c>
      <c r="O5" s="13" t="str">
        <f>IF(Game_52183[[#This Row],[SCORE 1]]="","",Game_52183[[#This Row],[SCORE 1]])</f>
        <v/>
      </c>
      <c r="P5" s="13" t="str">
        <f>IF(Game_52183[[#This Row],[SCORE 2]]="","",Game_52183[[#This Row],[SCORE 2]])</f>
        <v/>
      </c>
      <c r="Q5" s="13" t="str">
        <f>IF(OR(Game_52183[[#This Row],[SCORE 1]]="",Game_52183[[#This Row],[SCORE 2]]=""),"",IF(Game_52183[[#This Row],[SALDO 12]]&gt;0, "WIN","LOSE"))</f>
        <v/>
      </c>
      <c r="R5" s="13" t="str">
        <f>IF(OR(Game_52183[[#This Row],[SCORE 1]]="",Game_52183[[#This Row],[SCORE 2]]=""),"",IF(Game_52183[[#This Row],[SALDO 34]]&gt;0, "WIN","LOSE"))</f>
        <v/>
      </c>
      <c r="U5" s="2" t="s">
        <v>25</v>
      </c>
    </row>
    <row r="6" spans="1:21">
      <c r="A6" s="554"/>
      <c r="B6" s="13" t="s">
        <v>178</v>
      </c>
      <c r="C6" s="433" t="str">
        <f>B15</f>
        <v>Renan Guiot</v>
      </c>
      <c r="D6" s="25" t="str">
        <f>B16</f>
        <v>Gabriel Velloso</v>
      </c>
      <c r="E6" s="26"/>
      <c r="F6" s="27"/>
      <c r="G6" s="15" t="str">
        <f>B18</f>
        <v>Thyago Henrique</v>
      </c>
      <c r="H6" s="15"/>
      <c r="I6" s="15"/>
      <c r="J6" s="15"/>
      <c r="K6" s="15"/>
      <c r="L6" s="16" t="str">
        <f>B19</f>
        <v>João Barreto</v>
      </c>
      <c r="M6" s="13" t="str">
        <f>IF(OR(Game_52183[[#This Row],[SCORE 1]]="",Game_52183[[#This Row],[SCORE 2]]=""),"",Game_52183[[#This Row],[SCORE 1]]-Game_52183[[#This Row],[SCORE 2]])</f>
        <v/>
      </c>
      <c r="N6" s="13" t="str">
        <f>IF(OR(Game_52183[[#This Row],[SCORE 1]]="",Game_52183[[#This Row],[SCORE 2]]=""),"",Game_52183[[#This Row],[SCORE 2]]-Game_52183[[#This Row],[SCORE 1]])</f>
        <v/>
      </c>
      <c r="O6" s="13" t="str">
        <f>IF(Game_52183[[#This Row],[SCORE 1]]="","",Game_52183[[#This Row],[SCORE 1]])</f>
        <v/>
      </c>
      <c r="P6" s="13" t="str">
        <f>IF(Game_52183[[#This Row],[SCORE 2]]="","",Game_52183[[#This Row],[SCORE 2]])</f>
        <v/>
      </c>
      <c r="Q6" s="13" t="str">
        <f>IF(OR(Game_52183[[#This Row],[SCORE 1]]="",Game_52183[[#This Row],[SCORE 2]]=""),"",IF(Game_52183[[#This Row],[SALDO 12]]&gt;0, "WIN","LOSE"))</f>
        <v/>
      </c>
      <c r="R6" s="13" t="str">
        <f>IF(OR(Game_52183[[#This Row],[SCORE 1]]="",Game_52183[[#This Row],[SCORE 2]]=""),"",IF(Game_52183[[#This Row],[SALDO 34]]&gt;0, "WIN","LOSE"))</f>
        <v/>
      </c>
      <c r="U6" s="2" t="s">
        <v>28</v>
      </c>
    </row>
    <row r="7" spans="1:21">
      <c r="A7" s="554"/>
      <c r="B7" s="13" t="s">
        <v>180</v>
      </c>
      <c r="C7" s="433" t="str">
        <f>B22</f>
        <v>Guilherme Nascimento</v>
      </c>
      <c r="D7" s="25" t="str">
        <f>B23</f>
        <v>Bernardo Trotta</v>
      </c>
      <c r="E7" s="26"/>
      <c r="F7" s="27"/>
      <c r="G7" s="15" t="str">
        <f>B25</f>
        <v>Arthur Minota</v>
      </c>
      <c r="H7" s="15"/>
      <c r="I7" s="15"/>
      <c r="J7" s="15"/>
      <c r="K7" s="15"/>
      <c r="L7" s="16" t="str">
        <f>B26</f>
        <v>Bruno Soares</v>
      </c>
      <c r="M7" s="13" t="str">
        <f>IF(OR(Game_52183[[#This Row],[SCORE 1]]="",Game_52183[[#This Row],[SCORE 2]]=""),"",Game_52183[[#This Row],[SCORE 1]]-Game_52183[[#This Row],[SCORE 2]])</f>
        <v/>
      </c>
      <c r="N7" s="13" t="str">
        <f>IF(OR(Game_52183[[#This Row],[SCORE 1]]="",Game_52183[[#This Row],[SCORE 2]]=""),"",Game_52183[[#This Row],[SCORE 2]]-Game_52183[[#This Row],[SCORE 1]])</f>
        <v/>
      </c>
      <c r="O7" s="13" t="str">
        <f>IF(Game_52183[[#This Row],[SCORE 1]]="","",Game_52183[[#This Row],[SCORE 1]])</f>
        <v/>
      </c>
      <c r="P7" s="13" t="str">
        <f>IF(Game_52183[[#This Row],[SCORE 2]]="","",Game_52183[[#This Row],[SCORE 2]])</f>
        <v/>
      </c>
      <c r="Q7" s="13" t="str">
        <f>IF(OR(Game_52183[[#This Row],[SCORE 1]]="",Game_52183[[#This Row],[SCORE 2]]=""),"",IF(Game_52183[[#This Row],[SALDO 12]]&gt;0, "WIN","LOSE"))</f>
        <v/>
      </c>
      <c r="R7" s="13" t="str">
        <f>IF(OR(Game_52183[[#This Row],[SCORE 1]]="",Game_52183[[#This Row],[SCORE 2]]=""),"",IF(Game_52183[[#This Row],[SALDO 34]]&gt;0, "WIN","LOSE"))</f>
        <v/>
      </c>
      <c r="U7" s="2" t="s">
        <v>31</v>
      </c>
    </row>
    <row r="8" spans="1:21">
      <c r="A8" s="554"/>
      <c r="B8" s="13" t="s">
        <v>178</v>
      </c>
      <c r="C8" s="433" t="str">
        <f>B15</f>
        <v>Renan Guiot</v>
      </c>
      <c r="D8" s="25" t="str">
        <f>B19</f>
        <v>João Barreto</v>
      </c>
      <c r="E8" s="26"/>
      <c r="F8" s="27"/>
      <c r="G8" s="15" t="str">
        <f>B17</f>
        <v>Thomas Zahn</v>
      </c>
      <c r="H8" s="15"/>
      <c r="I8" s="15"/>
      <c r="J8" s="15"/>
      <c r="K8" s="15"/>
      <c r="L8" s="16" t="str">
        <f>B18</f>
        <v>Thyago Henrique</v>
      </c>
      <c r="M8" s="13" t="str">
        <f>IF(OR(Game_52183[[#This Row],[SCORE 1]]="",Game_52183[[#This Row],[SCORE 2]]=""),"",Game_52183[[#This Row],[SCORE 1]]-Game_52183[[#This Row],[SCORE 2]])</f>
        <v/>
      </c>
      <c r="N8" s="13" t="str">
        <f>IF(OR(Game_52183[[#This Row],[SCORE 1]]="",Game_52183[[#This Row],[SCORE 2]]=""),"",Game_52183[[#This Row],[SCORE 2]]-Game_52183[[#This Row],[SCORE 1]])</f>
        <v/>
      </c>
      <c r="O8" s="13" t="str">
        <f>IF(Game_52183[[#This Row],[SCORE 1]]="","",Game_52183[[#This Row],[SCORE 1]])</f>
        <v/>
      </c>
      <c r="P8" s="13" t="str">
        <f>IF(Game_52183[[#This Row],[SCORE 2]]="","",Game_52183[[#This Row],[SCORE 2]])</f>
        <v/>
      </c>
      <c r="Q8" s="13" t="str">
        <f>IF(OR(Game_52183[[#This Row],[SCORE 1]]="",Game_52183[[#This Row],[SCORE 2]]=""),"",IF(Game_52183[[#This Row],[SALDO 12]]&gt;0, "WIN","LOSE"))</f>
        <v/>
      </c>
      <c r="R8" s="13" t="str">
        <f>IF(OR(Game_52183[[#This Row],[SCORE 1]]="",Game_52183[[#This Row],[SCORE 2]]=""),"",IF(Game_52183[[#This Row],[SALDO 34]]&gt;0, "WIN","LOSE"))</f>
        <v/>
      </c>
      <c r="U8" s="2" t="s">
        <v>34</v>
      </c>
    </row>
    <row r="9" spans="1:21">
      <c r="A9" s="554"/>
      <c r="B9" s="13" t="s">
        <v>180</v>
      </c>
      <c r="C9" s="433" t="str">
        <f>B22</f>
        <v>Guilherme Nascimento</v>
      </c>
      <c r="D9" s="25" t="str">
        <f>B26</f>
        <v>Bruno Soares</v>
      </c>
      <c r="E9" s="26"/>
      <c r="F9" s="27"/>
      <c r="G9" s="15" t="str">
        <f>B24</f>
        <v>Gerardo Torres</v>
      </c>
      <c r="H9" s="15"/>
      <c r="I9" s="15"/>
      <c r="J9" s="15"/>
      <c r="K9" s="15"/>
      <c r="L9" s="16" t="str">
        <f>B25</f>
        <v>Arthur Minota</v>
      </c>
      <c r="M9" s="13" t="str">
        <f>IF(OR(Game_52183[[#This Row],[SCORE 1]]="",Game_52183[[#This Row],[SCORE 2]]=""),"",Game_52183[[#This Row],[SCORE 1]]-Game_52183[[#This Row],[SCORE 2]])</f>
        <v/>
      </c>
      <c r="N9" s="13" t="str">
        <f>IF(OR(Game_52183[[#This Row],[SCORE 1]]="",Game_52183[[#This Row],[SCORE 2]]=""),"",Game_52183[[#This Row],[SCORE 2]]-Game_52183[[#This Row],[SCORE 1]])</f>
        <v/>
      </c>
      <c r="O9" s="13" t="str">
        <f>IF(Game_52183[[#This Row],[SCORE 1]]="","",Game_52183[[#This Row],[SCORE 1]])</f>
        <v/>
      </c>
      <c r="P9" s="13" t="str">
        <f>IF(Game_52183[[#This Row],[SCORE 2]]="","",Game_52183[[#This Row],[SCORE 2]])</f>
        <v/>
      </c>
      <c r="Q9" s="13" t="str">
        <f>IF(OR(Game_52183[[#This Row],[SCORE 1]]="",Game_52183[[#This Row],[SCORE 2]]=""),"",IF(Game_52183[[#This Row],[SALDO 12]]&gt;0, "WIN","LOSE"))</f>
        <v/>
      </c>
      <c r="R9" s="13" t="str">
        <f>IF(OR(Game_52183[[#This Row],[SCORE 1]]="",Game_52183[[#This Row],[SCORE 2]]=""),"",IF(Game_52183[[#This Row],[SALDO 34]]&gt;0, "WIN","LOSE"))</f>
        <v/>
      </c>
      <c r="U9" s="2" t="s">
        <v>37</v>
      </c>
    </row>
    <row r="10" spans="1:21">
      <c r="A10" s="554"/>
      <c r="B10" s="13" t="s">
        <v>178</v>
      </c>
      <c r="C10" s="433" t="str">
        <f>B17</f>
        <v>Thomas Zahn</v>
      </c>
      <c r="D10" s="25" t="str">
        <f>B19</f>
        <v>João Barreto</v>
      </c>
      <c r="E10" s="26"/>
      <c r="F10" s="27"/>
      <c r="G10" s="15" t="str">
        <f>B16</f>
        <v>Gabriel Velloso</v>
      </c>
      <c r="H10" s="15"/>
      <c r="I10" s="15"/>
      <c r="J10" s="15"/>
      <c r="K10" s="15"/>
      <c r="L10" s="16" t="str">
        <f>B18</f>
        <v>Thyago Henrique</v>
      </c>
      <c r="M10" s="13" t="str">
        <f>IF(OR(Game_52183[[#This Row],[SCORE 1]]="",Game_52183[[#This Row],[SCORE 2]]=""),"",Game_52183[[#This Row],[SCORE 1]]-Game_52183[[#This Row],[SCORE 2]])</f>
        <v/>
      </c>
      <c r="N10" s="13" t="str">
        <f>IF(OR(Game_52183[[#This Row],[SCORE 1]]="",Game_52183[[#This Row],[SCORE 2]]=""),"",Game_52183[[#This Row],[SCORE 2]]-Game_52183[[#This Row],[SCORE 1]])</f>
        <v/>
      </c>
      <c r="O10" s="13" t="str">
        <f>IF(Game_52183[[#This Row],[SCORE 1]]="","",Game_52183[[#This Row],[SCORE 1]])</f>
        <v/>
      </c>
      <c r="P10" s="13" t="str">
        <f>IF(Game_52183[[#This Row],[SCORE 2]]="","",Game_52183[[#This Row],[SCORE 2]])</f>
        <v/>
      </c>
      <c r="Q10" s="13" t="str">
        <f>IF(OR(Game_52183[[#This Row],[SCORE 1]]="",Game_52183[[#This Row],[SCORE 2]]=""),"",IF(Game_52183[[#This Row],[SALDO 12]]&gt;0, "WIN","LOSE"))</f>
        <v/>
      </c>
      <c r="R10" s="13" t="str">
        <f>IF(OR(Game_52183[[#This Row],[SCORE 1]]="",Game_52183[[#This Row],[SCORE 2]]=""),"",IF(Game_52183[[#This Row],[SALDO 34]]&gt;0, "WIN","LOSE"))</f>
        <v/>
      </c>
      <c r="U10" s="2" t="s">
        <v>41</v>
      </c>
    </row>
    <row r="11" spans="1:21">
      <c r="A11" s="554"/>
      <c r="B11" s="13" t="s">
        <v>180</v>
      </c>
      <c r="C11" s="433" t="str">
        <f>B24</f>
        <v>Gerardo Torres</v>
      </c>
      <c r="D11" s="25" t="str">
        <f>B26</f>
        <v>Bruno Soares</v>
      </c>
      <c r="E11" s="26"/>
      <c r="F11" s="27"/>
      <c r="G11" s="15" t="str">
        <f>B23</f>
        <v>Bernardo Trotta</v>
      </c>
      <c r="H11" s="15"/>
      <c r="I11" s="15"/>
      <c r="J11" s="15"/>
      <c r="K11" s="15"/>
      <c r="L11" s="16" t="str">
        <f>B25</f>
        <v>Arthur Minota</v>
      </c>
      <c r="M11" s="13" t="str">
        <f>IF(OR(Game_52183[[#This Row],[SCORE 1]]="",Game_52183[[#This Row],[SCORE 2]]=""),"",Game_52183[[#This Row],[SCORE 1]]-Game_52183[[#This Row],[SCORE 2]])</f>
        <v/>
      </c>
      <c r="N11" s="13" t="str">
        <f>IF(OR(Game_52183[[#This Row],[SCORE 1]]="",Game_52183[[#This Row],[SCORE 2]]=""),"",Game_52183[[#This Row],[SCORE 2]]-Game_52183[[#This Row],[SCORE 1]])</f>
        <v/>
      </c>
      <c r="O11" s="13" t="str">
        <f>IF(Game_52183[[#This Row],[SCORE 1]]="","",Game_52183[[#This Row],[SCORE 1]])</f>
        <v/>
      </c>
      <c r="P11" s="13" t="str">
        <f>IF(Game_52183[[#This Row],[SCORE 2]]="","",Game_52183[[#This Row],[SCORE 2]])</f>
        <v/>
      </c>
      <c r="Q11" s="13" t="str">
        <f>IF(OR(Game_52183[[#This Row],[SCORE 1]]="",Game_52183[[#This Row],[SCORE 2]]=""),"",IF(Game_52183[[#This Row],[SALDO 12]]&gt;0, "WIN","LOSE"))</f>
        <v/>
      </c>
      <c r="R11" s="13" t="str">
        <f>IF(OR(Game_52183[[#This Row],[SCORE 1]]="",Game_52183[[#This Row],[SCORE 2]]=""),"",IF(Game_52183[[#This Row],[SALDO 34]]&gt;0, "WIN","LOSE"))</f>
        <v/>
      </c>
      <c r="U11" s="2" t="s">
        <v>44</v>
      </c>
    </row>
    <row r="12" spans="1:21" ht="30" customHeight="1">
      <c r="U12" s="2" t="s">
        <v>39</v>
      </c>
    </row>
    <row r="13" spans="1:21" ht="30" customHeight="1">
      <c r="A13" s="546" t="s">
        <v>182</v>
      </c>
      <c r="B13" s="547"/>
      <c r="C13" s="547"/>
      <c r="D13" s="547"/>
      <c r="E13" s="547"/>
      <c r="F13" s="547"/>
      <c r="G13" s="547"/>
      <c r="H13" s="420"/>
      <c r="I13" s="420"/>
      <c r="J13" s="420"/>
      <c r="K13" s="420"/>
      <c r="M13" s="548" t="s">
        <v>183</v>
      </c>
      <c r="N13" s="549"/>
      <c r="O13" s="549"/>
      <c r="P13" s="549"/>
      <c r="Q13" s="549"/>
      <c r="R13" s="549"/>
    </row>
    <row r="14" spans="1:21" ht="15.95">
      <c r="A14" s="6" t="s">
        <v>246</v>
      </c>
      <c r="B14" s="7" t="s">
        <v>261</v>
      </c>
      <c r="C14" s="7" t="s">
        <v>186</v>
      </c>
      <c r="D14" s="7" t="s">
        <v>187</v>
      </c>
      <c r="E14" s="7" t="s">
        <v>188</v>
      </c>
      <c r="F14" s="7" t="s">
        <v>189</v>
      </c>
      <c r="G14" s="7" t="s">
        <v>8</v>
      </c>
      <c r="H14" s="80" t="s">
        <v>190</v>
      </c>
      <c r="I14" s="20" t="s">
        <v>191</v>
      </c>
      <c r="J14" s="20" t="s">
        <v>192</v>
      </c>
      <c r="K14" s="20" t="s">
        <v>1</v>
      </c>
      <c r="L14" s="20" t="s">
        <v>192</v>
      </c>
      <c r="M14" s="418" t="s">
        <v>193</v>
      </c>
      <c r="N14" s="418" t="s">
        <v>194</v>
      </c>
      <c r="O14" s="542" t="s">
        <v>195</v>
      </c>
      <c r="P14" s="543"/>
      <c r="Q14" s="418" t="s">
        <v>196</v>
      </c>
      <c r="R14" s="418" t="s">
        <v>197</v>
      </c>
    </row>
    <row r="15" spans="1:21">
      <c r="A15" s="4" t="s">
        <v>205</v>
      </c>
      <c r="B15" s="365" t="s">
        <v>38</v>
      </c>
      <c r="C15" s="14">
        <f>SUM(COUNTIFS(Game_52183[ATHLETE 1],Analysis_156184[[#This Row],[Athletes ]],Game_52183[RESULT 12],"win"),COUNTIFS(Game_52183[ATHLETE 2],Analysis_156184[[#This Row],[Athletes ]],Game_52183[RESULT 12],"win"),COUNTIFS(Game_52183[ATHLETE 3],Analysis_156184[[#This Row],[Athletes ]],Game_52183[RESULT 34],"win"),COUNTIFS(Game_52183[ATHLETE 4],Analysis_156184[[#This Row],[Athletes ]],Game_52183[RESULT 34],"win"))</f>
        <v>0</v>
      </c>
      <c r="D15" s="14">
        <f>SUM(COUNTIFS(Game_52183[ATHLETE 1],Analysis_156184[[#This Row],[Athletes ]],Game_52183[RESULT 12],"lose"),COUNTIFS(Game_52183[ATHLETE 2],Analysis_156184[[#This Row],[Athletes ]],Game_52183[RESULT 12],"lose"),COUNTIFS(Game_52183[ATHLETE 3],Analysis_156184[[#This Row],[Athletes ]],Game_52183[RESULT 34],"lose"),COUNTIFS(Game_52183[ATHLETE 4],Analysis_156184[[#This Row],[Athletes ]],Game_52183[RESULT 34],"lose"))</f>
        <v>0</v>
      </c>
      <c r="E15" s="19">
        <f>SUM(SUMIF(Game_52183[ATHLETE 1],Analysis_156184[[#This Row],[Athletes ]],Game_52183[SALDO 12]),SUMIF(Game_52183[ATHLETE 2],Analysis_156184[[#This Row],[Athletes ]],Game_52183[SALDO 12]),SUMIF(Game_52183[ATHLETE 3],Analysis_156184[[#This Row],[Athletes ]],Game_52183[SALDO 34]),SUMIF(Game_52183[ATHLETE 4],Analysis_156184[[#This Row],[Athletes ]],Game_52183[SALDO 34]))</f>
        <v>0</v>
      </c>
      <c r="F15" s="19">
        <f>SUM(SUMIF(Game_52183[ATHLETE 1],Analysis_156184[[#This Row],[Athletes ]],Game_52183[PM 12]),SUMIF(Game_52183[ATHLETE 2],Analysis_156184[[#This Row],[Athletes ]],Game_52183[PM 12]),SUMIF(Game_52183[ATHLETE 3],Analysis_156184[[#This Row],[Athletes ]],Game_52183[PM 34]),SUMIF(Game_52183[ATHLETE 4],Analysis_156184[[#This Row],[Athletes ]],Game_52183[PM 34]))</f>
        <v>0</v>
      </c>
      <c r="G15" s="14" t="str">
        <f>IF(COUNTBLANK(Game_52183[[SCORE 1]:[SCORE 2]])=0,IF(RANK(H15,$H$15:$H$19)=1,RANK(H15,$H$15:$H$19)&amp;"st",IF(RANK(H15,$H$15:$H$19)=2,RANK(H15,$H$15:$H$19)&amp;"nd",IF(RANK(H15,$H$15:$H$19)=3,RANK(H15,$H$15:$H$19)&amp;"rd",RANK(H15,$H$15:$H$19)&amp;"th"))),"")</f>
        <v/>
      </c>
      <c r="H15" s="203">
        <f>Analysis_156184[[#This Row],[WIN]]*1000000+Analysis_156184[[#This Row],[Saldo]]*1000+Analysis_156184[[#This Row],[PM]]</f>
        <v>0</v>
      </c>
      <c r="I15" s="2">
        <f>H15</f>
        <v>0</v>
      </c>
      <c r="J15" s="2" t="str">
        <f>IF(COUNTBLANK(Game_52183[[SCORE 1]:[SCORE 2]])=0,IF(RANK(I15,$I$15:$I$24)=1,RANK(I15,$I$15:$I$24)&amp;"st",IF(RANK(I15,$I$15:$I$24)=2,RANK(I15,$I$15:$I$24)&amp;"nd",IF(RANK(I15,$I$15:$I$24)=3,RANK(I15,$I$15:$I$24)&amp;"rd",RANK(I15,$I$15:$I$24)&amp;"th"))),"")</f>
        <v/>
      </c>
      <c r="K15" s="38" t="str">
        <f>Analysis_156184[[#This Row],[Athletes ]]</f>
        <v>Renan Guiot</v>
      </c>
      <c r="L15" s="2" t="str">
        <f>J15</f>
        <v/>
      </c>
      <c r="M15" s="428" t="str" cm="1">
        <f t="array" ref="M15">_xlfn.TEXTJOIN(", ", TRUE, _xlfn._xlws.FILTER($K$15:$K$24, $J$15:$J$24=$U$3, ""))</f>
        <v/>
      </c>
      <c r="N15" s="428" t="str" cm="1">
        <f t="array" ref="N15">_xlfn.TEXTJOIN(", ", TRUE, _xlfn._xlws.FILTER($K$15:$K$24, $J$15:$J$24=$U$4, ""))</f>
        <v/>
      </c>
      <c r="O15" s="119"/>
      <c r="P15" s="120"/>
      <c r="Q15" s="428" t="str" cm="1">
        <f t="array" ref="Q15">_xlfn.TEXTJOIN(", ", TRUE, _xlfn._xlws.FILTER($K$15:$K$24, $J$15:$J$24=$U$9, ""))</f>
        <v/>
      </c>
      <c r="R15" s="428" t="str" cm="1">
        <f t="array" ref="R15">_xlfn.TEXTJOIN(", ", TRUE, _xlfn._xlws.FILTER($K$14:$K$24, $J$14:$J$24=$U$10, ""))</f>
        <v/>
      </c>
    </row>
    <row r="16" spans="1:21">
      <c r="A16" s="3" t="s">
        <v>206</v>
      </c>
      <c r="B16" s="365" t="s">
        <v>52</v>
      </c>
      <c r="C16" s="14">
        <f>SUM(COUNTIFS(Game_52183[ATHLETE 1],Analysis_156184[[#This Row],[Athletes ]],Game_52183[RESULT 12],"win"),COUNTIFS(Game_52183[ATHLETE 2],Analysis_156184[[#This Row],[Athletes ]],Game_52183[RESULT 12],"win"),COUNTIFS(Game_52183[ATHLETE 3],Analysis_156184[[#This Row],[Athletes ]],Game_52183[RESULT 34],"win"),COUNTIFS(Game_52183[ATHLETE 4],Analysis_156184[[#This Row],[Athletes ]],Game_52183[RESULT 34],"win"))</f>
        <v>0</v>
      </c>
      <c r="D16" s="14">
        <f>SUM(COUNTIFS(Game_52183[ATHLETE 1],Analysis_156184[[#This Row],[Athletes ]],Game_52183[RESULT 12],"lose"),COUNTIFS(Game_52183[ATHLETE 2],Analysis_156184[[#This Row],[Athletes ]],Game_52183[RESULT 12],"lose"),COUNTIFS(Game_52183[ATHLETE 3],Analysis_156184[[#This Row],[Athletes ]],Game_52183[RESULT 34],"lose"),COUNTIFS(Game_52183[ATHLETE 4],Analysis_156184[[#This Row],[Athletes ]],Game_52183[RESULT 34],"lose"))</f>
        <v>0</v>
      </c>
      <c r="E16" s="19">
        <f>SUM(SUMIF(Game_52183[ATHLETE 1],Analysis_156184[[#This Row],[Athletes ]],Game_52183[SALDO 12]),SUMIF(Game_52183[ATHLETE 2],Analysis_156184[[#This Row],[Athletes ]],Game_52183[SALDO 12]),SUMIF(Game_52183[ATHLETE 3],Analysis_156184[[#This Row],[Athletes ]],Game_52183[SALDO 34]),SUMIF(Game_52183[ATHLETE 4],Analysis_156184[[#This Row],[Athletes ]],Game_52183[SALDO 34]))</f>
        <v>0</v>
      </c>
      <c r="F16" s="19">
        <f>SUM(SUMIF(Game_52183[ATHLETE 1],Analysis_156184[[#This Row],[Athletes ]],Game_52183[PM 12]),SUMIF(Game_52183[ATHLETE 2],Analysis_156184[[#This Row],[Athletes ]],Game_52183[PM 12]),SUMIF(Game_52183[ATHLETE 3],Analysis_156184[[#This Row],[Athletes ]],Game_52183[PM 34]),SUMIF(Game_52183[ATHLETE 4],Analysis_156184[[#This Row],[Athletes ]],Game_52183[PM 34]))</f>
        <v>0</v>
      </c>
      <c r="G16" s="14" t="str">
        <f>IF(COUNTBLANK(Game_52183[[SCORE 1]:[SCORE 2]])=0,IF(RANK(H16,$H$15:$H$19)=1,RANK(H16,$H$15:$H$19)&amp;"st",IF(RANK(H16,$H$15:$H$19)=2,RANK(H16,$H$15:$H$19)&amp;"nd",IF(RANK(H16,$H$15:$H$19)=3,RANK(H16,$H$15:$H$19)&amp;"rd",RANK(H16,$H$15:$H$19)&amp;"th"))),"")</f>
        <v/>
      </c>
      <c r="H16" s="203">
        <f>Analysis_156184[[#This Row],[WIN]]*1000000+Analysis_156184[[#This Row],[Saldo]]*1000+Analysis_156184[[#This Row],[PM]]</f>
        <v>0</v>
      </c>
      <c r="I16" s="2">
        <f>H16</f>
        <v>0</v>
      </c>
      <c r="J16" s="2" t="str">
        <f>IF(COUNTBLANK(Game_52183[[SCORE 1]:[SCORE 2]])=0,IF(RANK(I16,$I$15:$I$24)=1,RANK(I16,$I$15:$I$24)&amp;"st",IF(RANK(I16,$I$15:$I$24)=2,RANK(I16,$I$15:$I$24)&amp;"nd",IF(RANK(I16,$I$15:$I$24)=3,RANK(I16,$I$15:$I$24)&amp;"rd",RANK(I16,$I$15:$I$24)&amp;"th"))),"")</f>
        <v/>
      </c>
      <c r="K16" s="38" t="str">
        <f>Analysis_156184[[#This Row],[Athletes ]]</f>
        <v>Gabriel Velloso</v>
      </c>
      <c r="L16" s="2" t="str">
        <f t="shared" ref="L16:L19" si="0">J16</f>
        <v/>
      </c>
      <c r="M16" s="127" t="str">
        <f>IF($O$15="lose",$U$7,"")</f>
        <v/>
      </c>
      <c r="N16" s="127" t="str">
        <f>IF($O$15="lose",$U$8,"")</f>
        <v/>
      </c>
      <c r="O16" s="2" t="str">
        <f>IF(OR(O15="",P15=""),"",IF((O15&gt;P15),"WIN","LOSE"))</f>
        <v/>
      </c>
      <c r="P16" s="2" t="str">
        <f>IF(OR(O15="",P15=""),"",IF((O15&lt;P15),"WIN","LOSE"))</f>
        <v/>
      </c>
      <c r="Q16" s="127" t="str">
        <f>IF($P$15="lose",$U$9,"")</f>
        <v/>
      </c>
      <c r="R16" s="127" t="str">
        <f>IF($P$15="lose",$U$10,"")</f>
        <v/>
      </c>
      <c r="S16" s="17"/>
    </row>
    <row r="17" spans="1:18">
      <c r="A17" s="3" t="s">
        <v>207</v>
      </c>
      <c r="B17" s="365" t="s">
        <v>35</v>
      </c>
      <c r="C17" s="14">
        <f>SUM(COUNTIFS(Game_52183[ATHLETE 1],Analysis_156184[[#This Row],[Athletes ]],Game_52183[RESULT 12],"win"),COUNTIFS(Game_52183[ATHLETE 2],Analysis_156184[[#This Row],[Athletes ]],Game_52183[RESULT 12],"win"),COUNTIFS(Game_52183[ATHLETE 3],Analysis_156184[[#This Row],[Athletes ]],Game_52183[RESULT 34],"win"),COUNTIFS(Game_52183[ATHLETE 4],Analysis_156184[[#This Row],[Athletes ]],Game_52183[RESULT 34],"win"))</f>
        <v>0</v>
      </c>
      <c r="D17" s="14">
        <f>SUM(COUNTIFS(Game_52183[ATHLETE 1],Analysis_156184[[#This Row],[Athletes ]],Game_52183[RESULT 12],"lose"),COUNTIFS(Game_52183[ATHLETE 2],Analysis_156184[[#This Row],[Athletes ]],Game_52183[RESULT 12],"lose"),COUNTIFS(Game_52183[ATHLETE 3],Analysis_156184[[#This Row],[Athletes ]],Game_52183[RESULT 34],"lose"),COUNTIFS(Game_52183[ATHLETE 4],Analysis_156184[[#This Row],[Athletes ]],Game_52183[RESULT 34],"lose"))</f>
        <v>0</v>
      </c>
      <c r="E17" s="19">
        <f>SUM(SUMIF(Game_52183[ATHLETE 1],Analysis_156184[[#This Row],[Athletes ]],Game_52183[SALDO 12]),SUMIF(Game_52183[ATHLETE 2],Analysis_156184[[#This Row],[Athletes ]],Game_52183[SALDO 12]),SUMIF(Game_52183[ATHLETE 3],Analysis_156184[[#This Row],[Athletes ]],Game_52183[SALDO 34]),SUMIF(Game_52183[ATHLETE 4],Analysis_156184[[#This Row],[Athletes ]],Game_52183[SALDO 34]))</f>
        <v>0</v>
      </c>
      <c r="F17" s="19">
        <f>SUM(SUMIF(Game_52183[ATHLETE 1],Analysis_156184[[#This Row],[Athletes ]],Game_52183[PM 12]),SUMIF(Game_52183[ATHLETE 2],Analysis_156184[[#This Row],[Athletes ]],Game_52183[PM 12]),SUMIF(Game_52183[ATHLETE 3],Analysis_156184[[#This Row],[Athletes ]],Game_52183[PM 34]),SUMIF(Game_52183[ATHLETE 4],Analysis_156184[[#This Row],[Athletes ]],Game_52183[PM 34]))</f>
        <v>0</v>
      </c>
      <c r="G17" s="14" t="str">
        <f>IF(COUNTBLANK(Game_52183[[SCORE 1]:[SCORE 2]])=0,IF(RANK(H17,$H$15:$H$19)=1,RANK(H17,$H$15:$H$19)&amp;"st",IF(RANK(H17,$H$15:$H$19)=2,RANK(H17,$H$15:$H$19)&amp;"nd",IF(RANK(H17,$H$15:$H$19)=3,RANK(H17,$H$15:$H$19)&amp;"rd",RANK(H17,$H$15:$H$19)&amp;"th"))),"")</f>
        <v/>
      </c>
      <c r="H17" s="203">
        <f>Analysis_156184[[#This Row],[WIN]]*1000000+Analysis_156184[[#This Row],[Saldo]]*1000+Analysis_156184[[#This Row],[PM]]</f>
        <v>0</v>
      </c>
      <c r="I17" s="2">
        <f>H17</f>
        <v>0</v>
      </c>
      <c r="J17" s="2" t="str">
        <f>IF(COUNTBLANK(Game_52183[[SCORE 1]:[SCORE 2]])=0,IF(RANK(I17,$I$15:$I$24)=1,RANK(I17,$I$15:$I$24)&amp;"st",IF(RANK(I17,$I$15:$I$24)=2,RANK(I17,$I$15:$I$24)&amp;"nd",IF(RANK(I17,$I$15:$I$24)=3,RANK(I17,$I$15:$I$24)&amp;"rd",RANK(I17,$I$15:$I$24)&amp;"th"))),"")</f>
        <v/>
      </c>
      <c r="K17" s="38" t="str">
        <f>Analysis_156184[[#This Row],[Athletes ]]</f>
        <v>Thomas Zahn</v>
      </c>
      <c r="L17" s="2" t="str">
        <f t="shared" si="0"/>
        <v/>
      </c>
      <c r="M17" s="90">
        <v>1</v>
      </c>
      <c r="N17" s="90">
        <v>2</v>
      </c>
      <c r="O17" s="90"/>
      <c r="P17" s="90"/>
      <c r="Q17" s="90">
        <v>7</v>
      </c>
      <c r="R17" s="90">
        <v>8</v>
      </c>
    </row>
    <row r="18" spans="1:18" ht="15.95">
      <c r="A18" s="5" t="s">
        <v>208</v>
      </c>
      <c r="B18" s="365" t="s">
        <v>20</v>
      </c>
      <c r="C18" s="14">
        <f>SUM(COUNTIFS(Game_52183[ATHLETE 1],Analysis_156184[[#This Row],[Athletes ]],Game_52183[RESULT 12],"win"),COUNTIFS(Game_52183[ATHLETE 2],Analysis_156184[[#This Row],[Athletes ]],Game_52183[RESULT 12],"win"),COUNTIFS(Game_52183[ATHLETE 3],Analysis_156184[[#This Row],[Athletes ]],Game_52183[RESULT 34],"win"),COUNTIFS(Game_52183[ATHLETE 4],Analysis_156184[[#This Row],[Athletes ]],Game_52183[RESULT 34],"win"))</f>
        <v>0</v>
      </c>
      <c r="D18" s="14">
        <f>SUM(COUNTIFS(Game_52183[ATHLETE 1],Analysis_156184[[#This Row],[Athletes ]],Game_52183[RESULT 12],"lose"),COUNTIFS(Game_52183[ATHLETE 2],Analysis_156184[[#This Row],[Athletes ]],Game_52183[RESULT 12],"lose"),COUNTIFS(Game_52183[ATHLETE 3],Analysis_156184[[#This Row],[Athletes ]],Game_52183[RESULT 34],"lose"),COUNTIFS(Game_52183[ATHLETE 4],Analysis_156184[[#This Row],[Athletes ]],Game_52183[RESULT 34],"lose"))</f>
        <v>0</v>
      </c>
      <c r="E18" s="19">
        <f>SUM(SUMIF(Game_52183[ATHLETE 1],Analysis_156184[[#This Row],[Athletes ]],Game_52183[SALDO 12]),SUMIF(Game_52183[ATHLETE 2],Analysis_156184[[#This Row],[Athletes ]],Game_52183[SALDO 12]),SUMIF(Game_52183[ATHLETE 3],Analysis_156184[[#This Row],[Athletes ]],Game_52183[SALDO 34]),SUMIF(Game_52183[ATHLETE 4],Analysis_156184[[#This Row],[Athletes ]],Game_52183[SALDO 34]))</f>
        <v>0</v>
      </c>
      <c r="F18" s="19">
        <f>SUM(SUMIF(Game_52183[ATHLETE 1],Analysis_156184[[#This Row],[Athletes ]],Game_52183[PM 12]),SUMIF(Game_52183[ATHLETE 2],Analysis_156184[[#This Row],[Athletes ]],Game_52183[PM 12]),SUMIF(Game_52183[ATHLETE 3],Analysis_156184[[#This Row],[Athletes ]],Game_52183[PM 34]),SUMIF(Game_52183[ATHLETE 4],Analysis_156184[[#This Row],[Athletes ]],Game_52183[PM 34]))</f>
        <v>0</v>
      </c>
      <c r="G18" s="14" t="str">
        <f>IF(COUNTBLANK(Game_52183[[SCORE 1]:[SCORE 2]])=0,IF(RANK(H18,$H$15:$H$19)=1,RANK(H18,$H$15:$H$19)&amp;"st",IF(RANK(H18,$H$15:$H$19)=2,RANK(H18,$H$15:$H$19)&amp;"nd",IF(RANK(H18,$H$15:$H$19)=3,RANK(H18,$H$15:$H$19)&amp;"rd",RANK(H18,$H$15:$H$19)&amp;"th"))),"")</f>
        <v/>
      </c>
      <c r="H18" s="203">
        <f>Analysis_156184[[#This Row],[WIN]]*1000000+Analysis_156184[[#This Row],[Saldo]]*1000+Analysis_156184[[#This Row],[PM]]</f>
        <v>0</v>
      </c>
      <c r="I18" s="2">
        <f>H18</f>
        <v>0</v>
      </c>
      <c r="J18" s="2" t="str">
        <f>IF(COUNTBLANK(Game_52183[[SCORE 1]:[SCORE 2]])=0,IF(RANK(I18,$I$15:$I$24)=1,RANK(I18,$I$15:$I$24)&amp;"st",IF(RANK(I18,$I$15:$I$24)=2,RANK(I18,$I$15:$I$24)&amp;"nd",IF(RANK(I18,$I$15:$I$24)=3,RANK(I18,$I$15:$I$24)&amp;"rd",RANK(I18,$I$15:$I$24)&amp;"th"))),"")</f>
        <v/>
      </c>
      <c r="K18" s="38" t="str">
        <f>Analysis_156184[[#This Row],[Athletes ]]</f>
        <v>Thyago Henrique</v>
      </c>
      <c r="L18" s="2" t="str">
        <f t="shared" si="0"/>
        <v/>
      </c>
      <c r="M18" s="90"/>
      <c r="N18" s="90"/>
      <c r="O18" s="90"/>
      <c r="P18" s="90"/>
      <c r="Q18" s="90"/>
      <c r="R18" s="90"/>
    </row>
    <row r="19" spans="1:18">
      <c r="A19" s="3" t="s">
        <v>230</v>
      </c>
      <c r="B19" s="365" t="s">
        <v>12</v>
      </c>
      <c r="C19" s="14">
        <f>SUM(COUNTIFS(Game_52183[ATHLETE 1],Analysis_156184[[#This Row],[Athletes ]],Game_52183[RESULT 12],"win"),COUNTIFS(Game_52183[ATHLETE 2],Analysis_156184[[#This Row],[Athletes ]],Game_52183[RESULT 12],"win"),COUNTIFS(Game_52183[ATHLETE 3],Analysis_156184[[#This Row],[Athletes ]],Game_52183[RESULT 34],"win"),COUNTIFS(Game_52183[ATHLETE 4],Analysis_156184[[#This Row],[Athletes ]],Game_52183[RESULT 34],"win"))</f>
        <v>0</v>
      </c>
      <c r="D19" s="14">
        <f>SUM(COUNTIFS(Game_52183[ATHLETE 1],Analysis_156184[[#This Row],[Athletes ]],Game_52183[RESULT 12],"lose"),COUNTIFS(Game_52183[ATHLETE 2],Analysis_156184[[#This Row],[Athletes ]],Game_52183[RESULT 12],"lose"),COUNTIFS(Game_52183[ATHLETE 3],Analysis_156184[[#This Row],[Athletes ]],Game_52183[RESULT 34],"lose"),COUNTIFS(Game_52183[ATHLETE 4],Analysis_156184[[#This Row],[Athletes ]],Game_52183[RESULT 34],"lose"))</f>
        <v>0</v>
      </c>
      <c r="E19" s="19">
        <f>SUM(SUMIF(Game_52183[ATHLETE 1],Analysis_156184[[#This Row],[Athletes ]],Game_52183[SALDO 12]),SUMIF(Game_52183[ATHLETE 2],Analysis_156184[[#This Row],[Athletes ]],Game_52183[SALDO 12]),SUMIF(Game_52183[ATHLETE 3],Analysis_156184[[#This Row],[Athletes ]],Game_52183[SALDO 34]),SUMIF(Game_52183[ATHLETE 4],Analysis_156184[[#This Row],[Athletes ]],Game_52183[SALDO 34]))</f>
        <v>0</v>
      </c>
      <c r="F19" s="19">
        <f>SUM(SUMIF(Game_52183[ATHLETE 1],Analysis_156184[[#This Row],[Athletes ]],Game_52183[PM 12]),SUMIF(Game_52183[ATHLETE 2],Analysis_156184[[#This Row],[Athletes ]],Game_52183[PM 12]),SUMIF(Game_52183[ATHLETE 3],Analysis_156184[[#This Row],[Athletes ]],Game_52183[PM 34]),SUMIF(Game_52183[ATHLETE 4],Analysis_156184[[#This Row],[Athletes ]],Game_52183[PM 34]))</f>
        <v>0</v>
      </c>
      <c r="G19" s="14" t="str">
        <f>IF(COUNTBLANK(Game_52183[[SCORE 1]:[SCORE 2]])=0,IF(RANK(H19,$H$15:$H$19)=1,RANK(H19,$H$15:$H$19)&amp;"st",IF(RANK(H19,$H$15:$H$19)=2,RANK(H19,$H$15:$H$19)&amp;"nd",IF(RANK(H19,$H$15:$H$19)=3,RANK(H19,$H$15:$H$19)&amp;"rd",RANK(H19,$H$15:$H$19)&amp;"th"))),"")</f>
        <v/>
      </c>
      <c r="H19" s="203">
        <f>Analysis_156184[[#This Row],[WIN]]*1000000+Analysis_156184[[#This Row],[Saldo]]*1000+Analysis_156184[[#This Row],[PM]]</f>
        <v>0</v>
      </c>
      <c r="I19" s="2">
        <f>H19</f>
        <v>0</v>
      </c>
      <c r="J19" s="2" t="str">
        <f>IF(COUNTBLANK(Game_52183[[SCORE 1]:[SCORE 2]])=0,IF(RANK(I19,$I$15:$I$24)=1,RANK(I19,$I$15:$I$24)&amp;"st",IF(RANK(I19,$I$15:$I$24)=2,RANK(I19,$I$15:$I$24)&amp;"nd",IF(RANK(I19,$I$15:$I$24)=3,RANK(I19,$I$15:$I$24)&amp;"rd",RANK(I19,$I$15:$I$24)&amp;"th"))),"")</f>
        <v/>
      </c>
      <c r="K19" s="38" t="str">
        <f>Analysis_156184[[#This Row],[Athletes ]]</f>
        <v>João Barreto</v>
      </c>
      <c r="L19" s="2" t="str">
        <f t="shared" si="0"/>
        <v/>
      </c>
      <c r="M19" s="418" t="s">
        <v>193</v>
      </c>
      <c r="N19" s="418" t="s">
        <v>194</v>
      </c>
      <c r="O19" s="542" t="s">
        <v>195</v>
      </c>
      <c r="P19" s="543"/>
      <c r="Q19" s="418" t="s">
        <v>196</v>
      </c>
      <c r="R19" s="418" t="s">
        <v>197</v>
      </c>
    </row>
    <row r="20" spans="1:18" ht="28.5" customHeight="1">
      <c r="I20" s="2">
        <f>H22</f>
        <v>0</v>
      </c>
      <c r="J20" s="2" t="str">
        <f>IF(COUNTBLANK(Game_52183[[SCORE 1]:[SCORE 2]])=0,IF(RANK(I20,$I$15:$I$24)=1,RANK(I20,$I$15:$I$24)&amp;"st",IF(RANK(I20,$I$15:$I$24)=2,RANK(I20,$I$15:$I$24)&amp;"nd",IF(RANK(I20,$I$15:$I$24)=3,RANK(I20,$I$15:$I$24)&amp;"rd",RANK(I20,$I$15:$I$24)&amp;"th"))),"")</f>
        <v/>
      </c>
      <c r="K20" s="38" t="str">
        <f>B22</f>
        <v>Guilherme Nascimento</v>
      </c>
      <c r="M20" s="147" t="str" cm="1">
        <f t="array" ref="M20">_xlfn.TEXTJOIN(", ", TRUE, _xlfn._xlws.FILTER($K$15:$K$24, $J$15:$J$24=$U$5, ""))</f>
        <v/>
      </c>
      <c r="N20" s="147" t="str" cm="1">
        <f t="array" ref="N20">_xlfn.TEXTJOIN(", ", TRUE, _xlfn._xlws.FILTER($K$15:$K$24, $J$15:$J$24=$U$6, ""))</f>
        <v/>
      </c>
      <c r="O20" s="119"/>
      <c r="P20" s="119"/>
      <c r="Q20" s="147" t="str" cm="1">
        <f t="array" ref="Q20">_xlfn.TEXTJOIN(", ", TRUE, _xlfn._xlws.FILTER($K$15:$K$24, $J$15:$J$24=$U$7, ""))</f>
        <v/>
      </c>
      <c r="R20" s="428" t="str" cm="1">
        <f t="array" ref="R20">_xlfn.TEXTJOIN(", ", TRUE, _xlfn._xlws.FILTER($K$15:$K$24, $J$15:$J$24=$U$8, ""))</f>
        <v/>
      </c>
    </row>
    <row r="21" spans="1:18" ht="15.95">
      <c r="A21" s="6" t="s">
        <v>246</v>
      </c>
      <c r="B21" s="10" t="s">
        <v>261</v>
      </c>
      <c r="C21" s="10" t="s">
        <v>186</v>
      </c>
      <c r="D21" s="10" t="s">
        <v>187</v>
      </c>
      <c r="E21" s="10" t="s">
        <v>188</v>
      </c>
      <c r="F21" s="10" t="s">
        <v>189</v>
      </c>
      <c r="G21" s="7" t="s">
        <v>8</v>
      </c>
      <c r="H21" s="80" t="s">
        <v>190</v>
      </c>
      <c r="I21" s="2">
        <f t="shared" ref="I21:I24" si="1">H23</f>
        <v>0</v>
      </c>
      <c r="J21" s="2" t="str">
        <f>IF(COUNTBLANK(Game_52183[[SCORE 1]:[SCORE 2]])=0,IF(RANK(I21,$I$15:$I$24)=1,RANK(I21,$I$15:$I$24)&amp;"st",IF(RANK(I21,$I$15:$I$24)=2,RANK(I21,$I$15:$I$24)&amp;"nd",IF(RANK(I21,$I$15:$I$24)=3,RANK(I21,$I$15:$I$24)&amp;"rd",RANK(I21,$I$15:$I$24)&amp;"th"))),"")</f>
        <v/>
      </c>
      <c r="K21" s="38" t="str">
        <f t="shared" ref="K21:K24" si="2">B23</f>
        <v>Bernardo Trotta</v>
      </c>
      <c r="L21" s="419" t="s">
        <v>192</v>
      </c>
      <c r="M21" s="127" t="str">
        <f>IF(AND($O$21="lose",$O$16="lose"),$U$9,IF($O$21="lose",$U$7,""))</f>
        <v/>
      </c>
      <c r="N21" s="127" t="str">
        <f>IF(AND($O$21="lose",$O$16="lose"),$U$10,IF($O$21="lose",$U$8,""))</f>
        <v/>
      </c>
      <c r="O21" s="2" t="str">
        <f>IF(OR(O20="",P20=""),"",IF((O20&gt;P20),"WIN","LOSE"))</f>
        <v/>
      </c>
      <c r="P21" s="2" t="str">
        <f>IF(OR(O20="",P20=""),"",IF((O20&lt;P20),"WIN","LOSE"))</f>
        <v/>
      </c>
      <c r="Q21" s="127" t="str">
        <f>IF(AND($P$21="lose",$O$16="lose"),$U$9,IF($P$21="lose",$U$7,""))</f>
        <v/>
      </c>
      <c r="R21" s="127" t="str">
        <f>IF(AND($P$21="lose",$O$16="lose"),$U$10,IF($P$21="lose",$U$8,""))</f>
        <v/>
      </c>
    </row>
    <row r="22" spans="1:18">
      <c r="A22" s="430" t="s">
        <v>209</v>
      </c>
      <c r="B22" s="365" t="s">
        <v>50</v>
      </c>
      <c r="C22" s="14">
        <f>SUM(COUNTIFS(Game_52183[ATHLETE 1],Analysis_1664185[[#This Row],[Athletes ]],Game_52183[RESULT 12],"win"),COUNTIFS(Game_52183[ATHLETE 2],Analysis_1664185[[#This Row],[Athletes ]],Game_52183[RESULT 12],"win"),COUNTIFS(Game_52183[ATHLETE 3],Analysis_1664185[[#This Row],[Athletes ]],Game_52183[RESULT 34],"win"),COUNTIFS(Game_52183[ATHLETE 4],Analysis_1664185[[#This Row],[Athletes ]],Game_52183[RESULT 34],"win"))</f>
        <v>0</v>
      </c>
      <c r="D22" s="14">
        <f>SUM(COUNTIFS(Game_52183[ATHLETE 1],Analysis_1664185[[#This Row],[Athletes ]],Game_52183[RESULT 12],"lose"),COUNTIFS(Game_52183[ATHLETE 2],Analysis_1664185[[#This Row],[Athletes ]],Game_52183[RESULT 12],"lose"),COUNTIFS(Game_52183[ATHLETE 3],Analysis_1664185[[#This Row],[Athletes ]],Game_52183[RESULT 34],"lose"),COUNTIFS(Game_52183[ATHLETE 4],Analysis_1664185[[#This Row],[Athletes ]],Game_52183[RESULT 34],"lose"))</f>
        <v>0</v>
      </c>
      <c r="E22" s="19">
        <f>SUM(SUMIF(Game_52183[ATHLETE 1],Analysis_1664185[[#This Row],[Athletes ]],Game_52183[SALDO 12]),SUMIF(Game_52183[ATHLETE 2],Analysis_1664185[[#This Row],[Athletes ]],Game_52183[SALDO 12]),SUMIF(Game_52183[ATHLETE 3],Analysis_1664185[[#This Row],[Athletes ]],Game_52183[SALDO 34]),SUMIF(Game_52183[ATHLETE 4],Analysis_1664185[[#This Row],[Athletes ]],Game_52183[SALDO 34]))</f>
        <v>0</v>
      </c>
      <c r="F22" s="19">
        <f>SUM(SUMIF(Game_52183[ATHLETE 1],Analysis_1664185[[#This Row],[Athletes ]],Game_52183[PM 12]),SUMIF(Game_52183[ATHLETE 2],Analysis_1664185[[#This Row],[Athletes ]],Game_52183[PM 12]),SUMIF(Game_52183[ATHLETE 3],Analysis_1664185[[#This Row],[Athletes ]],Game_52183[PM 34]),SUMIF(Game_52183[ATHLETE 4],Analysis_1664185[[#This Row],[Athletes ]],Game_52183[PM 34]))</f>
        <v>0</v>
      </c>
      <c r="G22" s="14" t="str">
        <f>IF(COUNTBLANK(Game_52183[[SCORE 1]:[SCORE 2]])=0,IF(RANK(H22,$H$22:$H$26)=1,RANK(H22,$H$22:$H$26)&amp;"st",IF(RANK(H22,$H$22:$H$26)=2,RANK(H22,$H$22:$H$26)&amp;"nd",IF(RANK(H22,$H$22:$H$26)=3,RANK(H22,$H$22:$H$26)&amp;"rd",RANK(H22,$H$22:$H$26)&amp;"th"))),"")</f>
        <v/>
      </c>
      <c r="H22" s="203">
        <f>Analysis_1664185[[#This Row],[WIN]]*1000000+Analysis_1664185[[#This Row],[Saldo]]*1000+Analysis_1664185[[#This Row],[PM]]</f>
        <v>0</v>
      </c>
      <c r="I22" s="2">
        <f t="shared" si="1"/>
        <v>0</v>
      </c>
      <c r="J22" s="2" t="str">
        <f>IF(COUNTBLANK(Game_52183[[SCORE 1]:[SCORE 2]])=0,IF(RANK(I22,$I$15:$I$24)=1,RANK(I22,$I$15:$I$24)&amp;"st",IF(RANK(I22,$I$15:$I$24)=2,RANK(I22,$I$15:$I$24)&amp;"nd",IF(RANK(I22,$I$15:$I$24)=3,RANK(I22,$I$15:$I$24)&amp;"rd",RANK(I22,$I$15:$I$24)&amp;"th"))),"")</f>
        <v/>
      </c>
      <c r="K22" s="38" t="str">
        <f t="shared" si="2"/>
        <v>Gerardo Torres</v>
      </c>
      <c r="L22" s="2" t="str">
        <f>J20</f>
        <v/>
      </c>
      <c r="M22" s="90">
        <v>3</v>
      </c>
      <c r="N22" s="90">
        <v>4</v>
      </c>
      <c r="O22" s="90"/>
      <c r="P22" s="90"/>
      <c r="Q22" s="90">
        <v>5</v>
      </c>
      <c r="R22" s="90">
        <v>6</v>
      </c>
    </row>
    <row r="23" spans="1:18">
      <c r="A23" s="430" t="s">
        <v>210</v>
      </c>
      <c r="B23" s="365" t="s">
        <v>61</v>
      </c>
      <c r="C23" s="14">
        <f>SUM(COUNTIFS(Game_52183[ATHLETE 1],Analysis_1664185[[#This Row],[Athletes ]],Game_52183[RESULT 12],"win"),COUNTIFS(Game_52183[ATHLETE 2],Analysis_1664185[[#This Row],[Athletes ]],Game_52183[RESULT 12],"win"),COUNTIFS(Game_52183[ATHLETE 3],Analysis_1664185[[#This Row],[Athletes ]],Game_52183[RESULT 34],"win"),COUNTIFS(Game_52183[ATHLETE 4],Analysis_1664185[[#This Row],[Athletes ]],Game_52183[RESULT 34],"win"))</f>
        <v>0</v>
      </c>
      <c r="D23" s="14">
        <f>SUM(COUNTIFS(Game_52183[ATHLETE 1],Analysis_1664185[[#This Row],[Athletes ]],Game_52183[RESULT 12],"lose"),COUNTIFS(Game_52183[ATHLETE 2],Analysis_1664185[[#This Row],[Athletes ]],Game_52183[RESULT 12],"lose"),COUNTIFS(Game_52183[ATHLETE 3],Analysis_1664185[[#This Row],[Athletes ]],Game_52183[RESULT 34],"lose"),COUNTIFS(Game_52183[ATHLETE 4],Analysis_1664185[[#This Row],[Athletes ]],Game_52183[RESULT 34],"lose"))</f>
        <v>0</v>
      </c>
      <c r="E23" s="19">
        <f>SUM(SUMIF(Game_52183[ATHLETE 1],Analysis_1664185[[#This Row],[Athletes ]],Game_52183[SALDO 12]),SUMIF(Game_52183[ATHLETE 2],Analysis_1664185[[#This Row],[Athletes ]],Game_52183[SALDO 12]),SUMIF(Game_52183[ATHLETE 3],Analysis_1664185[[#This Row],[Athletes ]],Game_52183[SALDO 34]),SUMIF(Game_52183[ATHLETE 4],Analysis_1664185[[#This Row],[Athletes ]],Game_52183[SALDO 34]))</f>
        <v>0</v>
      </c>
      <c r="F23" s="19">
        <f>SUM(SUMIF(Game_52183[ATHLETE 1],Analysis_1664185[[#This Row],[Athletes ]],Game_52183[PM 12]),SUMIF(Game_52183[ATHLETE 2],Analysis_1664185[[#This Row],[Athletes ]],Game_52183[PM 12]),SUMIF(Game_52183[ATHLETE 3],Analysis_1664185[[#This Row],[Athletes ]],Game_52183[PM 34]),SUMIF(Game_52183[ATHLETE 4],Analysis_1664185[[#This Row],[Athletes ]],Game_52183[PM 34]))</f>
        <v>0</v>
      </c>
      <c r="G23" s="14" t="str">
        <f>IF(COUNTBLANK(Game_52183[[SCORE 1]:[SCORE 2]])=0,IF(RANK(H23,$H$22:$H$26)=1,RANK(H23,$H$22:$H$26)&amp;"st",IF(RANK(H23,$H$22:$H$26)=2,RANK(H23,$H$22:$H$26)&amp;"nd",IF(RANK(H23,$H$22:$H$26)=3,RANK(H23,$H$22:$H$26)&amp;"rd",RANK(H23,$H$22:$H$26)&amp;"th"))),"")</f>
        <v/>
      </c>
      <c r="H23" s="203">
        <f>Analysis_1664185[[#This Row],[WIN]]*1000000+Analysis_1664185[[#This Row],[Saldo]]*1000+Analysis_1664185[[#This Row],[PM]]</f>
        <v>0</v>
      </c>
      <c r="I23" s="2">
        <f t="shared" si="1"/>
        <v>0</v>
      </c>
      <c r="J23" s="2" t="str">
        <f>IF(COUNTBLANK(Game_52183[[SCORE 1]:[SCORE 2]])=0,IF(RANK(I23,$I$15:$I$24)=1,RANK(I23,$I$15:$I$24)&amp;"st",IF(RANK(I23,$I$15:$I$24)=2,RANK(I23,$I$15:$I$24)&amp;"nd",IF(RANK(I23,$I$15:$I$24)=3,RANK(I23,$I$15:$I$24)&amp;"rd",RANK(I23,$I$15:$I$24)&amp;"th"))),"")</f>
        <v/>
      </c>
      <c r="K23" s="38" t="str">
        <f t="shared" si="2"/>
        <v>Arthur Minota</v>
      </c>
      <c r="L23" s="2" t="str">
        <f t="shared" ref="L23:L26" si="3">J21</f>
        <v/>
      </c>
      <c r="M23" s="90"/>
      <c r="N23" s="90"/>
      <c r="O23" s="90"/>
      <c r="P23" s="90"/>
      <c r="Q23" s="90"/>
      <c r="R23" s="90"/>
    </row>
    <row r="24" spans="1:18" ht="29.1">
      <c r="A24" s="430" t="s">
        <v>211</v>
      </c>
      <c r="B24" s="365" t="s">
        <v>29</v>
      </c>
      <c r="C24" s="14">
        <f>SUM(COUNTIFS(Game_52183[ATHLETE 1],Analysis_1664185[[#This Row],[Athletes ]],Game_52183[RESULT 12],"win"),COUNTIFS(Game_52183[ATHLETE 2],Analysis_1664185[[#This Row],[Athletes ]],Game_52183[RESULT 12],"win"),COUNTIFS(Game_52183[ATHLETE 3],Analysis_1664185[[#This Row],[Athletes ]],Game_52183[RESULT 34],"win"),COUNTIFS(Game_52183[ATHLETE 4],Analysis_1664185[[#This Row],[Athletes ]],Game_52183[RESULT 34],"win"))</f>
        <v>0</v>
      </c>
      <c r="D24" s="14">
        <f>SUM(COUNTIFS(Game_52183[ATHLETE 1],Analysis_1664185[[#This Row],[Athletes ]],Game_52183[RESULT 12],"lose"),COUNTIFS(Game_52183[ATHLETE 2],Analysis_1664185[[#This Row],[Athletes ]],Game_52183[RESULT 12],"lose"),COUNTIFS(Game_52183[ATHLETE 3],Analysis_1664185[[#This Row],[Athletes ]],Game_52183[RESULT 34],"lose"),COUNTIFS(Game_52183[ATHLETE 4],Analysis_1664185[[#This Row],[Athletes ]],Game_52183[RESULT 34],"lose"))</f>
        <v>0</v>
      </c>
      <c r="E24" s="19">
        <f>SUM(SUMIF(Game_52183[ATHLETE 1],Analysis_1664185[[#This Row],[Athletes ]],Game_52183[SALDO 12]),SUMIF(Game_52183[ATHLETE 2],Analysis_1664185[[#This Row],[Athletes ]],Game_52183[SALDO 12]),SUMIF(Game_52183[ATHLETE 3],Analysis_1664185[[#This Row],[Athletes ]],Game_52183[SALDO 34]),SUMIF(Game_52183[ATHLETE 4],Analysis_1664185[[#This Row],[Athletes ]],Game_52183[SALDO 34]))</f>
        <v>0</v>
      </c>
      <c r="F24" s="19">
        <f>SUM(SUMIF(Game_52183[ATHLETE 1],Analysis_1664185[[#This Row],[Athletes ]],Game_52183[PM 12]),SUMIF(Game_52183[ATHLETE 2],Analysis_1664185[[#This Row],[Athletes ]],Game_52183[PM 12]),SUMIF(Game_52183[ATHLETE 3],Analysis_1664185[[#This Row],[Athletes ]],Game_52183[PM 34]),SUMIF(Game_52183[ATHLETE 4],Analysis_1664185[[#This Row],[Athletes ]],Game_52183[PM 34]))</f>
        <v>0</v>
      </c>
      <c r="G24" s="14" t="str">
        <f>IF(COUNTBLANK(Game_52183[[SCORE 1]:[SCORE 2]])=0,IF(RANK(H24,$H$22:$H$26)=1,RANK(H24,$H$22:$H$26)&amp;"st",IF(RANK(H24,$H$22:$H$26)=2,RANK(H24,$H$22:$H$26)&amp;"nd",IF(RANK(H24,$H$22:$H$26)=3,RANK(H24,$H$22:$H$26)&amp;"rd",RANK(H24,$H$22:$H$26)&amp;"th"))),"")</f>
        <v/>
      </c>
      <c r="H24" s="203">
        <f>Analysis_1664185[[#This Row],[WIN]]*1000000+Analysis_1664185[[#This Row],[Saldo]]*1000+Analysis_1664185[[#This Row],[PM]]</f>
        <v>0</v>
      </c>
      <c r="I24" s="2">
        <f t="shared" si="1"/>
        <v>0</v>
      </c>
      <c r="J24" s="2" t="str">
        <f>IF(COUNTBLANK(Game_52183[[SCORE 1]:[SCORE 2]])=0,IF(RANK(I24,$I$15:$I$24)=1,RANK(I24,$I$15:$I$24)&amp;"st",IF(RANK(I24,$I$15:$I$24)=2,RANK(I24,$I$15:$I$24)&amp;"nd",IF(RANK(I24,$I$15:$I$24)=3,RANK(I24,$I$15:$I$24)&amp;"rd",RANK(I24,$I$15:$I$24)&amp;"th"))),"")</f>
        <v/>
      </c>
      <c r="K24" s="38" t="str">
        <f t="shared" si="2"/>
        <v>Bruno Soares</v>
      </c>
      <c r="L24" s="2" t="str">
        <f t="shared" si="3"/>
        <v/>
      </c>
      <c r="M24" s="548" t="s">
        <v>199</v>
      </c>
      <c r="N24" s="549"/>
      <c r="O24" s="549"/>
      <c r="P24" s="549"/>
      <c r="Q24" s="549"/>
      <c r="R24" s="549"/>
    </row>
    <row r="25" spans="1:18">
      <c r="A25" s="430" t="s">
        <v>212</v>
      </c>
      <c r="B25" s="365" t="s">
        <v>215</v>
      </c>
      <c r="C25" s="14">
        <f>SUM(COUNTIFS(Game_52183[ATHLETE 1],Analysis_1664185[[#This Row],[Athletes ]],Game_52183[RESULT 12],"win"),COUNTIFS(Game_52183[ATHLETE 2],Analysis_1664185[[#This Row],[Athletes ]],Game_52183[RESULT 12],"win"),COUNTIFS(Game_52183[ATHLETE 3],Analysis_1664185[[#This Row],[Athletes ]],Game_52183[RESULT 34],"win"),COUNTIFS(Game_52183[ATHLETE 4],Analysis_1664185[[#This Row],[Athletes ]],Game_52183[RESULT 34],"win"))</f>
        <v>0</v>
      </c>
      <c r="D25" s="14">
        <f>SUM(COUNTIFS(Game_52183[ATHLETE 1],Analysis_1664185[[#This Row],[Athletes ]],Game_52183[RESULT 12],"lose"),COUNTIFS(Game_52183[ATHLETE 2],Analysis_1664185[[#This Row],[Athletes ]],Game_52183[RESULT 12],"lose"),COUNTIFS(Game_52183[ATHLETE 3],Analysis_1664185[[#This Row],[Athletes ]],Game_52183[RESULT 34],"lose"),COUNTIFS(Game_52183[ATHLETE 4],Analysis_1664185[[#This Row],[Athletes ]],Game_52183[RESULT 34],"lose"))</f>
        <v>0</v>
      </c>
      <c r="E25" s="19">
        <f>SUM(SUMIF(Game_52183[ATHLETE 1],Analysis_1664185[[#This Row],[Athletes ]],Game_52183[SALDO 12]),SUMIF(Game_52183[ATHLETE 2],Analysis_1664185[[#This Row],[Athletes ]],Game_52183[SALDO 12]),SUMIF(Game_52183[ATHLETE 3],Analysis_1664185[[#This Row],[Athletes ]],Game_52183[SALDO 34]),SUMIF(Game_52183[ATHLETE 4],Analysis_1664185[[#This Row],[Athletes ]],Game_52183[SALDO 34]))</f>
        <v>0</v>
      </c>
      <c r="F25" s="19">
        <f>SUM(SUMIF(Game_52183[ATHLETE 1],Analysis_1664185[[#This Row],[Athletes ]],Game_52183[PM 12]),SUMIF(Game_52183[ATHLETE 2],Analysis_1664185[[#This Row],[Athletes ]],Game_52183[PM 12]),SUMIF(Game_52183[ATHLETE 3],Analysis_1664185[[#This Row],[Athletes ]],Game_52183[PM 34]),SUMIF(Game_52183[ATHLETE 4],Analysis_1664185[[#This Row],[Athletes ]],Game_52183[PM 34]))</f>
        <v>0</v>
      </c>
      <c r="G25" s="14" t="str">
        <f>IF(COUNTBLANK(Game_52183[[SCORE 1]:[SCORE 2]])=0,IF(RANK(H25,$H$22:$H$26)=1,RANK(H25,$H$22:$H$26)&amp;"st",IF(RANK(H25,$H$22:$H$26)=2,RANK(H25,$H$22:$H$26)&amp;"nd",IF(RANK(H25,$H$22:$H$26)=3,RANK(H25,$H$22:$H$26)&amp;"rd",RANK(H25,$H$22:$H$26)&amp;"th"))),"")</f>
        <v/>
      </c>
      <c r="H25" s="203">
        <f>Analysis_1664185[[#This Row],[WIN]]*1000000+Analysis_1664185[[#This Row],[Saldo]]*1000+Analysis_1664185[[#This Row],[PM]]</f>
        <v>0</v>
      </c>
      <c r="I25" s="2"/>
      <c r="J25" s="2" t="str">
        <f>IF(COUNTBLANK(Table41013172512475452986841[[SCORE 1]:[SCORE 2]])=0,IF(RANK(I25,$I$14:$I$25)=1,RANK(I25,$I$14:$I$25)&amp;"st",IF(RANK(I25,$I$14:$I$25)=2,RANK(I25,$I$14:$I$25)&amp;"nd",IF(RANK(I25,$I$14:$I$25)=3,RANK(I25,$I$14:$I$25)&amp;"rd",RANK(I25,$I$14:$I$25)&amp;"th"))),"")</f>
        <v/>
      </c>
      <c r="L25" s="2" t="str">
        <f t="shared" si="3"/>
        <v/>
      </c>
      <c r="M25" s="418" t="s">
        <v>193</v>
      </c>
      <c r="N25" s="418" t="s">
        <v>194</v>
      </c>
      <c r="O25" s="542" t="s">
        <v>195</v>
      </c>
      <c r="P25" s="543"/>
      <c r="Q25" s="418" t="s">
        <v>196</v>
      </c>
      <c r="R25" s="418" t="s">
        <v>197</v>
      </c>
    </row>
    <row r="26" spans="1:18">
      <c r="A26" s="11" t="s">
        <v>231</v>
      </c>
      <c r="B26" s="365" t="s">
        <v>15</v>
      </c>
      <c r="C26" s="14">
        <f>SUM(COUNTIFS(Game_52183[ATHLETE 1],Analysis_1664185[[#This Row],[Athletes ]],Game_52183[RESULT 12],"win"),COUNTIFS(Game_52183[ATHLETE 2],Analysis_1664185[[#This Row],[Athletes ]],Game_52183[RESULT 12],"win"),COUNTIFS(Game_52183[ATHLETE 3],Analysis_1664185[[#This Row],[Athletes ]],Game_52183[RESULT 34],"win"),COUNTIFS(Game_52183[ATHLETE 4],Analysis_1664185[[#This Row],[Athletes ]],Game_52183[RESULT 34],"win"))</f>
        <v>0</v>
      </c>
      <c r="D26" s="14">
        <f>SUM(COUNTIFS(Game_52183[ATHLETE 1],Analysis_1664185[[#This Row],[Athletes ]],Game_52183[RESULT 12],"lose"),COUNTIFS(Game_52183[ATHLETE 2],Analysis_1664185[[#This Row],[Athletes ]],Game_52183[RESULT 12],"lose"),COUNTIFS(Game_52183[ATHLETE 3],Analysis_1664185[[#This Row],[Athletes ]],Game_52183[RESULT 34],"lose"),COUNTIFS(Game_52183[ATHLETE 4],Analysis_1664185[[#This Row],[Athletes ]],Game_52183[RESULT 34],"lose"))</f>
        <v>0</v>
      </c>
      <c r="E26" s="19">
        <f>SUM(SUMIF(Game_52183[ATHLETE 1],Analysis_1664185[[#This Row],[Athletes ]],Game_52183[SALDO 12]),SUMIF(Game_52183[ATHLETE 2],Analysis_1664185[[#This Row],[Athletes ]],Game_52183[SALDO 12]),SUMIF(Game_52183[ATHLETE 3],Analysis_1664185[[#This Row],[Athletes ]],Game_52183[SALDO 34]),SUMIF(Game_52183[ATHLETE 4],Analysis_1664185[[#This Row],[Athletes ]],Game_52183[SALDO 34]))</f>
        <v>0</v>
      </c>
      <c r="F26" s="19">
        <f>SUM(SUMIF(Game_52183[ATHLETE 1],Analysis_1664185[[#This Row],[Athletes ]],Game_52183[PM 12]),SUMIF(Game_52183[ATHLETE 2],Analysis_1664185[[#This Row],[Athletes ]],Game_52183[PM 12]),SUMIF(Game_52183[ATHLETE 3],Analysis_1664185[[#This Row],[Athletes ]],Game_52183[PM 34]),SUMIF(Game_52183[ATHLETE 4],Analysis_1664185[[#This Row],[Athletes ]],Game_52183[PM 34]))</f>
        <v>0</v>
      </c>
      <c r="G26" s="14" t="str">
        <f>IF(COUNTBLANK(Game_52183[[SCORE 1]:[SCORE 2]])=0,IF(RANK(H26,$H$22:$H$26)=1,RANK(H26,$H$22:$H$26)&amp;"st",IF(RANK(H26,$H$22:$H$26)=2,RANK(H26,$H$22:$H$26)&amp;"nd",IF(RANK(H26,$H$22:$H$26)=3,RANK(H26,$H$22:$H$26)&amp;"rd",RANK(H26,$H$22:$H$26)&amp;"th"))),"")</f>
        <v/>
      </c>
      <c r="H26" s="203">
        <f>Analysis_1664185[[#This Row],[WIN]]*1000000+Analysis_1664185[[#This Row],[Saldo]]*1000+Analysis_1664185[[#This Row],[PM]]</f>
        <v>0</v>
      </c>
      <c r="I26" s="2"/>
      <c r="J26" s="2" t="str">
        <f>IF(COUNTBLANK(Table41013172512475452986841[[SCORE 1]:[SCORE 2]])=0,IF(RANK(I26,$I$14:$I$25)=1,RANK(I26,$I$14:$I$25)&amp;"st",IF(RANK(I26,$I$14:$I$25)=2,RANK(I26,$I$14:$I$25)&amp;"nd",IF(RANK(I26,$I$14:$I$25)=3,RANK(I26,$I$14:$I$25)&amp;"rd",RANK(I26,$I$14:$I$25)&amp;"th"))),"")</f>
        <v/>
      </c>
      <c r="L26" s="2" t="str">
        <f t="shared" si="3"/>
        <v/>
      </c>
      <c r="M26" s="431" t="str">
        <f>IF(COUNTBLANK($O$15:$P$15),"",IF($O$16="lose",$Q$15,$M$15))</f>
        <v/>
      </c>
      <c r="N26" s="431" t="str">
        <f>IF(COUNTBLANK($O$15:$P$15),"",IF($O$16="lose",$R$15,$N$15))</f>
        <v/>
      </c>
      <c r="O26" s="119"/>
      <c r="P26" s="120"/>
      <c r="Q26" s="431" t="str">
        <f>IF(COUNTBLANK($O$20:$P$20),"",IF($O$21="lose",$Q$20,$M$20))</f>
        <v/>
      </c>
      <c r="R26" s="431" t="str">
        <f>IF(COUNTBLANK($O$20:$P$20),"",IF($O$21="lose",$R$20,$N$20))</f>
        <v/>
      </c>
    </row>
    <row r="27" spans="1:18" ht="15.95" thickBot="1">
      <c r="I27" s="2"/>
      <c r="J27" s="2"/>
      <c r="K27" s="2"/>
      <c r="M27" s="62" t="str">
        <f>IF(OR($O$26="",$P$26="",$O$27="win"),"",IF($M$27&gt;$N$27,$U$5,$U$6))</f>
        <v/>
      </c>
      <c r="N27" s="62" t="str">
        <f>IF(OR($P$26="",$P$26="",$O$27="win"),"",IF($M$27&lt;$N$27,$U$5,$U$6))</f>
        <v/>
      </c>
      <c r="O27" s="2" t="str">
        <f>IF(OR(O26="",P26=""),"",IF((O26&gt;P26),"WIN","LOSE"))</f>
        <v/>
      </c>
      <c r="P27" s="2" t="str">
        <f>IF(OR(O26="",P26=""),"",IF((O26&lt;P26),"WIN","LOSE"))</f>
        <v/>
      </c>
      <c r="Q27" s="62" t="str">
        <f>IF($P$26="lose",$U$5,"")</f>
        <v/>
      </c>
      <c r="R27" s="62" t="str">
        <f>IF($P$26="lose",$U$6,"")</f>
        <v/>
      </c>
    </row>
    <row r="28" spans="1:18" ht="15.95" thickBot="1">
      <c r="A28" s="124">
        <v>45862</v>
      </c>
      <c r="B28" s="44" t="s">
        <v>256</v>
      </c>
      <c r="I28" s="2"/>
      <c r="J28" s="2"/>
      <c r="K28" s="2"/>
      <c r="M28" s="61" t="str">
        <f>IF(M26="","",_xlfn.XLOOKUP(M26,$K$14:$K$25,$I$14:$I$25))</f>
        <v/>
      </c>
      <c r="N28" s="61" t="str">
        <f>IF(N26="","",_xlfn.XLOOKUP(N26,$K$14:$K$25,$I$14:$I$25))</f>
        <v/>
      </c>
      <c r="Q28" s="61" t="str">
        <f>IF(Q26="","",_xlfn.XLOOKUP(Q26,$K$14:$K$25,$I$14:$I$25))</f>
        <v/>
      </c>
      <c r="R28" s="61" t="str">
        <f>IF(R26="","",_xlfn.XLOOKUP(R26,$K$14:$K$25,$I$14:$I$25))</f>
        <v/>
      </c>
    </row>
    <row r="29" spans="1:18">
      <c r="I29" s="2"/>
      <c r="J29" s="2"/>
      <c r="K29" s="2"/>
    </row>
    <row r="30" spans="1:18">
      <c r="I30" s="2"/>
      <c r="J30" s="2"/>
      <c r="K30" s="2"/>
    </row>
    <row r="31" spans="1:18" ht="29.1">
      <c r="M31" s="548" t="s">
        <v>200</v>
      </c>
      <c r="N31" s="549"/>
      <c r="O31" s="549"/>
      <c r="P31" s="549"/>
      <c r="Q31" s="549"/>
      <c r="R31" s="549"/>
    </row>
    <row r="32" spans="1:18">
      <c r="M32" s="418" t="s">
        <v>193</v>
      </c>
      <c r="N32" s="418" t="s">
        <v>194</v>
      </c>
      <c r="O32" s="542" t="s">
        <v>195</v>
      </c>
      <c r="P32" s="543"/>
      <c r="Q32" s="418" t="s">
        <v>196</v>
      </c>
      <c r="R32" s="418" t="s">
        <v>197</v>
      </c>
    </row>
    <row r="33" spans="13:18">
      <c r="M33" s="432" t="str">
        <f>IF(OR($O$26="",$P$26=""),"",IF($O$27="WIN",$M$26,$Q$26))</f>
        <v/>
      </c>
      <c r="N33" s="121"/>
      <c r="O33" s="119"/>
      <c r="P33" s="119"/>
      <c r="Q33" s="432" t="str">
        <f>IF(OR($O$26="",$P$26=""),"",IF($O$27="WIN",$N$26,$R$26))</f>
        <v/>
      </c>
      <c r="R33" s="122"/>
    </row>
    <row r="34" spans="13:18">
      <c r="M34" s="18" t="str">
        <f>IF(OR($O$32="",$P$32=""),"",IF($O$33="win",$U$3,$U$4))</f>
        <v/>
      </c>
      <c r="O34" s="2" t="str">
        <f>IF(OR(O33="",P33=""),"",IF((O33&gt;P33),"WIN","LOSE"))</f>
        <v/>
      </c>
      <c r="P34" s="2" t="str">
        <f>IF(OR(O33="",P33=""),"",IF((O33&lt;P33),"WIN","LOSE"))</f>
        <v/>
      </c>
      <c r="Q34" s="18" t="str">
        <f>IF(OR($O$32="",$P$32=""),"",IF($P$33="win",$U$3,$U$4))</f>
        <v/>
      </c>
    </row>
  </sheetData>
  <sheetProtection algorithmName="SHA-512" hashValue="79LEaXujSuXlZvs165tj7WW0WwthIybiUn5Jt4CP78TUFPCDGVh410y8PGdR7TbA/cuCXuBwM/GiwtKDExeoGA==" saltValue="H5ERAUdowtKntiJJAzkGnA==" spinCount="100000" sheet="1" objects="1" scenarios="1"/>
  <mergeCells count="10">
    <mergeCell ref="T1:U1"/>
    <mergeCell ref="A13:G13"/>
    <mergeCell ref="M13:R13"/>
    <mergeCell ref="O14:P14"/>
    <mergeCell ref="O19:P19"/>
    <mergeCell ref="M24:R24"/>
    <mergeCell ref="O25:P25"/>
    <mergeCell ref="M31:R31"/>
    <mergeCell ref="O32:P32"/>
    <mergeCell ref="A1:A11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AF59-64B9-6E4C-B952-1E34A19C755E}">
  <dimension ref="A1:U34"/>
  <sheetViews>
    <sheetView workbookViewId="0">
      <selection activeCell="D36" sqref="D36"/>
    </sheetView>
    <sheetView tabSelected="1" workbookViewId="1">
      <selection activeCell="E2" sqref="E2"/>
    </sheetView>
  </sheetViews>
  <sheetFormatPr defaultColWidth="8.85546875" defaultRowHeight="15"/>
  <cols>
    <col min="1" max="1" width="9.7109375" customWidth="1"/>
    <col min="2" max="2" width="13" bestFit="1" customWidth="1"/>
    <col min="3" max="4" width="20" customWidth="1"/>
    <col min="5" max="6" width="9.7109375" customWidth="1"/>
    <col min="7" max="7" width="14.140625" bestFit="1" customWidth="1"/>
    <col min="8" max="8" width="11.42578125" hidden="1" customWidth="1"/>
    <col min="9" max="9" width="12" hidden="1" customWidth="1"/>
    <col min="10" max="10" width="10.7109375" hidden="1" customWidth="1"/>
    <col min="11" max="11" width="8" hidden="1" customWidth="1"/>
    <col min="12" max="12" width="14.140625" bestFit="1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14" bestFit="1" customWidth="1"/>
    <col min="21" max="22" width="9.7109375" bestFit="1" customWidth="1"/>
  </cols>
  <sheetData>
    <row r="1" spans="1:21">
      <c r="A1" s="550" t="s">
        <v>343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178</v>
      </c>
      <c r="L1" s="7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344</v>
      </c>
      <c r="U1" s="545"/>
    </row>
    <row r="2" spans="1:21" ht="15" customHeight="1">
      <c r="A2" s="554"/>
      <c r="B2" s="13" t="s">
        <v>178</v>
      </c>
      <c r="C2" s="433" t="str">
        <f>B15</f>
        <v>Malu</v>
      </c>
      <c r="D2" s="25" t="str">
        <f>B18</f>
        <v>Juliane</v>
      </c>
      <c r="E2" s="26"/>
      <c r="F2" s="27"/>
      <c r="G2" s="15" t="str">
        <f>B16</f>
        <v>Julia</v>
      </c>
      <c r="H2" s="15"/>
      <c r="I2" s="15"/>
      <c r="J2" s="15"/>
      <c r="K2" s="15"/>
      <c r="L2" s="16" t="str">
        <f>B17</f>
        <v>Priscila</v>
      </c>
      <c r="M2" s="13" t="str">
        <f>IF(OR(Game_52203[[#This Row],[SCORE 1]]="",Game_52203[[#This Row],[SCORE 2]]=""),"",Game_52203[[#This Row],[SCORE 1]]-Game_52203[[#This Row],[SCORE 2]])</f>
        <v/>
      </c>
      <c r="N2" s="13" t="str">
        <f>IF(OR(Game_52203[[#This Row],[SCORE 1]]="",Game_52203[[#This Row],[SCORE 2]]=""),"",Game_52203[[#This Row],[SCORE 2]]-Game_52203[[#This Row],[SCORE 1]])</f>
        <v/>
      </c>
      <c r="O2" s="13" t="str">
        <f>IF(Game_52203[[#This Row],[SCORE 1]]="","",Game_52203[[#This Row],[SCORE 1]])</f>
        <v/>
      </c>
      <c r="P2" s="13" t="str">
        <f>IF(Game_52203[[#This Row],[SCORE 2]]="","",Game_52203[[#This Row],[SCORE 2]])</f>
        <v/>
      </c>
      <c r="Q2" s="13" t="str">
        <f>IF(OR(Game_52203[[#This Row],[SCORE 1]]="",Game_52203[[#This Row],[SCORE 2]]=""),"",IF(Game_52203[[#This Row],[SALDO 12]]&gt;0, "WIN","LOSE"))</f>
        <v/>
      </c>
      <c r="R2" s="13" t="str">
        <f>IF(OR(Game_52203[[#This Row],[SCORE 1]]="",Game_52203[[#This Row],[SCORE 2]]=""),"",IF(Game_52203[[#This Row],[SALDO 34]]&gt;0, "WIN","LOSE"))</f>
        <v/>
      </c>
      <c r="T2" s="21" t="s">
        <v>179</v>
      </c>
      <c r="U2" s="21" t="s">
        <v>8</v>
      </c>
    </row>
    <row r="3" spans="1:21">
      <c r="A3" s="554"/>
      <c r="B3" s="13" t="s">
        <v>180</v>
      </c>
      <c r="C3" s="433" t="str">
        <f>B22</f>
        <v>Gabi Silva</v>
      </c>
      <c r="D3" s="25" t="str">
        <f>B25</f>
        <v>Jessica</v>
      </c>
      <c r="E3" s="26"/>
      <c r="F3" s="27"/>
      <c r="G3" s="15" t="str">
        <f>B23</f>
        <v>Giovana</v>
      </c>
      <c r="H3" s="15"/>
      <c r="I3" s="15"/>
      <c r="J3" s="15"/>
      <c r="K3" s="15"/>
      <c r="L3" s="16" t="str">
        <f>B24</f>
        <v>Roberta G.</v>
      </c>
      <c r="M3" s="13" t="str">
        <f>IF(OR(Game_52203[[#This Row],[SCORE 1]]="",Game_52203[[#This Row],[SCORE 2]]=""),"",Game_52203[[#This Row],[SCORE 1]]-Game_52203[[#This Row],[SCORE 2]])</f>
        <v/>
      </c>
      <c r="N3" s="13" t="str">
        <f>IF(OR(Game_52203[[#This Row],[SCORE 1]]="",Game_52203[[#This Row],[SCORE 2]]=""),"",Game_52203[[#This Row],[SCORE 2]]-Game_52203[[#This Row],[SCORE 1]])</f>
        <v/>
      </c>
      <c r="O3" s="13" t="str">
        <f>IF(Game_52203[[#This Row],[SCORE 1]]="","",Game_52203[[#This Row],[SCORE 1]])</f>
        <v/>
      </c>
      <c r="P3" s="13" t="str">
        <f>IF(Game_52203[[#This Row],[SCORE 2]]="","",Game_52203[[#This Row],[SCORE 2]])</f>
        <v/>
      </c>
      <c r="Q3" s="13" t="str">
        <f>IF(OR(Game_52203[[#This Row],[SCORE 1]]="",Game_52203[[#This Row],[SCORE 2]]=""),"",IF(Game_52203[[#This Row],[SALDO 12]]&gt;0, "WIN","LOSE"))</f>
        <v/>
      </c>
      <c r="R3" s="13" t="str">
        <f>IF(OR(Game_52203[[#This Row],[SCORE 1]]="",Game_52203[[#This Row],[SCORE 2]]=""),"",IF(Game_52203[[#This Row],[SALDO 34]]&gt;0, "WIN","LOSE"))</f>
        <v/>
      </c>
      <c r="U3" s="2" t="s">
        <v>19</v>
      </c>
    </row>
    <row r="4" spans="1:21">
      <c r="A4" s="554"/>
      <c r="B4" s="13" t="s">
        <v>178</v>
      </c>
      <c r="C4" s="433" t="str">
        <f>B15</f>
        <v>Malu</v>
      </c>
      <c r="D4" s="25" t="str">
        <f>B17</f>
        <v>Priscila</v>
      </c>
      <c r="E4" s="26"/>
      <c r="F4" s="27"/>
      <c r="G4" s="15" t="str">
        <f>B16</f>
        <v>Julia</v>
      </c>
      <c r="H4" s="15"/>
      <c r="I4" s="15"/>
      <c r="J4" s="15"/>
      <c r="K4" s="15"/>
      <c r="L4" s="16" t="str">
        <f>B19</f>
        <v>Fiorella</v>
      </c>
      <c r="M4" s="13" t="str">
        <f>IF(OR(Game_52203[[#This Row],[SCORE 1]]="",Game_52203[[#This Row],[SCORE 2]]=""),"",Game_52203[[#This Row],[SCORE 1]]-Game_52203[[#This Row],[SCORE 2]])</f>
        <v/>
      </c>
      <c r="N4" s="13" t="str">
        <f>IF(OR(Game_52203[[#This Row],[SCORE 1]]="",Game_52203[[#This Row],[SCORE 2]]=""),"",Game_52203[[#This Row],[SCORE 2]]-Game_52203[[#This Row],[SCORE 1]])</f>
        <v/>
      </c>
      <c r="O4" s="13" t="str">
        <f>IF(Game_52203[[#This Row],[SCORE 1]]="","",Game_52203[[#This Row],[SCORE 1]])</f>
        <v/>
      </c>
      <c r="P4" s="13" t="str">
        <f>IF(Game_52203[[#This Row],[SCORE 2]]="","",Game_52203[[#This Row],[SCORE 2]])</f>
        <v/>
      </c>
      <c r="Q4" s="13" t="str">
        <f>IF(OR(Game_52203[[#This Row],[SCORE 1]]="",Game_52203[[#This Row],[SCORE 2]]=""),"",IF(Game_52203[[#This Row],[SALDO 12]]&gt;0, "WIN","LOSE"))</f>
        <v/>
      </c>
      <c r="R4" s="13" t="str">
        <f>IF(OR(Game_52203[[#This Row],[SCORE 1]]="",Game_52203[[#This Row],[SCORE 2]]=""),"",IF(Game_52203[[#This Row],[SALDO 34]]&gt;0, "WIN","LOSE"))</f>
        <v/>
      </c>
      <c r="U4" s="2" t="s">
        <v>22</v>
      </c>
    </row>
    <row r="5" spans="1:21">
      <c r="A5" s="554"/>
      <c r="B5" s="13" t="s">
        <v>180</v>
      </c>
      <c r="C5" s="433" t="str">
        <f>B22</f>
        <v>Gabi Silva</v>
      </c>
      <c r="D5" s="25" t="str">
        <f>B24</f>
        <v>Roberta G.</v>
      </c>
      <c r="E5" s="26"/>
      <c r="F5" s="27"/>
      <c r="G5" s="15" t="str">
        <f>B23</f>
        <v>Giovana</v>
      </c>
      <c r="H5" s="15"/>
      <c r="I5" s="15"/>
      <c r="J5" s="15"/>
      <c r="K5" s="15"/>
      <c r="L5" s="16" t="str">
        <f>B26</f>
        <v>Gabi Cordeiro</v>
      </c>
      <c r="M5" s="13" t="str">
        <f>IF(OR(Game_52203[[#This Row],[SCORE 1]]="",Game_52203[[#This Row],[SCORE 2]]=""),"",Game_52203[[#This Row],[SCORE 1]]-Game_52203[[#This Row],[SCORE 2]])</f>
        <v/>
      </c>
      <c r="N5" s="13" t="str">
        <f>IF(OR(Game_52203[[#This Row],[SCORE 1]]="",Game_52203[[#This Row],[SCORE 2]]=""),"",Game_52203[[#This Row],[SCORE 2]]-Game_52203[[#This Row],[SCORE 1]])</f>
        <v/>
      </c>
      <c r="O5" s="13" t="str">
        <f>IF(Game_52203[[#This Row],[SCORE 1]]="","",Game_52203[[#This Row],[SCORE 1]])</f>
        <v/>
      </c>
      <c r="P5" s="13" t="str">
        <f>IF(Game_52203[[#This Row],[SCORE 2]]="","",Game_52203[[#This Row],[SCORE 2]])</f>
        <v/>
      </c>
      <c r="Q5" s="13" t="str">
        <f>IF(OR(Game_52203[[#This Row],[SCORE 1]]="",Game_52203[[#This Row],[SCORE 2]]=""),"",IF(Game_52203[[#This Row],[SALDO 12]]&gt;0, "WIN","LOSE"))</f>
        <v/>
      </c>
      <c r="R5" s="13" t="str">
        <f>IF(OR(Game_52203[[#This Row],[SCORE 1]]="",Game_52203[[#This Row],[SCORE 2]]=""),"",IF(Game_52203[[#This Row],[SALDO 34]]&gt;0, "WIN","LOSE"))</f>
        <v/>
      </c>
      <c r="U5" s="2" t="s">
        <v>25</v>
      </c>
    </row>
    <row r="6" spans="1:21">
      <c r="A6" s="554"/>
      <c r="B6" s="13" t="s">
        <v>178</v>
      </c>
      <c r="C6" s="433" t="str">
        <f>B15</f>
        <v>Malu</v>
      </c>
      <c r="D6" s="25" t="str">
        <f>B16</f>
        <v>Julia</v>
      </c>
      <c r="E6" s="26"/>
      <c r="F6" s="27"/>
      <c r="G6" s="15" t="str">
        <f>B18</f>
        <v>Juliane</v>
      </c>
      <c r="H6" s="15"/>
      <c r="I6" s="15"/>
      <c r="J6" s="15"/>
      <c r="K6" s="15"/>
      <c r="L6" s="16" t="str">
        <f>B19</f>
        <v>Fiorella</v>
      </c>
      <c r="M6" s="13" t="str">
        <f>IF(OR(Game_52203[[#This Row],[SCORE 1]]="",Game_52203[[#This Row],[SCORE 2]]=""),"",Game_52203[[#This Row],[SCORE 1]]-Game_52203[[#This Row],[SCORE 2]])</f>
        <v/>
      </c>
      <c r="N6" s="13" t="str">
        <f>IF(OR(Game_52203[[#This Row],[SCORE 1]]="",Game_52203[[#This Row],[SCORE 2]]=""),"",Game_52203[[#This Row],[SCORE 2]]-Game_52203[[#This Row],[SCORE 1]])</f>
        <v/>
      </c>
      <c r="O6" s="13" t="str">
        <f>IF(Game_52203[[#This Row],[SCORE 1]]="","",Game_52203[[#This Row],[SCORE 1]])</f>
        <v/>
      </c>
      <c r="P6" s="13" t="str">
        <f>IF(Game_52203[[#This Row],[SCORE 2]]="","",Game_52203[[#This Row],[SCORE 2]])</f>
        <v/>
      </c>
      <c r="Q6" s="13" t="str">
        <f>IF(OR(Game_52203[[#This Row],[SCORE 1]]="",Game_52203[[#This Row],[SCORE 2]]=""),"",IF(Game_52203[[#This Row],[SALDO 12]]&gt;0, "WIN","LOSE"))</f>
        <v/>
      </c>
      <c r="R6" s="13" t="str">
        <f>IF(OR(Game_52203[[#This Row],[SCORE 1]]="",Game_52203[[#This Row],[SCORE 2]]=""),"",IF(Game_52203[[#This Row],[SALDO 34]]&gt;0, "WIN","LOSE"))</f>
        <v/>
      </c>
      <c r="U6" s="2" t="s">
        <v>28</v>
      </c>
    </row>
    <row r="7" spans="1:21">
      <c r="A7" s="554"/>
      <c r="B7" s="13" t="s">
        <v>180</v>
      </c>
      <c r="C7" s="433" t="str">
        <f>B22</f>
        <v>Gabi Silva</v>
      </c>
      <c r="D7" s="25" t="str">
        <f>B23</f>
        <v>Giovana</v>
      </c>
      <c r="E7" s="26"/>
      <c r="F7" s="27"/>
      <c r="G7" s="15" t="str">
        <f>B25</f>
        <v>Jessica</v>
      </c>
      <c r="H7" s="15"/>
      <c r="I7" s="15"/>
      <c r="J7" s="15"/>
      <c r="K7" s="15"/>
      <c r="L7" s="16" t="str">
        <f>B26</f>
        <v>Gabi Cordeiro</v>
      </c>
      <c r="M7" s="13" t="str">
        <f>IF(OR(Game_52203[[#This Row],[SCORE 1]]="",Game_52203[[#This Row],[SCORE 2]]=""),"",Game_52203[[#This Row],[SCORE 1]]-Game_52203[[#This Row],[SCORE 2]])</f>
        <v/>
      </c>
      <c r="N7" s="13" t="str">
        <f>IF(OR(Game_52203[[#This Row],[SCORE 1]]="",Game_52203[[#This Row],[SCORE 2]]=""),"",Game_52203[[#This Row],[SCORE 2]]-Game_52203[[#This Row],[SCORE 1]])</f>
        <v/>
      </c>
      <c r="O7" s="13" t="str">
        <f>IF(Game_52203[[#This Row],[SCORE 1]]="","",Game_52203[[#This Row],[SCORE 1]])</f>
        <v/>
      </c>
      <c r="P7" s="13" t="str">
        <f>IF(Game_52203[[#This Row],[SCORE 2]]="","",Game_52203[[#This Row],[SCORE 2]])</f>
        <v/>
      </c>
      <c r="Q7" s="13" t="str">
        <f>IF(OR(Game_52203[[#This Row],[SCORE 1]]="",Game_52203[[#This Row],[SCORE 2]]=""),"",IF(Game_52203[[#This Row],[SALDO 12]]&gt;0, "WIN","LOSE"))</f>
        <v/>
      </c>
      <c r="R7" s="13" t="str">
        <f>IF(OR(Game_52203[[#This Row],[SCORE 1]]="",Game_52203[[#This Row],[SCORE 2]]=""),"",IF(Game_52203[[#This Row],[SALDO 34]]&gt;0, "WIN","LOSE"))</f>
        <v/>
      </c>
      <c r="U7" s="2" t="s">
        <v>31</v>
      </c>
    </row>
    <row r="8" spans="1:21">
      <c r="A8" s="554"/>
      <c r="B8" s="13" t="s">
        <v>178</v>
      </c>
      <c r="C8" s="433" t="str">
        <f>B15</f>
        <v>Malu</v>
      </c>
      <c r="D8" s="25" t="str">
        <f>B19</f>
        <v>Fiorella</v>
      </c>
      <c r="E8" s="26"/>
      <c r="F8" s="27"/>
      <c r="G8" s="15" t="str">
        <f>B17</f>
        <v>Priscila</v>
      </c>
      <c r="H8" s="15"/>
      <c r="I8" s="15"/>
      <c r="J8" s="15"/>
      <c r="K8" s="15"/>
      <c r="L8" s="16" t="str">
        <f>B18</f>
        <v>Juliane</v>
      </c>
      <c r="M8" s="13" t="str">
        <f>IF(OR(Game_52203[[#This Row],[SCORE 1]]="",Game_52203[[#This Row],[SCORE 2]]=""),"",Game_52203[[#This Row],[SCORE 1]]-Game_52203[[#This Row],[SCORE 2]])</f>
        <v/>
      </c>
      <c r="N8" s="13" t="str">
        <f>IF(OR(Game_52203[[#This Row],[SCORE 1]]="",Game_52203[[#This Row],[SCORE 2]]=""),"",Game_52203[[#This Row],[SCORE 2]]-Game_52203[[#This Row],[SCORE 1]])</f>
        <v/>
      </c>
      <c r="O8" s="13" t="str">
        <f>IF(Game_52203[[#This Row],[SCORE 1]]="","",Game_52203[[#This Row],[SCORE 1]])</f>
        <v/>
      </c>
      <c r="P8" s="13" t="str">
        <f>IF(Game_52203[[#This Row],[SCORE 2]]="","",Game_52203[[#This Row],[SCORE 2]])</f>
        <v/>
      </c>
      <c r="Q8" s="13" t="str">
        <f>IF(OR(Game_52203[[#This Row],[SCORE 1]]="",Game_52203[[#This Row],[SCORE 2]]=""),"",IF(Game_52203[[#This Row],[SALDO 12]]&gt;0, "WIN","LOSE"))</f>
        <v/>
      </c>
      <c r="R8" s="13" t="str">
        <f>IF(OR(Game_52203[[#This Row],[SCORE 1]]="",Game_52203[[#This Row],[SCORE 2]]=""),"",IF(Game_52203[[#This Row],[SALDO 34]]&gt;0, "WIN","LOSE"))</f>
        <v/>
      </c>
      <c r="U8" s="2" t="s">
        <v>34</v>
      </c>
    </row>
    <row r="9" spans="1:21">
      <c r="A9" s="554"/>
      <c r="B9" s="13" t="s">
        <v>180</v>
      </c>
      <c r="C9" s="433" t="str">
        <f>B22</f>
        <v>Gabi Silva</v>
      </c>
      <c r="D9" s="25" t="str">
        <f>B26</f>
        <v>Gabi Cordeiro</v>
      </c>
      <c r="E9" s="26"/>
      <c r="F9" s="27"/>
      <c r="G9" s="15" t="str">
        <f>B24</f>
        <v>Roberta G.</v>
      </c>
      <c r="H9" s="15"/>
      <c r="I9" s="15"/>
      <c r="J9" s="15"/>
      <c r="K9" s="15"/>
      <c r="L9" s="16" t="str">
        <f>B25</f>
        <v>Jessica</v>
      </c>
      <c r="M9" s="13" t="str">
        <f>IF(OR(Game_52203[[#This Row],[SCORE 1]]="",Game_52203[[#This Row],[SCORE 2]]=""),"",Game_52203[[#This Row],[SCORE 1]]-Game_52203[[#This Row],[SCORE 2]])</f>
        <v/>
      </c>
      <c r="N9" s="13" t="str">
        <f>IF(OR(Game_52203[[#This Row],[SCORE 1]]="",Game_52203[[#This Row],[SCORE 2]]=""),"",Game_52203[[#This Row],[SCORE 2]]-Game_52203[[#This Row],[SCORE 1]])</f>
        <v/>
      </c>
      <c r="O9" s="13" t="str">
        <f>IF(Game_52203[[#This Row],[SCORE 1]]="","",Game_52203[[#This Row],[SCORE 1]])</f>
        <v/>
      </c>
      <c r="P9" s="13" t="str">
        <f>IF(Game_52203[[#This Row],[SCORE 2]]="","",Game_52203[[#This Row],[SCORE 2]])</f>
        <v/>
      </c>
      <c r="Q9" s="13" t="str">
        <f>IF(OR(Game_52203[[#This Row],[SCORE 1]]="",Game_52203[[#This Row],[SCORE 2]]=""),"",IF(Game_52203[[#This Row],[SALDO 12]]&gt;0, "WIN","LOSE"))</f>
        <v/>
      </c>
      <c r="R9" s="13" t="str">
        <f>IF(OR(Game_52203[[#This Row],[SCORE 1]]="",Game_52203[[#This Row],[SCORE 2]]=""),"",IF(Game_52203[[#This Row],[SALDO 34]]&gt;0, "WIN","LOSE"))</f>
        <v/>
      </c>
      <c r="U9" s="2" t="s">
        <v>37</v>
      </c>
    </row>
    <row r="10" spans="1:21">
      <c r="A10" s="554"/>
      <c r="B10" s="13" t="s">
        <v>178</v>
      </c>
      <c r="C10" s="433" t="str">
        <f>B17</f>
        <v>Priscila</v>
      </c>
      <c r="D10" s="25" t="str">
        <f>B19</f>
        <v>Fiorella</v>
      </c>
      <c r="E10" s="26"/>
      <c r="F10" s="27"/>
      <c r="G10" s="15" t="str">
        <f>B16</f>
        <v>Julia</v>
      </c>
      <c r="H10" s="15"/>
      <c r="I10" s="15"/>
      <c r="J10" s="15"/>
      <c r="K10" s="15"/>
      <c r="L10" s="16" t="str">
        <f>B18</f>
        <v>Juliane</v>
      </c>
      <c r="M10" s="13" t="str">
        <f>IF(OR(Game_52203[[#This Row],[SCORE 1]]="",Game_52203[[#This Row],[SCORE 2]]=""),"",Game_52203[[#This Row],[SCORE 1]]-Game_52203[[#This Row],[SCORE 2]])</f>
        <v/>
      </c>
      <c r="N10" s="13" t="str">
        <f>IF(OR(Game_52203[[#This Row],[SCORE 1]]="",Game_52203[[#This Row],[SCORE 2]]=""),"",Game_52203[[#This Row],[SCORE 2]]-Game_52203[[#This Row],[SCORE 1]])</f>
        <v/>
      </c>
      <c r="O10" s="13" t="str">
        <f>IF(Game_52203[[#This Row],[SCORE 1]]="","",Game_52203[[#This Row],[SCORE 1]])</f>
        <v/>
      </c>
      <c r="P10" s="13" t="str">
        <f>IF(Game_52203[[#This Row],[SCORE 2]]="","",Game_52203[[#This Row],[SCORE 2]])</f>
        <v/>
      </c>
      <c r="Q10" s="13" t="str">
        <f>IF(OR(Game_52203[[#This Row],[SCORE 1]]="",Game_52203[[#This Row],[SCORE 2]]=""),"",IF(Game_52203[[#This Row],[SALDO 12]]&gt;0, "WIN","LOSE"))</f>
        <v/>
      </c>
      <c r="R10" s="13" t="str">
        <f>IF(OR(Game_52203[[#This Row],[SCORE 1]]="",Game_52203[[#This Row],[SCORE 2]]=""),"",IF(Game_52203[[#This Row],[SALDO 34]]&gt;0, "WIN","LOSE"))</f>
        <v/>
      </c>
      <c r="U10" s="2" t="s">
        <v>41</v>
      </c>
    </row>
    <row r="11" spans="1:21">
      <c r="A11" s="554"/>
      <c r="B11" s="13" t="s">
        <v>180</v>
      </c>
      <c r="C11" s="433" t="str">
        <f>B24</f>
        <v>Roberta G.</v>
      </c>
      <c r="D11" s="25" t="str">
        <f>B26</f>
        <v>Gabi Cordeiro</v>
      </c>
      <c r="E11" s="26"/>
      <c r="F11" s="27"/>
      <c r="G11" s="15" t="str">
        <f>B23</f>
        <v>Giovana</v>
      </c>
      <c r="H11" s="15"/>
      <c r="I11" s="15"/>
      <c r="J11" s="15"/>
      <c r="K11" s="15"/>
      <c r="L11" s="16" t="str">
        <f>B25</f>
        <v>Jessica</v>
      </c>
      <c r="M11" s="13" t="str">
        <f>IF(OR(Game_52203[[#This Row],[SCORE 1]]="",Game_52203[[#This Row],[SCORE 2]]=""),"",Game_52203[[#This Row],[SCORE 1]]-Game_52203[[#This Row],[SCORE 2]])</f>
        <v/>
      </c>
      <c r="N11" s="13" t="str">
        <f>IF(OR(Game_52203[[#This Row],[SCORE 1]]="",Game_52203[[#This Row],[SCORE 2]]=""),"",Game_52203[[#This Row],[SCORE 2]]-Game_52203[[#This Row],[SCORE 1]])</f>
        <v/>
      </c>
      <c r="O11" s="13" t="str">
        <f>IF(Game_52203[[#This Row],[SCORE 1]]="","",Game_52203[[#This Row],[SCORE 1]])</f>
        <v/>
      </c>
      <c r="P11" s="13" t="str">
        <f>IF(Game_52203[[#This Row],[SCORE 2]]="","",Game_52203[[#This Row],[SCORE 2]])</f>
        <v/>
      </c>
      <c r="Q11" s="13" t="str">
        <f>IF(OR(Game_52203[[#This Row],[SCORE 1]]="",Game_52203[[#This Row],[SCORE 2]]=""),"",IF(Game_52203[[#This Row],[SALDO 12]]&gt;0, "WIN","LOSE"))</f>
        <v/>
      </c>
      <c r="R11" s="13" t="str">
        <f>IF(OR(Game_52203[[#This Row],[SCORE 1]]="",Game_52203[[#This Row],[SCORE 2]]=""),"",IF(Game_52203[[#This Row],[SALDO 34]]&gt;0, "WIN","LOSE"))</f>
        <v/>
      </c>
      <c r="U11" s="2" t="s">
        <v>44</v>
      </c>
    </row>
    <row r="12" spans="1:21" ht="30" customHeight="1">
      <c r="U12" s="2" t="s">
        <v>39</v>
      </c>
    </row>
    <row r="13" spans="1:21" ht="30" customHeight="1">
      <c r="A13" s="546" t="s">
        <v>182</v>
      </c>
      <c r="B13" s="547"/>
      <c r="C13" s="547"/>
      <c r="D13" s="547"/>
      <c r="E13" s="547"/>
      <c r="F13" s="547"/>
      <c r="G13" s="547"/>
      <c r="H13" s="420"/>
      <c r="I13" s="420"/>
      <c r="J13" s="420"/>
      <c r="K13" s="420"/>
      <c r="M13" s="548" t="s">
        <v>183</v>
      </c>
      <c r="N13" s="549"/>
      <c r="O13" s="549"/>
      <c r="P13" s="549"/>
      <c r="Q13" s="549"/>
      <c r="R13" s="549"/>
    </row>
    <row r="14" spans="1:21" ht="15.95">
      <c r="A14" s="6" t="s">
        <v>246</v>
      </c>
      <c r="B14" s="7" t="s">
        <v>261</v>
      </c>
      <c r="C14" s="7" t="s">
        <v>186</v>
      </c>
      <c r="D14" s="7" t="s">
        <v>187</v>
      </c>
      <c r="E14" s="7" t="s">
        <v>188</v>
      </c>
      <c r="F14" s="7" t="s">
        <v>189</v>
      </c>
      <c r="G14" s="7" t="s">
        <v>8</v>
      </c>
      <c r="H14" s="80" t="s">
        <v>190</v>
      </c>
      <c r="I14" s="20" t="s">
        <v>191</v>
      </c>
      <c r="J14" s="20" t="s">
        <v>192</v>
      </c>
      <c r="K14" s="20" t="s">
        <v>1</v>
      </c>
      <c r="L14" s="20" t="s">
        <v>192</v>
      </c>
      <c r="M14" s="418" t="s">
        <v>193</v>
      </c>
      <c r="N14" s="418" t="s">
        <v>194</v>
      </c>
      <c r="O14" s="542" t="s">
        <v>195</v>
      </c>
      <c r="P14" s="543"/>
      <c r="Q14" s="418" t="s">
        <v>196</v>
      </c>
      <c r="R14" s="418" t="s">
        <v>197</v>
      </c>
    </row>
    <row r="15" spans="1:21">
      <c r="A15" s="4" t="s">
        <v>205</v>
      </c>
      <c r="B15" s="365" t="s">
        <v>345</v>
      </c>
      <c r="C15" s="14">
        <f>SUM(COUNTIFS(Game_52203[ATHLETE 1],Analysis_156204[[#This Row],[Athletes ]],Game_52203[RESULT 12],"win"),COUNTIFS(Game_52203[ATHLETE 2],Analysis_156204[[#This Row],[Athletes ]],Game_52203[RESULT 12],"win"),COUNTIFS(Game_52203[ATHLETE 3],Analysis_156204[[#This Row],[Athletes ]],Game_52203[RESULT 34],"win"),COUNTIFS(Game_52203[ATHLETE 4],Analysis_156204[[#This Row],[Athletes ]],Game_52203[RESULT 34],"win"))</f>
        <v>0</v>
      </c>
      <c r="D15" s="14">
        <f>SUM(COUNTIFS(Game_52203[ATHLETE 1],Analysis_156204[[#This Row],[Athletes ]],Game_52203[RESULT 12],"lose"),COUNTIFS(Game_52203[ATHLETE 2],Analysis_156204[[#This Row],[Athletes ]],Game_52203[RESULT 12],"lose"),COUNTIFS(Game_52203[ATHLETE 3],Analysis_156204[[#This Row],[Athletes ]],Game_52203[RESULT 34],"lose"),COUNTIFS(Game_52203[ATHLETE 4],Analysis_156204[[#This Row],[Athletes ]],Game_52203[RESULT 34],"lose"))</f>
        <v>0</v>
      </c>
      <c r="E15" s="19">
        <f>SUM(SUMIF(Game_52203[ATHLETE 1],Analysis_156204[[#This Row],[Athletes ]],Game_52203[SALDO 12]),SUMIF(Game_52203[ATHLETE 2],Analysis_156204[[#This Row],[Athletes ]],Game_52203[SALDO 12]),SUMIF(Game_52203[ATHLETE 3],Analysis_156204[[#This Row],[Athletes ]],Game_52203[SALDO 34]),SUMIF(Game_52203[ATHLETE 4],Analysis_156204[[#This Row],[Athletes ]],Game_52203[SALDO 34]))</f>
        <v>0</v>
      </c>
      <c r="F15" s="19">
        <f>SUM(SUMIF(Game_52203[ATHLETE 1],Analysis_156204[[#This Row],[Athletes ]],Game_52203[PM 12]),SUMIF(Game_52203[ATHLETE 2],Analysis_156204[[#This Row],[Athletes ]],Game_52203[PM 12]),SUMIF(Game_52203[ATHLETE 3],Analysis_156204[[#This Row],[Athletes ]],Game_52203[PM 34]),SUMIF(Game_52203[ATHLETE 4],Analysis_156204[[#This Row],[Athletes ]],Game_52203[PM 34]))</f>
        <v>0</v>
      </c>
      <c r="G15" s="14" t="str">
        <f>IF(COUNTBLANK(Game_52203[[SCORE 1]:[SCORE 2]])=0,IF(RANK(H15,$H$15:$H$19)=1,RANK(H15,$H$15:$H$19)&amp;"st",IF(RANK(H15,$H$15:$H$19)=2,RANK(H15,$H$15:$H$19)&amp;"nd",IF(RANK(H15,$H$15:$H$19)=3,RANK(H15,$H$15:$H$19)&amp;"rd",RANK(H15,$H$15:$H$19)&amp;"th"))),"")</f>
        <v/>
      </c>
      <c r="H15" s="203">
        <f>Analysis_156204[[#This Row],[WIN]]*1000000+Analysis_156204[[#This Row],[Saldo]]*1000+Analysis_156204[[#This Row],[PM]]</f>
        <v>0</v>
      </c>
      <c r="I15" s="2">
        <f>H15</f>
        <v>0</v>
      </c>
      <c r="J15" s="2" t="str">
        <f>IF(COUNTBLANK(Game_52203[[SCORE 1]:[SCORE 2]])=0,IF(RANK(I15,$I$15:$I$24)=1,RANK(I15,$I$15:$I$24)&amp;"st",IF(RANK(I15,$I$15:$I$24)=2,RANK(I15,$I$15:$I$24)&amp;"nd",IF(RANK(I15,$I$15:$I$24)=3,RANK(I15,$I$15:$I$24)&amp;"rd",RANK(I15,$I$15:$I$24)&amp;"th"))),"")</f>
        <v/>
      </c>
      <c r="K15" s="38" t="str">
        <f>Analysis_156204[[#This Row],[Athletes ]]</f>
        <v>Malu</v>
      </c>
      <c r="L15" s="2" t="str">
        <f>J15</f>
        <v/>
      </c>
      <c r="M15" s="428" t="str" cm="1">
        <f t="array" ref="M15">_xlfn.TEXTJOIN(", ", TRUE, _xlfn._xlws.FILTER($K$15:$K$24, $J$15:$J$24=$U$3, ""))</f>
        <v/>
      </c>
      <c r="N15" s="428" t="str" cm="1">
        <f t="array" ref="N15">_xlfn.TEXTJOIN(", ", TRUE, _xlfn._xlws.FILTER($K$15:$K$24, $J$15:$J$24=$U$4, ""))</f>
        <v/>
      </c>
      <c r="O15" s="119"/>
      <c r="P15" s="120"/>
      <c r="Q15" s="428" t="str" cm="1">
        <f t="array" ref="Q15">_xlfn.TEXTJOIN(", ", TRUE, _xlfn._xlws.FILTER($K$15:$K$24, $J$15:$J$24=$U$9, ""))</f>
        <v/>
      </c>
      <c r="R15" s="428" t="str" cm="1">
        <f t="array" ref="R15">_xlfn.TEXTJOIN(", ", TRUE, _xlfn._xlws.FILTER($K$14:$K$24, $J$14:$J$24=$U$10, ""))</f>
        <v/>
      </c>
    </row>
    <row r="16" spans="1:21">
      <c r="A16" s="3" t="s">
        <v>206</v>
      </c>
      <c r="B16" s="365" t="s">
        <v>346</v>
      </c>
      <c r="C16" s="14">
        <f>SUM(COUNTIFS(Game_52203[ATHLETE 1],Analysis_156204[[#This Row],[Athletes ]],Game_52203[RESULT 12],"win"),COUNTIFS(Game_52203[ATHLETE 2],Analysis_156204[[#This Row],[Athletes ]],Game_52203[RESULT 12],"win"),COUNTIFS(Game_52203[ATHLETE 3],Analysis_156204[[#This Row],[Athletes ]],Game_52203[RESULT 34],"win"),COUNTIFS(Game_52203[ATHLETE 4],Analysis_156204[[#This Row],[Athletes ]],Game_52203[RESULT 34],"win"))</f>
        <v>0</v>
      </c>
      <c r="D16" s="14">
        <f>SUM(COUNTIFS(Game_52203[ATHLETE 1],Analysis_156204[[#This Row],[Athletes ]],Game_52203[RESULT 12],"lose"),COUNTIFS(Game_52203[ATHLETE 2],Analysis_156204[[#This Row],[Athletes ]],Game_52203[RESULT 12],"lose"),COUNTIFS(Game_52203[ATHLETE 3],Analysis_156204[[#This Row],[Athletes ]],Game_52203[RESULT 34],"lose"),COUNTIFS(Game_52203[ATHLETE 4],Analysis_156204[[#This Row],[Athletes ]],Game_52203[RESULT 34],"lose"))</f>
        <v>0</v>
      </c>
      <c r="E16" s="19">
        <f>SUM(SUMIF(Game_52203[ATHLETE 1],Analysis_156204[[#This Row],[Athletes ]],Game_52203[SALDO 12]),SUMIF(Game_52203[ATHLETE 2],Analysis_156204[[#This Row],[Athletes ]],Game_52203[SALDO 12]),SUMIF(Game_52203[ATHLETE 3],Analysis_156204[[#This Row],[Athletes ]],Game_52203[SALDO 34]),SUMIF(Game_52203[ATHLETE 4],Analysis_156204[[#This Row],[Athletes ]],Game_52203[SALDO 34]))</f>
        <v>0</v>
      </c>
      <c r="F16" s="19">
        <f>SUM(SUMIF(Game_52203[ATHLETE 1],Analysis_156204[[#This Row],[Athletes ]],Game_52203[PM 12]),SUMIF(Game_52203[ATHLETE 2],Analysis_156204[[#This Row],[Athletes ]],Game_52203[PM 12]),SUMIF(Game_52203[ATHLETE 3],Analysis_156204[[#This Row],[Athletes ]],Game_52203[PM 34]),SUMIF(Game_52203[ATHLETE 4],Analysis_156204[[#This Row],[Athletes ]],Game_52203[PM 34]))</f>
        <v>0</v>
      </c>
      <c r="G16" s="14" t="str">
        <f>IF(COUNTBLANK(Game_52203[[SCORE 1]:[SCORE 2]])=0,IF(RANK(H16,$H$15:$H$19)=1,RANK(H16,$H$15:$H$19)&amp;"st",IF(RANK(H16,$H$15:$H$19)=2,RANK(H16,$H$15:$H$19)&amp;"nd",IF(RANK(H16,$H$15:$H$19)=3,RANK(H16,$H$15:$H$19)&amp;"rd",RANK(H16,$H$15:$H$19)&amp;"th"))),"")</f>
        <v/>
      </c>
      <c r="H16" s="203">
        <f>Analysis_156204[[#This Row],[WIN]]*1000000+Analysis_156204[[#This Row],[Saldo]]*1000+Analysis_156204[[#This Row],[PM]]</f>
        <v>0</v>
      </c>
      <c r="I16" s="2">
        <f>H16</f>
        <v>0</v>
      </c>
      <c r="J16" s="2" t="str">
        <f>IF(COUNTBLANK(Game_52203[[SCORE 1]:[SCORE 2]])=0,IF(RANK(I16,$I$15:$I$24)=1,RANK(I16,$I$15:$I$24)&amp;"st",IF(RANK(I16,$I$15:$I$24)=2,RANK(I16,$I$15:$I$24)&amp;"nd",IF(RANK(I16,$I$15:$I$24)=3,RANK(I16,$I$15:$I$24)&amp;"rd",RANK(I16,$I$15:$I$24)&amp;"th"))),"")</f>
        <v/>
      </c>
      <c r="K16" s="38" t="str">
        <f>Analysis_156204[[#This Row],[Athletes ]]</f>
        <v>Julia</v>
      </c>
      <c r="L16" s="2" t="str">
        <f t="shared" ref="L16:L19" si="0">J16</f>
        <v/>
      </c>
      <c r="M16" s="127" t="str">
        <f>IF($O$15="lose",$U$7,"")</f>
        <v/>
      </c>
      <c r="N16" s="127" t="str">
        <f>IF($O$15="lose",$U$8,"")</f>
        <v/>
      </c>
      <c r="O16" s="2" t="str">
        <f>IF(OR(O15="",P15=""),"",IF((O15&gt;P15),"WIN","LOSE"))</f>
        <v/>
      </c>
      <c r="P16" s="2" t="str">
        <f>IF(OR(O15="",P15=""),"",IF((O15&lt;P15),"WIN","LOSE"))</f>
        <v/>
      </c>
      <c r="Q16" s="127" t="str">
        <f>IF($P$15="lose",$U$9,"")</f>
        <v/>
      </c>
      <c r="R16" s="127" t="str">
        <f>IF($P$15="lose",$U$10,"")</f>
        <v/>
      </c>
      <c r="S16" s="17"/>
    </row>
    <row r="17" spans="1:18">
      <c r="A17" s="3" t="s">
        <v>207</v>
      </c>
      <c r="B17" s="365" t="s">
        <v>71</v>
      </c>
      <c r="C17" s="14">
        <f>SUM(COUNTIFS(Game_52203[ATHLETE 1],Analysis_156204[[#This Row],[Athletes ]],Game_52203[RESULT 12],"win"),COUNTIFS(Game_52203[ATHLETE 2],Analysis_156204[[#This Row],[Athletes ]],Game_52203[RESULT 12],"win"),COUNTIFS(Game_52203[ATHLETE 3],Analysis_156204[[#This Row],[Athletes ]],Game_52203[RESULT 34],"win"),COUNTIFS(Game_52203[ATHLETE 4],Analysis_156204[[#This Row],[Athletes ]],Game_52203[RESULT 34],"win"))</f>
        <v>0</v>
      </c>
      <c r="D17" s="14">
        <f>SUM(COUNTIFS(Game_52203[ATHLETE 1],Analysis_156204[[#This Row],[Athletes ]],Game_52203[RESULT 12],"lose"),COUNTIFS(Game_52203[ATHLETE 2],Analysis_156204[[#This Row],[Athletes ]],Game_52203[RESULT 12],"lose"),COUNTIFS(Game_52203[ATHLETE 3],Analysis_156204[[#This Row],[Athletes ]],Game_52203[RESULT 34],"lose"),COUNTIFS(Game_52203[ATHLETE 4],Analysis_156204[[#This Row],[Athletes ]],Game_52203[RESULT 34],"lose"))</f>
        <v>0</v>
      </c>
      <c r="E17" s="19">
        <f>SUM(SUMIF(Game_52203[ATHLETE 1],Analysis_156204[[#This Row],[Athletes ]],Game_52203[SALDO 12]),SUMIF(Game_52203[ATHLETE 2],Analysis_156204[[#This Row],[Athletes ]],Game_52203[SALDO 12]),SUMIF(Game_52203[ATHLETE 3],Analysis_156204[[#This Row],[Athletes ]],Game_52203[SALDO 34]),SUMIF(Game_52203[ATHLETE 4],Analysis_156204[[#This Row],[Athletes ]],Game_52203[SALDO 34]))</f>
        <v>0</v>
      </c>
      <c r="F17" s="19">
        <f>SUM(SUMIF(Game_52203[ATHLETE 1],Analysis_156204[[#This Row],[Athletes ]],Game_52203[PM 12]),SUMIF(Game_52203[ATHLETE 2],Analysis_156204[[#This Row],[Athletes ]],Game_52203[PM 12]),SUMIF(Game_52203[ATHLETE 3],Analysis_156204[[#This Row],[Athletes ]],Game_52203[PM 34]),SUMIF(Game_52203[ATHLETE 4],Analysis_156204[[#This Row],[Athletes ]],Game_52203[PM 34]))</f>
        <v>0</v>
      </c>
      <c r="G17" s="14" t="str">
        <f>IF(COUNTBLANK(Game_52203[[SCORE 1]:[SCORE 2]])=0,IF(RANK(H17,$H$15:$H$19)=1,RANK(H17,$H$15:$H$19)&amp;"st",IF(RANK(H17,$H$15:$H$19)=2,RANK(H17,$H$15:$H$19)&amp;"nd",IF(RANK(H17,$H$15:$H$19)=3,RANK(H17,$H$15:$H$19)&amp;"rd",RANK(H17,$H$15:$H$19)&amp;"th"))),"")</f>
        <v/>
      </c>
      <c r="H17" s="203">
        <f>Analysis_156204[[#This Row],[WIN]]*1000000+Analysis_156204[[#This Row],[Saldo]]*1000+Analysis_156204[[#This Row],[PM]]</f>
        <v>0</v>
      </c>
      <c r="I17" s="2">
        <f>H17</f>
        <v>0</v>
      </c>
      <c r="J17" s="2" t="str">
        <f>IF(COUNTBLANK(Game_52203[[SCORE 1]:[SCORE 2]])=0,IF(RANK(I17,$I$15:$I$24)=1,RANK(I17,$I$15:$I$24)&amp;"st",IF(RANK(I17,$I$15:$I$24)=2,RANK(I17,$I$15:$I$24)&amp;"nd",IF(RANK(I17,$I$15:$I$24)=3,RANK(I17,$I$15:$I$24)&amp;"rd",RANK(I17,$I$15:$I$24)&amp;"th"))),"")</f>
        <v/>
      </c>
      <c r="K17" s="38" t="str">
        <f>Analysis_156204[[#This Row],[Athletes ]]</f>
        <v>Priscila</v>
      </c>
      <c r="L17" s="2" t="str">
        <f t="shared" si="0"/>
        <v/>
      </c>
      <c r="M17" s="90">
        <v>1</v>
      </c>
      <c r="N17" s="90">
        <v>2</v>
      </c>
      <c r="O17" s="90"/>
      <c r="P17" s="90"/>
      <c r="Q17" s="90">
        <v>7</v>
      </c>
      <c r="R17" s="90">
        <v>8</v>
      </c>
    </row>
    <row r="18" spans="1:18" ht="15.95">
      <c r="A18" s="5" t="s">
        <v>208</v>
      </c>
      <c r="B18" s="365" t="s">
        <v>347</v>
      </c>
      <c r="C18" s="14">
        <f>SUM(COUNTIFS(Game_52203[ATHLETE 1],Analysis_156204[[#This Row],[Athletes ]],Game_52203[RESULT 12],"win"),COUNTIFS(Game_52203[ATHLETE 2],Analysis_156204[[#This Row],[Athletes ]],Game_52203[RESULT 12],"win"),COUNTIFS(Game_52203[ATHLETE 3],Analysis_156204[[#This Row],[Athletes ]],Game_52203[RESULT 34],"win"),COUNTIFS(Game_52203[ATHLETE 4],Analysis_156204[[#This Row],[Athletes ]],Game_52203[RESULT 34],"win"))</f>
        <v>0</v>
      </c>
      <c r="D18" s="14">
        <f>SUM(COUNTIFS(Game_52203[ATHLETE 1],Analysis_156204[[#This Row],[Athletes ]],Game_52203[RESULT 12],"lose"),COUNTIFS(Game_52203[ATHLETE 2],Analysis_156204[[#This Row],[Athletes ]],Game_52203[RESULT 12],"lose"),COUNTIFS(Game_52203[ATHLETE 3],Analysis_156204[[#This Row],[Athletes ]],Game_52203[RESULT 34],"lose"),COUNTIFS(Game_52203[ATHLETE 4],Analysis_156204[[#This Row],[Athletes ]],Game_52203[RESULT 34],"lose"))</f>
        <v>0</v>
      </c>
      <c r="E18" s="19">
        <f>SUM(SUMIF(Game_52203[ATHLETE 1],Analysis_156204[[#This Row],[Athletes ]],Game_52203[SALDO 12]),SUMIF(Game_52203[ATHLETE 2],Analysis_156204[[#This Row],[Athletes ]],Game_52203[SALDO 12]),SUMIF(Game_52203[ATHLETE 3],Analysis_156204[[#This Row],[Athletes ]],Game_52203[SALDO 34]),SUMIF(Game_52203[ATHLETE 4],Analysis_156204[[#This Row],[Athletes ]],Game_52203[SALDO 34]))</f>
        <v>0</v>
      </c>
      <c r="F18" s="19">
        <f>SUM(SUMIF(Game_52203[ATHLETE 1],Analysis_156204[[#This Row],[Athletes ]],Game_52203[PM 12]),SUMIF(Game_52203[ATHLETE 2],Analysis_156204[[#This Row],[Athletes ]],Game_52203[PM 12]),SUMIF(Game_52203[ATHLETE 3],Analysis_156204[[#This Row],[Athletes ]],Game_52203[PM 34]),SUMIF(Game_52203[ATHLETE 4],Analysis_156204[[#This Row],[Athletes ]],Game_52203[PM 34]))</f>
        <v>0</v>
      </c>
      <c r="G18" s="14" t="str">
        <f>IF(COUNTBLANK(Game_52203[[SCORE 1]:[SCORE 2]])=0,IF(RANK(H18,$H$15:$H$19)=1,RANK(H18,$H$15:$H$19)&amp;"st",IF(RANK(H18,$H$15:$H$19)=2,RANK(H18,$H$15:$H$19)&amp;"nd",IF(RANK(H18,$H$15:$H$19)=3,RANK(H18,$H$15:$H$19)&amp;"rd",RANK(H18,$H$15:$H$19)&amp;"th"))),"")</f>
        <v/>
      </c>
      <c r="H18" s="203">
        <f>Analysis_156204[[#This Row],[WIN]]*1000000+Analysis_156204[[#This Row],[Saldo]]*1000+Analysis_156204[[#This Row],[PM]]</f>
        <v>0</v>
      </c>
      <c r="I18" s="2">
        <f>H18</f>
        <v>0</v>
      </c>
      <c r="J18" s="2" t="str">
        <f>IF(COUNTBLANK(Game_52203[[SCORE 1]:[SCORE 2]])=0,IF(RANK(I18,$I$15:$I$24)=1,RANK(I18,$I$15:$I$24)&amp;"st",IF(RANK(I18,$I$15:$I$24)=2,RANK(I18,$I$15:$I$24)&amp;"nd",IF(RANK(I18,$I$15:$I$24)=3,RANK(I18,$I$15:$I$24)&amp;"rd",RANK(I18,$I$15:$I$24)&amp;"th"))),"")</f>
        <v/>
      </c>
      <c r="K18" s="38" t="str">
        <f>Analysis_156204[[#This Row],[Athletes ]]</f>
        <v>Juliane</v>
      </c>
      <c r="L18" s="2" t="str">
        <f t="shared" si="0"/>
        <v/>
      </c>
      <c r="M18" s="90"/>
      <c r="N18" s="90"/>
      <c r="O18" s="90"/>
      <c r="P18" s="90"/>
      <c r="Q18" s="90"/>
      <c r="R18" s="90"/>
    </row>
    <row r="19" spans="1:18">
      <c r="A19" s="3" t="s">
        <v>230</v>
      </c>
      <c r="B19" s="365" t="s">
        <v>65</v>
      </c>
      <c r="C19" s="14">
        <f>SUM(COUNTIFS(Game_52203[ATHLETE 1],Analysis_156204[[#This Row],[Athletes ]],Game_52203[RESULT 12],"win"),COUNTIFS(Game_52203[ATHLETE 2],Analysis_156204[[#This Row],[Athletes ]],Game_52203[RESULT 12],"win"),COUNTIFS(Game_52203[ATHLETE 3],Analysis_156204[[#This Row],[Athletes ]],Game_52203[RESULT 34],"win"),COUNTIFS(Game_52203[ATHLETE 4],Analysis_156204[[#This Row],[Athletes ]],Game_52203[RESULT 34],"win"))</f>
        <v>0</v>
      </c>
      <c r="D19" s="14">
        <f>SUM(COUNTIFS(Game_52203[ATHLETE 1],Analysis_156204[[#This Row],[Athletes ]],Game_52203[RESULT 12],"lose"),COUNTIFS(Game_52203[ATHLETE 2],Analysis_156204[[#This Row],[Athletes ]],Game_52203[RESULT 12],"lose"),COUNTIFS(Game_52203[ATHLETE 3],Analysis_156204[[#This Row],[Athletes ]],Game_52203[RESULT 34],"lose"),COUNTIFS(Game_52203[ATHLETE 4],Analysis_156204[[#This Row],[Athletes ]],Game_52203[RESULT 34],"lose"))</f>
        <v>0</v>
      </c>
      <c r="E19" s="19">
        <f>SUM(SUMIF(Game_52203[ATHLETE 1],Analysis_156204[[#This Row],[Athletes ]],Game_52203[SALDO 12]),SUMIF(Game_52203[ATHLETE 2],Analysis_156204[[#This Row],[Athletes ]],Game_52203[SALDO 12]),SUMIF(Game_52203[ATHLETE 3],Analysis_156204[[#This Row],[Athletes ]],Game_52203[SALDO 34]),SUMIF(Game_52203[ATHLETE 4],Analysis_156204[[#This Row],[Athletes ]],Game_52203[SALDO 34]))</f>
        <v>0</v>
      </c>
      <c r="F19" s="19">
        <f>SUM(SUMIF(Game_52203[ATHLETE 1],Analysis_156204[[#This Row],[Athletes ]],Game_52203[PM 12]),SUMIF(Game_52203[ATHLETE 2],Analysis_156204[[#This Row],[Athletes ]],Game_52203[PM 12]),SUMIF(Game_52203[ATHLETE 3],Analysis_156204[[#This Row],[Athletes ]],Game_52203[PM 34]),SUMIF(Game_52203[ATHLETE 4],Analysis_156204[[#This Row],[Athletes ]],Game_52203[PM 34]))</f>
        <v>0</v>
      </c>
      <c r="G19" s="14" t="str">
        <f>IF(COUNTBLANK(Game_52203[[SCORE 1]:[SCORE 2]])=0,IF(RANK(H19,$H$15:$H$19)=1,RANK(H19,$H$15:$H$19)&amp;"st",IF(RANK(H19,$H$15:$H$19)=2,RANK(H19,$H$15:$H$19)&amp;"nd",IF(RANK(H19,$H$15:$H$19)=3,RANK(H19,$H$15:$H$19)&amp;"rd",RANK(H19,$H$15:$H$19)&amp;"th"))),"")</f>
        <v/>
      </c>
      <c r="H19" s="203">
        <f>Analysis_156204[[#This Row],[WIN]]*1000000+Analysis_156204[[#This Row],[Saldo]]*1000+Analysis_156204[[#This Row],[PM]]</f>
        <v>0</v>
      </c>
      <c r="I19" s="2">
        <f>H19</f>
        <v>0</v>
      </c>
      <c r="J19" s="2" t="str">
        <f>IF(COUNTBLANK(Game_52203[[SCORE 1]:[SCORE 2]])=0,IF(RANK(I19,$I$15:$I$24)=1,RANK(I19,$I$15:$I$24)&amp;"st",IF(RANK(I19,$I$15:$I$24)=2,RANK(I19,$I$15:$I$24)&amp;"nd",IF(RANK(I19,$I$15:$I$24)=3,RANK(I19,$I$15:$I$24)&amp;"rd",RANK(I19,$I$15:$I$24)&amp;"th"))),"")</f>
        <v/>
      </c>
      <c r="K19" s="38" t="str">
        <f>Analysis_156204[[#This Row],[Athletes ]]</f>
        <v>Fiorella</v>
      </c>
      <c r="L19" s="2" t="str">
        <f t="shared" si="0"/>
        <v/>
      </c>
      <c r="M19" s="418" t="s">
        <v>193</v>
      </c>
      <c r="N19" s="418" t="s">
        <v>194</v>
      </c>
      <c r="O19" s="542" t="s">
        <v>195</v>
      </c>
      <c r="P19" s="543"/>
      <c r="Q19" s="418" t="s">
        <v>196</v>
      </c>
      <c r="R19" s="418" t="s">
        <v>197</v>
      </c>
    </row>
    <row r="20" spans="1:18" ht="28.5" customHeight="1">
      <c r="I20" s="2">
        <f>H22</f>
        <v>0</v>
      </c>
      <c r="J20" s="2" t="str">
        <f>IF(COUNTBLANK(Game_52203[[SCORE 1]:[SCORE 2]])=0,IF(RANK(I20,$I$15:$I$24)=1,RANK(I20,$I$15:$I$24)&amp;"st",IF(RANK(I20,$I$15:$I$24)=2,RANK(I20,$I$15:$I$24)&amp;"nd",IF(RANK(I20,$I$15:$I$24)=3,RANK(I20,$I$15:$I$24)&amp;"rd",RANK(I20,$I$15:$I$24)&amp;"th"))),"")</f>
        <v/>
      </c>
      <c r="K20" s="38" t="str">
        <f>B22</f>
        <v>Gabi Silva</v>
      </c>
      <c r="M20" s="147" t="str" cm="1">
        <f t="array" ref="M20">_xlfn.TEXTJOIN(", ", TRUE, _xlfn._xlws.FILTER($K$15:$K$24, $J$15:$J$24=$U$5, ""))</f>
        <v/>
      </c>
      <c r="N20" s="147" t="str" cm="1">
        <f t="array" ref="N20">_xlfn.TEXTJOIN(", ", TRUE, _xlfn._xlws.FILTER($K$15:$K$24, $J$15:$J$24=$U$6, ""))</f>
        <v/>
      </c>
      <c r="O20" s="119"/>
      <c r="P20" s="119"/>
      <c r="Q20" s="147" t="str" cm="1">
        <f t="array" ref="Q20">_xlfn.TEXTJOIN(", ", TRUE, _xlfn._xlws.FILTER($K$15:$K$24, $J$15:$J$24=$U$7, ""))</f>
        <v/>
      </c>
      <c r="R20" s="428" t="str" cm="1">
        <f t="array" ref="R20">_xlfn.TEXTJOIN(", ", TRUE, _xlfn._xlws.FILTER($K$15:$K$24, $J$15:$J$24=$U$8, ""))</f>
        <v/>
      </c>
    </row>
    <row r="21" spans="1:18" ht="15.95">
      <c r="A21" s="6" t="s">
        <v>246</v>
      </c>
      <c r="B21" s="10" t="s">
        <v>261</v>
      </c>
      <c r="C21" s="10" t="s">
        <v>186</v>
      </c>
      <c r="D21" s="10" t="s">
        <v>187</v>
      </c>
      <c r="E21" s="10" t="s">
        <v>188</v>
      </c>
      <c r="F21" s="10" t="s">
        <v>189</v>
      </c>
      <c r="G21" s="7" t="s">
        <v>8</v>
      </c>
      <c r="H21" s="80" t="s">
        <v>190</v>
      </c>
      <c r="I21" s="2">
        <f t="shared" ref="I21:I24" si="1">H23</f>
        <v>0</v>
      </c>
      <c r="J21" s="2" t="str">
        <f>IF(COUNTBLANK(Game_52203[[SCORE 1]:[SCORE 2]])=0,IF(RANK(I21,$I$15:$I$24)=1,RANK(I21,$I$15:$I$24)&amp;"st",IF(RANK(I21,$I$15:$I$24)=2,RANK(I21,$I$15:$I$24)&amp;"nd",IF(RANK(I21,$I$15:$I$24)=3,RANK(I21,$I$15:$I$24)&amp;"rd",RANK(I21,$I$15:$I$24)&amp;"th"))),"")</f>
        <v/>
      </c>
      <c r="K21" s="38" t="str">
        <f t="shared" ref="K21:K24" si="2">B23</f>
        <v>Giovana</v>
      </c>
      <c r="L21" s="419" t="s">
        <v>192</v>
      </c>
      <c r="M21" s="127" t="str">
        <f>IF(AND($O$21="lose",$O$16="lose"),$U$9,IF($O$21="lose",$U$7,""))</f>
        <v/>
      </c>
      <c r="N21" s="127" t="str">
        <f>IF(AND($O$21="lose",$O$16="lose"),$U$10,IF($O$21="lose",$U$8,""))</f>
        <v/>
      </c>
      <c r="O21" s="2" t="str">
        <f>IF(OR(O20="",P20=""),"",IF((O20&gt;P20),"WIN","LOSE"))</f>
        <v/>
      </c>
      <c r="P21" s="2" t="str">
        <f>IF(OR(O20="",P20=""),"",IF((O20&lt;P20),"WIN","LOSE"))</f>
        <v/>
      </c>
      <c r="Q21" s="127" t="str">
        <f>IF(AND($P$21="lose",$O$16="lose"),$U$9,IF($P$21="lose",$U$7,""))</f>
        <v/>
      </c>
      <c r="R21" s="127" t="str">
        <f>IF(AND($P$21="lose",$O$16="lose"),$U$10,IF($P$21="lose",$U$8,""))</f>
        <v/>
      </c>
    </row>
    <row r="22" spans="1:18">
      <c r="A22" s="430" t="s">
        <v>209</v>
      </c>
      <c r="B22" s="365" t="s">
        <v>348</v>
      </c>
      <c r="C22" s="14">
        <f>SUM(COUNTIFS(Game_52203[ATHLETE 1],Analysis_1664205[[#This Row],[Athletes ]],Game_52203[RESULT 12],"win"),COUNTIFS(Game_52203[ATHLETE 2],Analysis_1664205[[#This Row],[Athletes ]],Game_52203[RESULT 12],"win"),COUNTIFS(Game_52203[ATHLETE 3],Analysis_1664205[[#This Row],[Athletes ]],Game_52203[RESULT 34],"win"),COUNTIFS(Game_52203[ATHLETE 4],Analysis_1664205[[#This Row],[Athletes ]],Game_52203[RESULT 34],"win"))</f>
        <v>0</v>
      </c>
      <c r="D22" s="14">
        <f>SUM(COUNTIFS(Game_52203[ATHLETE 1],Analysis_1664205[[#This Row],[Athletes ]],Game_52203[RESULT 12],"lose"),COUNTIFS(Game_52203[ATHLETE 2],Analysis_1664205[[#This Row],[Athletes ]],Game_52203[RESULT 12],"lose"),COUNTIFS(Game_52203[ATHLETE 3],Analysis_1664205[[#This Row],[Athletes ]],Game_52203[RESULT 34],"lose"),COUNTIFS(Game_52203[ATHLETE 4],Analysis_1664205[[#This Row],[Athletes ]],Game_52203[RESULT 34],"lose"))</f>
        <v>0</v>
      </c>
      <c r="E22" s="19">
        <f>SUM(SUMIF(Game_52203[ATHLETE 1],Analysis_1664205[[#This Row],[Athletes ]],Game_52203[SALDO 12]),SUMIF(Game_52203[ATHLETE 2],Analysis_1664205[[#This Row],[Athletes ]],Game_52203[SALDO 12]),SUMIF(Game_52203[ATHLETE 3],Analysis_1664205[[#This Row],[Athletes ]],Game_52203[SALDO 34]),SUMIF(Game_52203[ATHLETE 4],Analysis_1664205[[#This Row],[Athletes ]],Game_52203[SALDO 34]))</f>
        <v>0</v>
      </c>
      <c r="F22" s="19">
        <f>SUM(SUMIF(Game_52203[ATHLETE 1],Analysis_1664205[[#This Row],[Athletes ]],Game_52203[PM 12]),SUMIF(Game_52203[ATHLETE 2],Analysis_1664205[[#This Row],[Athletes ]],Game_52203[PM 12]),SUMIF(Game_52203[ATHLETE 3],Analysis_1664205[[#This Row],[Athletes ]],Game_52203[PM 34]),SUMIF(Game_52203[ATHLETE 4],Analysis_1664205[[#This Row],[Athletes ]],Game_52203[PM 34]))</f>
        <v>0</v>
      </c>
      <c r="G22" s="14" t="str">
        <f>IF(COUNTBLANK(Game_52203[[SCORE 1]:[SCORE 2]])=0,IF(RANK(H22,$H$22:$H$26)=1,RANK(H22,$H$22:$H$26)&amp;"st",IF(RANK(H22,$H$22:$H$26)=2,RANK(H22,$H$22:$H$26)&amp;"nd",IF(RANK(H22,$H$22:$H$26)=3,RANK(H22,$H$22:$H$26)&amp;"rd",RANK(H22,$H$22:$H$26)&amp;"th"))),"")</f>
        <v/>
      </c>
      <c r="H22" s="203">
        <f>Analysis_1664205[[#This Row],[WIN]]*1000000+Analysis_1664205[[#This Row],[Saldo]]*1000+Analysis_1664205[[#This Row],[PM]]</f>
        <v>0</v>
      </c>
      <c r="I22" s="2">
        <f t="shared" si="1"/>
        <v>0</v>
      </c>
      <c r="J22" s="2" t="str">
        <f>IF(COUNTBLANK(Game_52203[[SCORE 1]:[SCORE 2]])=0,IF(RANK(I22,$I$15:$I$24)=1,RANK(I22,$I$15:$I$24)&amp;"st",IF(RANK(I22,$I$15:$I$24)=2,RANK(I22,$I$15:$I$24)&amp;"nd",IF(RANK(I22,$I$15:$I$24)=3,RANK(I22,$I$15:$I$24)&amp;"rd",RANK(I22,$I$15:$I$24)&amp;"th"))),"")</f>
        <v/>
      </c>
      <c r="K22" s="38" t="str">
        <f t="shared" si="2"/>
        <v>Roberta G.</v>
      </c>
      <c r="L22" s="2" t="str">
        <f>J20</f>
        <v/>
      </c>
      <c r="M22" s="90">
        <v>3</v>
      </c>
      <c r="N22" s="90">
        <v>4</v>
      </c>
      <c r="O22" s="90"/>
      <c r="P22" s="90"/>
      <c r="Q22" s="90">
        <v>5</v>
      </c>
      <c r="R22" s="90">
        <v>6</v>
      </c>
    </row>
    <row r="23" spans="1:18">
      <c r="A23" s="430" t="s">
        <v>210</v>
      </c>
      <c r="B23" s="365" t="s">
        <v>349</v>
      </c>
      <c r="C23" s="14">
        <f>SUM(COUNTIFS(Game_52203[ATHLETE 1],Analysis_1664205[[#This Row],[Athletes ]],Game_52203[RESULT 12],"win"),COUNTIFS(Game_52203[ATHLETE 2],Analysis_1664205[[#This Row],[Athletes ]],Game_52203[RESULT 12],"win"),COUNTIFS(Game_52203[ATHLETE 3],Analysis_1664205[[#This Row],[Athletes ]],Game_52203[RESULT 34],"win"),COUNTIFS(Game_52203[ATHLETE 4],Analysis_1664205[[#This Row],[Athletes ]],Game_52203[RESULT 34],"win"))</f>
        <v>0</v>
      </c>
      <c r="D23" s="14">
        <f>SUM(COUNTIFS(Game_52203[ATHLETE 1],Analysis_1664205[[#This Row],[Athletes ]],Game_52203[RESULT 12],"lose"),COUNTIFS(Game_52203[ATHLETE 2],Analysis_1664205[[#This Row],[Athletes ]],Game_52203[RESULT 12],"lose"),COUNTIFS(Game_52203[ATHLETE 3],Analysis_1664205[[#This Row],[Athletes ]],Game_52203[RESULT 34],"lose"),COUNTIFS(Game_52203[ATHLETE 4],Analysis_1664205[[#This Row],[Athletes ]],Game_52203[RESULT 34],"lose"))</f>
        <v>0</v>
      </c>
      <c r="E23" s="19">
        <f>SUM(SUMIF(Game_52203[ATHLETE 1],Analysis_1664205[[#This Row],[Athletes ]],Game_52203[SALDO 12]),SUMIF(Game_52203[ATHLETE 2],Analysis_1664205[[#This Row],[Athletes ]],Game_52203[SALDO 12]),SUMIF(Game_52203[ATHLETE 3],Analysis_1664205[[#This Row],[Athletes ]],Game_52203[SALDO 34]),SUMIF(Game_52203[ATHLETE 4],Analysis_1664205[[#This Row],[Athletes ]],Game_52203[SALDO 34]))</f>
        <v>0</v>
      </c>
      <c r="F23" s="19">
        <f>SUM(SUMIF(Game_52203[ATHLETE 1],Analysis_1664205[[#This Row],[Athletes ]],Game_52203[PM 12]),SUMIF(Game_52203[ATHLETE 2],Analysis_1664205[[#This Row],[Athletes ]],Game_52203[PM 12]),SUMIF(Game_52203[ATHLETE 3],Analysis_1664205[[#This Row],[Athletes ]],Game_52203[PM 34]),SUMIF(Game_52203[ATHLETE 4],Analysis_1664205[[#This Row],[Athletes ]],Game_52203[PM 34]))</f>
        <v>0</v>
      </c>
      <c r="G23" s="14" t="str">
        <f>IF(COUNTBLANK(Game_52203[[SCORE 1]:[SCORE 2]])=0,IF(RANK(H23,$H$22:$H$26)=1,RANK(H23,$H$22:$H$26)&amp;"st",IF(RANK(H23,$H$22:$H$26)=2,RANK(H23,$H$22:$H$26)&amp;"nd",IF(RANK(H23,$H$22:$H$26)=3,RANK(H23,$H$22:$H$26)&amp;"rd",RANK(H23,$H$22:$H$26)&amp;"th"))),"")</f>
        <v/>
      </c>
      <c r="H23" s="203">
        <f>Analysis_1664205[[#This Row],[WIN]]*1000000+Analysis_1664205[[#This Row],[Saldo]]*1000+Analysis_1664205[[#This Row],[PM]]</f>
        <v>0</v>
      </c>
      <c r="I23" s="2">
        <f t="shared" si="1"/>
        <v>0</v>
      </c>
      <c r="J23" s="2" t="str">
        <f>IF(COUNTBLANK(Game_52203[[SCORE 1]:[SCORE 2]])=0,IF(RANK(I23,$I$15:$I$24)=1,RANK(I23,$I$15:$I$24)&amp;"st",IF(RANK(I23,$I$15:$I$24)=2,RANK(I23,$I$15:$I$24)&amp;"nd",IF(RANK(I23,$I$15:$I$24)=3,RANK(I23,$I$15:$I$24)&amp;"rd",RANK(I23,$I$15:$I$24)&amp;"th"))),"")</f>
        <v/>
      </c>
      <c r="K23" s="38" t="str">
        <f t="shared" si="2"/>
        <v>Jessica</v>
      </c>
      <c r="L23" s="2" t="str">
        <f t="shared" ref="L23:L26" si="3">J21</f>
        <v/>
      </c>
      <c r="M23" s="90"/>
      <c r="N23" s="90"/>
      <c r="O23" s="90"/>
      <c r="P23" s="90"/>
      <c r="Q23" s="90"/>
      <c r="R23" s="90"/>
    </row>
    <row r="24" spans="1:18" ht="29.1">
      <c r="A24" s="430" t="s">
        <v>211</v>
      </c>
      <c r="B24" s="365" t="s">
        <v>66</v>
      </c>
      <c r="C24" s="14">
        <f>SUM(COUNTIFS(Game_52203[ATHLETE 1],Analysis_1664205[[#This Row],[Athletes ]],Game_52203[RESULT 12],"win"),COUNTIFS(Game_52203[ATHLETE 2],Analysis_1664205[[#This Row],[Athletes ]],Game_52203[RESULT 12],"win"),COUNTIFS(Game_52203[ATHLETE 3],Analysis_1664205[[#This Row],[Athletes ]],Game_52203[RESULT 34],"win"),COUNTIFS(Game_52203[ATHLETE 4],Analysis_1664205[[#This Row],[Athletes ]],Game_52203[RESULT 34],"win"))</f>
        <v>0</v>
      </c>
      <c r="D24" s="14">
        <f>SUM(COUNTIFS(Game_52203[ATHLETE 1],Analysis_1664205[[#This Row],[Athletes ]],Game_52203[RESULT 12],"lose"),COUNTIFS(Game_52203[ATHLETE 2],Analysis_1664205[[#This Row],[Athletes ]],Game_52203[RESULT 12],"lose"),COUNTIFS(Game_52203[ATHLETE 3],Analysis_1664205[[#This Row],[Athletes ]],Game_52203[RESULT 34],"lose"),COUNTIFS(Game_52203[ATHLETE 4],Analysis_1664205[[#This Row],[Athletes ]],Game_52203[RESULT 34],"lose"))</f>
        <v>0</v>
      </c>
      <c r="E24" s="19">
        <f>SUM(SUMIF(Game_52203[ATHLETE 1],Analysis_1664205[[#This Row],[Athletes ]],Game_52203[SALDO 12]),SUMIF(Game_52203[ATHLETE 2],Analysis_1664205[[#This Row],[Athletes ]],Game_52203[SALDO 12]),SUMIF(Game_52203[ATHLETE 3],Analysis_1664205[[#This Row],[Athletes ]],Game_52203[SALDO 34]),SUMIF(Game_52203[ATHLETE 4],Analysis_1664205[[#This Row],[Athletes ]],Game_52203[SALDO 34]))</f>
        <v>0</v>
      </c>
      <c r="F24" s="19">
        <f>SUM(SUMIF(Game_52203[ATHLETE 1],Analysis_1664205[[#This Row],[Athletes ]],Game_52203[PM 12]),SUMIF(Game_52203[ATHLETE 2],Analysis_1664205[[#This Row],[Athletes ]],Game_52203[PM 12]),SUMIF(Game_52203[ATHLETE 3],Analysis_1664205[[#This Row],[Athletes ]],Game_52203[PM 34]),SUMIF(Game_52203[ATHLETE 4],Analysis_1664205[[#This Row],[Athletes ]],Game_52203[PM 34]))</f>
        <v>0</v>
      </c>
      <c r="G24" s="14" t="str">
        <f>IF(COUNTBLANK(Game_52203[[SCORE 1]:[SCORE 2]])=0,IF(RANK(H24,$H$22:$H$26)=1,RANK(H24,$H$22:$H$26)&amp;"st",IF(RANK(H24,$H$22:$H$26)=2,RANK(H24,$H$22:$H$26)&amp;"nd",IF(RANK(H24,$H$22:$H$26)=3,RANK(H24,$H$22:$H$26)&amp;"rd",RANK(H24,$H$22:$H$26)&amp;"th"))),"")</f>
        <v/>
      </c>
      <c r="H24" s="203">
        <f>Analysis_1664205[[#This Row],[WIN]]*1000000+Analysis_1664205[[#This Row],[Saldo]]*1000+Analysis_1664205[[#This Row],[PM]]</f>
        <v>0</v>
      </c>
      <c r="I24" s="2">
        <f t="shared" si="1"/>
        <v>0</v>
      </c>
      <c r="J24" s="2" t="str">
        <f>IF(COUNTBLANK(Game_52203[[SCORE 1]:[SCORE 2]])=0,IF(RANK(I24,$I$15:$I$24)=1,RANK(I24,$I$15:$I$24)&amp;"st",IF(RANK(I24,$I$15:$I$24)=2,RANK(I24,$I$15:$I$24)&amp;"nd",IF(RANK(I24,$I$15:$I$24)=3,RANK(I24,$I$15:$I$24)&amp;"rd",RANK(I24,$I$15:$I$24)&amp;"th"))),"")</f>
        <v/>
      </c>
      <c r="K24" s="38" t="str">
        <f t="shared" si="2"/>
        <v>Gabi Cordeiro</v>
      </c>
      <c r="L24" s="2" t="str">
        <f t="shared" si="3"/>
        <v/>
      </c>
      <c r="M24" s="548" t="s">
        <v>199</v>
      </c>
      <c r="N24" s="549"/>
      <c r="O24" s="549"/>
      <c r="P24" s="549"/>
      <c r="Q24" s="549"/>
      <c r="R24" s="549"/>
    </row>
    <row r="25" spans="1:18">
      <c r="A25" s="430" t="s">
        <v>212</v>
      </c>
      <c r="B25" s="365" t="s">
        <v>350</v>
      </c>
      <c r="C25" s="14">
        <f>SUM(COUNTIFS(Game_52203[ATHLETE 1],Analysis_1664205[[#This Row],[Athletes ]],Game_52203[RESULT 12],"win"),COUNTIFS(Game_52203[ATHLETE 2],Analysis_1664205[[#This Row],[Athletes ]],Game_52203[RESULT 12],"win"),COUNTIFS(Game_52203[ATHLETE 3],Analysis_1664205[[#This Row],[Athletes ]],Game_52203[RESULT 34],"win"),COUNTIFS(Game_52203[ATHLETE 4],Analysis_1664205[[#This Row],[Athletes ]],Game_52203[RESULT 34],"win"))</f>
        <v>0</v>
      </c>
      <c r="D25" s="14">
        <f>SUM(COUNTIFS(Game_52203[ATHLETE 1],Analysis_1664205[[#This Row],[Athletes ]],Game_52203[RESULT 12],"lose"),COUNTIFS(Game_52203[ATHLETE 2],Analysis_1664205[[#This Row],[Athletes ]],Game_52203[RESULT 12],"lose"),COUNTIFS(Game_52203[ATHLETE 3],Analysis_1664205[[#This Row],[Athletes ]],Game_52203[RESULT 34],"lose"),COUNTIFS(Game_52203[ATHLETE 4],Analysis_1664205[[#This Row],[Athletes ]],Game_52203[RESULT 34],"lose"))</f>
        <v>0</v>
      </c>
      <c r="E25" s="19">
        <f>SUM(SUMIF(Game_52203[ATHLETE 1],Analysis_1664205[[#This Row],[Athletes ]],Game_52203[SALDO 12]),SUMIF(Game_52203[ATHLETE 2],Analysis_1664205[[#This Row],[Athletes ]],Game_52203[SALDO 12]),SUMIF(Game_52203[ATHLETE 3],Analysis_1664205[[#This Row],[Athletes ]],Game_52203[SALDO 34]),SUMIF(Game_52203[ATHLETE 4],Analysis_1664205[[#This Row],[Athletes ]],Game_52203[SALDO 34]))</f>
        <v>0</v>
      </c>
      <c r="F25" s="19">
        <f>SUM(SUMIF(Game_52203[ATHLETE 1],Analysis_1664205[[#This Row],[Athletes ]],Game_52203[PM 12]),SUMIF(Game_52203[ATHLETE 2],Analysis_1664205[[#This Row],[Athletes ]],Game_52203[PM 12]),SUMIF(Game_52203[ATHLETE 3],Analysis_1664205[[#This Row],[Athletes ]],Game_52203[PM 34]),SUMIF(Game_52203[ATHLETE 4],Analysis_1664205[[#This Row],[Athletes ]],Game_52203[PM 34]))</f>
        <v>0</v>
      </c>
      <c r="G25" s="14" t="str">
        <f>IF(COUNTBLANK(Game_52203[[SCORE 1]:[SCORE 2]])=0,IF(RANK(H25,$H$22:$H$26)=1,RANK(H25,$H$22:$H$26)&amp;"st",IF(RANK(H25,$H$22:$H$26)=2,RANK(H25,$H$22:$H$26)&amp;"nd",IF(RANK(H25,$H$22:$H$26)=3,RANK(H25,$H$22:$H$26)&amp;"rd",RANK(H25,$H$22:$H$26)&amp;"th"))),"")</f>
        <v/>
      </c>
      <c r="H25" s="203">
        <f>Analysis_1664205[[#This Row],[WIN]]*1000000+Analysis_1664205[[#This Row],[Saldo]]*1000+Analysis_1664205[[#This Row],[PM]]</f>
        <v>0</v>
      </c>
      <c r="I25" s="2"/>
      <c r="J25" s="2" t="str">
        <f>IF(COUNTBLANK(Table41013172512475452986841[[SCORE 1]:[SCORE 2]])=0,IF(RANK(I25,$I$14:$I$25)=1,RANK(I25,$I$14:$I$25)&amp;"st",IF(RANK(I25,$I$14:$I$25)=2,RANK(I25,$I$14:$I$25)&amp;"nd",IF(RANK(I25,$I$14:$I$25)=3,RANK(I25,$I$14:$I$25)&amp;"rd",RANK(I25,$I$14:$I$25)&amp;"th"))),"")</f>
        <v/>
      </c>
      <c r="L25" s="2" t="str">
        <f t="shared" si="3"/>
        <v/>
      </c>
      <c r="M25" s="418" t="s">
        <v>193</v>
      </c>
      <c r="N25" s="418" t="s">
        <v>194</v>
      </c>
      <c r="O25" s="542" t="s">
        <v>195</v>
      </c>
      <c r="P25" s="543"/>
      <c r="Q25" s="418" t="s">
        <v>196</v>
      </c>
      <c r="R25" s="418" t="s">
        <v>197</v>
      </c>
    </row>
    <row r="26" spans="1:18">
      <c r="A26" s="11" t="s">
        <v>231</v>
      </c>
      <c r="B26" s="365" t="s">
        <v>351</v>
      </c>
      <c r="C26" s="14">
        <f>SUM(COUNTIFS(Game_52203[ATHLETE 1],Analysis_1664205[[#This Row],[Athletes ]],Game_52203[RESULT 12],"win"),COUNTIFS(Game_52203[ATHLETE 2],Analysis_1664205[[#This Row],[Athletes ]],Game_52203[RESULT 12],"win"),COUNTIFS(Game_52203[ATHLETE 3],Analysis_1664205[[#This Row],[Athletes ]],Game_52203[RESULT 34],"win"),COUNTIFS(Game_52203[ATHLETE 4],Analysis_1664205[[#This Row],[Athletes ]],Game_52203[RESULT 34],"win"))</f>
        <v>0</v>
      </c>
      <c r="D26" s="14">
        <f>SUM(COUNTIFS(Game_52203[ATHLETE 1],Analysis_1664205[[#This Row],[Athletes ]],Game_52203[RESULT 12],"lose"),COUNTIFS(Game_52203[ATHLETE 2],Analysis_1664205[[#This Row],[Athletes ]],Game_52203[RESULT 12],"lose"),COUNTIFS(Game_52203[ATHLETE 3],Analysis_1664205[[#This Row],[Athletes ]],Game_52203[RESULT 34],"lose"),COUNTIFS(Game_52203[ATHLETE 4],Analysis_1664205[[#This Row],[Athletes ]],Game_52203[RESULT 34],"lose"))</f>
        <v>0</v>
      </c>
      <c r="E26" s="19">
        <f>SUM(SUMIF(Game_52203[ATHLETE 1],Analysis_1664205[[#This Row],[Athletes ]],Game_52203[SALDO 12]),SUMIF(Game_52203[ATHLETE 2],Analysis_1664205[[#This Row],[Athletes ]],Game_52203[SALDO 12]),SUMIF(Game_52203[ATHLETE 3],Analysis_1664205[[#This Row],[Athletes ]],Game_52203[SALDO 34]),SUMIF(Game_52203[ATHLETE 4],Analysis_1664205[[#This Row],[Athletes ]],Game_52203[SALDO 34]))</f>
        <v>0</v>
      </c>
      <c r="F26" s="19">
        <f>SUM(SUMIF(Game_52203[ATHLETE 1],Analysis_1664205[[#This Row],[Athletes ]],Game_52203[PM 12]),SUMIF(Game_52203[ATHLETE 2],Analysis_1664205[[#This Row],[Athletes ]],Game_52203[PM 12]),SUMIF(Game_52203[ATHLETE 3],Analysis_1664205[[#This Row],[Athletes ]],Game_52203[PM 34]),SUMIF(Game_52203[ATHLETE 4],Analysis_1664205[[#This Row],[Athletes ]],Game_52203[PM 34]))</f>
        <v>0</v>
      </c>
      <c r="G26" s="14" t="str">
        <f>IF(COUNTBLANK(Game_52203[[SCORE 1]:[SCORE 2]])=0,IF(RANK(H26,$H$22:$H$26)=1,RANK(H26,$H$22:$H$26)&amp;"st",IF(RANK(H26,$H$22:$H$26)=2,RANK(H26,$H$22:$H$26)&amp;"nd",IF(RANK(H26,$H$22:$H$26)=3,RANK(H26,$H$22:$H$26)&amp;"rd",RANK(H26,$H$22:$H$26)&amp;"th"))),"")</f>
        <v/>
      </c>
      <c r="H26" s="203">
        <f>Analysis_1664205[[#This Row],[WIN]]*1000000+Analysis_1664205[[#This Row],[Saldo]]*1000+Analysis_1664205[[#This Row],[PM]]</f>
        <v>0</v>
      </c>
      <c r="I26" s="2"/>
      <c r="J26" s="2" t="str">
        <f>IF(COUNTBLANK(Table41013172512475452986841[[SCORE 1]:[SCORE 2]])=0,IF(RANK(I26,$I$14:$I$25)=1,RANK(I26,$I$14:$I$25)&amp;"st",IF(RANK(I26,$I$14:$I$25)=2,RANK(I26,$I$14:$I$25)&amp;"nd",IF(RANK(I26,$I$14:$I$25)=3,RANK(I26,$I$14:$I$25)&amp;"rd",RANK(I26,$I$14:$I$25)&amp;"th"))),"")</f>
        <v/>
      </c>
      <c r="L26" s="2" t="str">
        <f t="shared" si="3"/>
        <v/>
      </c>
      <c r="M26" s="431" t="str">
        <f>IF(COUNTBLANK($O$15:$P$15),"",IF($O$16="lose",$Q$15,$M$15))</f>
        <v/>
      </c>
      <c r="N26" s="431" t="str">
        <f>IF(COUNTBLANK($O$15:$P$15),"",IF($O$16="lose",$R$15,$N$15))</f>
        <v/>
      </c>
      <c r="O26" s="119"/>
      <c r="P26" s="120"/>
      <c r="Q26" s="431" t="str">
        <f>IF(COUNTBLANK($O$20:$P$20),"",IF($O$21="lose",$Q$20,$M$20))</f>
        <v/>
      </c>
      <c r="R26" s="431" t="str">
        <f>IF(COUNTBLANK($O$20:$P$20),"",IF($O$21="lose",$R$20,$N$20))</f>
        <v/>
      </c>
    </row>
    <row r="27" spans="1:18" ht="15.95" thickBot="1">
      <c r="I27" s="2"/>
      <c r="J27" s="2"/>
      <c r="K27" s="2"/>
      <c r="M27" s="62" t="str">
        <f>IF(OR($O$26="",$P$26="",$O$27="win"),"",IF($M$27&gt;$N$27,$U$5,$U$6))</f>
        <v/>
      </c>
      <c r="N27" s="62" t="str">
        <f>IF(OR($P$26="",$P$26="",$O$27="win"),"",IF($M$27&lt;$N$27,$U$5,$U$6))</f>
        <v/>
      </c>
      <c r="O27" s="2" t="str">
        <f>IF(OR(O26="",P26=""),"",IF((O26&gt;P26),"WIN","LOSE"))</f>
        <v/>
      </c>
      <c r="P27" s="2" t="str">
        <f>IF(OR(O26="",P26=""),"",IF((O26&lt;P26),"WIN","LOSE"))</f>
        <v/>
      </c>
      <c r="Q27" s="62" t="str">
        <f>IF($P$26="lose",$U$5,"")</f>
        <v/>
      </c>
      <c r="R27" s="62" t="str">
        <f>IF($P$26="lose",$U$6,"")</f>
        <v/>
      </c>
    </row>
    <row r="28" spans="1:18" ht="15.95" thickBot="1">
      <c r="A28" s="124">
        <v>45862</v>
      </c>
      <c r="B28" s="44" t="s">
        <v>256</v>
      </c>
      <c r="I28" s="2"/>
      <c r="J28" s="2"/>
      <c r="K28" s="2"/>
      <c r="M28" s="61" t="str">
        <f>IF(M26="","",_xlfn.XLOOKUP(M26,$K$14:$K$25,$I$14:$I$25))</f>
        <v/>
      </c>
      <c r="N28" s="61" t="str">
        <f>IF(N26="","",_xlfn.XLOOKUP(N26,$K$14:$K$25,$I$14:$I$25))</f>
        <v/>
      </c>
      <c r="Q28" s="61" t="str">
        <f>IF(Q26="","",_xlfn.XLOOKUP(Q26,$K$14:$K$25,$I$14:$I$25))</f>
        <v/>
      </c>
      <c r="R28" s="61" t="str">
        <f>IF(R26="","",_xlfn.XLOOKUP(R26,$K$14:$K$25,$I$14:$I$25))</f>
        <v/>
      </c>
    </row>
    <row r="29" spans="1:18">
      <c r="I29" s="2"/>
      <c r="J29" s="2"/>
      <c r="K29" s="2"/>
    </row>
    <row r="30" spans="1:18">
      <c r="I30" s="2"/>
      <c r="J30" s="2"/>
      <c r="K30" s="2"/>
    </row>
    <row r="31" spans="1:18" ht="29.1">
      <c r="M31" s="548" t="s">
        <v>200</v>
      </c>
      <c r="N31" s="549"/>
      <c r="O31" s="549"/>
      <c r="P31" s="549"/>
      <c r="Q31" s="549"/>
      <c r="R31" s="549"/>
    </row>
    <row r="32" spans="1:18">
      <c r="M32" s="418" t="s">
        <v>193</v>
      </c>
      <c r="N32" s="418" t="s">
        <v>194</v>
      </c>
      <c r="O32" s="542" t="s">
        <v>195</v>
      </c>
      <c r="P32" s="543"/>
      <c r="Q32" s="418" t="s">
        <v>196</v>
      </c>
      <c r="R32" s="418" t="s">
        <v>197</v>
      </c>
    </row>
    <row r="33" spans="13:18">
      <c r="M33" s="432" t="str">
        <f>IF(OR($O$26="",$P$26=""),"",IF($O$27="WIN",$M$26,$Q$26))</f>
        <v/>
      </c>
      <c r="N33" s="121"/>
      <c r="O33" s="119"/>
      <c r="P33" s="119"/>
      <c r="Q33" s="432" t="str">
        <f>IF(OR($O$26="",$P$26=""),"",IF($O$27="WIN",$N$26,$R$26))</f>
        <v/>
      </c>
      <c r="R33" s="122"/>
    </row>
    <row r="34" spans="13:18">
      <c r="M34" s="18" t="str">
        <f>IF(OR($O$32="",$P$32=""),"",IF($O$33="win",$U$3,$U$4))</f>
        <v/>
      </c>
      <c r="O34" s="2" t="str">
        <f>IF(OR(O33="",P33=""),"",IF((O33&gt;P33),"WIN","LOSE"))</f>
        <v/>
      </c>
      <c r="P34" s="2" t="str">
        <f>IF(OR(O33="",P33=""),"",IF((O33&lt;P33),"WIN","LOSE"))</f>
        <v/>
      </c>
      <c r="Q34" s="18" t="str">
        <f>IF(OR($O$32="",$P$32=""),"",IF($P$33="win",$U$3,$U$4))</f>
        <v/>
      </c>
    </row>
  </sheetData>
  <sheetProtection algorithmName="SHA-512" hashValue="1p88qubGtGjk5+q0hLK6NrTV8NzMNrgOy5QnOL4cyr+2VY6zk4MlIdaxBgNOcZRzaQnCbQua73hgXaXLEWf4Bg==" saltValue="QK+0CA+Pxs4Y6gxQC7cvNg==" spinCount="100000" sheet="1" objects="1" scenarios="1"/>
  <mergeCells count="10">
    <mergeCell ref="M24:R24"/>
    <mergeCell ref="O25:P25"/>
    <mergeCell ref="M31:R31"/>
    <mergeCell ref="O32:P32"/>
    <mergeCell ref="A1:A11"/>
    <mergeCell ref="T1:U1"/>
    <mergeCell ref="A13:G13"/>
    <mergeCell ref="M13:R13"/>
    <mergeCell ref="O14:P14"/>
    <mergeCell ref="O19:P19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C652-E278-A24A-A5F9-52D67A22F7E9}">
  <dimension ref="A1:AA41"/>
  <sheetViews>
    <sheetView workbookViewId="0">
      <selection activeCell="F43" sqref="F43"/>
    </sheetView>
    <sheetView workbookViewId="1">
      <selection sqref="A1:A12"/>
    </sheetView>
  </sheetViews>
  <sheetFormatPr defaultColWidth="8.85546875" defaultRowHeight="15"/>
  <cols>
    <col min="1" max="1" width="9.7109375" customWidth="1"/>
    <col min="2" max="2" width="14.85546875" customWidth="1"/>
    <col min="3" max="4" width="20" customWidth="1"/>
    <col min="5" max="6" width="9.7109375" customWidth="1"/>
    <col min="7" max="7" width="20" customWidth="1"/>
    <col min="8" max="8" width="11.28515625" hidden="1" customWidth="1"/>
    <col min="9" max="9" width="12" hidden="1" customWidth="1"/>
    <col min="10" max="10" width="10.7109375" hidden="1" customWidth="1"/>
    <col min="11" max="11" width="8" hidden="1" customWidth="1"/>
    <col min="12" max="12" width="20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20" customWidth="1"/>
    <col min="21" max="22" width="9.7109375" bestFit="1" customWidth="1"/>
  </cols>
  <sheetData>
    <row r="1" spans="1:21" ht="15" customHeight="1">
      <c r="A1" s="551" t="s">
        <v>352</v>
      </c>
      <c r="B1" s="7" t="s">
        <v>161</v>
      </c>
      <c r="C1" s="20" t="s">
        <v>162</v>
      </c>
      <c r="D1" s="20" t="s">
        <v>163</v>
      </c>
      <c r="E1" s="7" t="s">
        <v>164</v>
      </c>
      <c r="F1" s="7" t="s">
        <v>165</v>
      </c>
      <c r="G1" s="2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544" t="s">
        <v>353</v>
      </c>
      <c r="U1" s="545"/>
    </row>
    <row r="2" spans="1:21" ht="15" customHeight="1">
      <c r="A2" s="551"/>
      <c r="B2" s="13" t="s">
        <v>178</v>
      </c>
      <c r="C2" s="1" t="str">
        <f>B17</f>
        <v>Bruno C.</v>
      </c>
      <c r="D2" s="32" t="str">
        <f>B18</f>
        <v>Luiz</v>
      </c>
      <c r="E2" s="116"/>
      <c r="F2" s="116"/>
      <c r="G2" s="31" t="str">
        <f>B19</f>
        <v>Lucas</v>
      </c>
      <c r="H2" s="63"/>
      <c r="I2" s="63"/>
      <c r="J2" s="63"/>
      <c r="K2" s="63"/>
      <c r="L2" s="16" t="str">
        <f>B20</f>
        <v>Matheus L.</v>
      </c>
      <c r="M2" s="13" t="str">
        <f>IF(OR(Games_4191[[#This Row],[SCORE 1]]="",Games_4191[[#This Row],[SCORE 2]]=""),"",Games_4191[[#This Row],[SCORE 1]]-Games_4191[[#This Row],[SCORE 2]])</f>
        <v/>
      </c>
      <c r="N2" s="13" t="str">
        <f>IF(OR(Games_4191[[#This Row],[SCORE 1]]="",Games_4191[[#This Row],[SCORE 2]]=""),"",Games_4191[[#This Row],[SCORE 2]]-Games_4191[[#This Row],[SCORE 1]])</f>
        <v/>
      </c>
      <c r="O2" s="13" t="str">
        <f>IF(Games_4191[[#This Row],[SCORE 1]]="","",Games_4191[[#This Row],[SCORE 1]])</f>
        <v/>
      </c>
      <c r="P2" s="13" t="str">
        <f>IF(Games_4191[[#This Row],[SCORE 2]]="","",Games_4191[[#This Row],[SCORE 2]])</f>
        <v/>
      </c>
      <c r="Q2" s="13" t="str">
        <f>IF(OR(Games_4191[[#This Row],[SCORE 1]]="",Games_4191[[#This Row],[SCORE 2]]=""),"",IF(Games_4191[[#This Row],[SALDO 12]]&gt;0, "WIN","LOSE"))</f>
        <v/>
      </c>
      <c r="R2" s="13" t="str">
        <f>IF(OR(Games_4191[[#This Row],[SCORE 1]]="",Games_4191[[#This Row],[SCORE 2]]=""),"",IF(Games_4191[[#This Row],[SALDO 34]]&gt;0, "WIN","LOSE"))</f>
        <v/>
      </c>
      <c r="T2" s="35" t="s">
        <v>179</v>
      </c>
      <c r="U2" s="35" t="s">
        <v>8</v>
      </c>
    </row>
    <row r="3" spans="1:21">
      <c r="A3" s="551"/>
      <c r="B3" s="13" t="s">
        <v>180</v>
      </c>
      <c r="C3" s="1" t="str">
        <f>B23</f>
        <v>Felipe R.</v>
      </c>
      <c r="D3" s="32" t="str">
        <f>B24</f>
        <v>Bebeto</v>
      </c>
      <c r="E3" s="116"/>
      <c r="F3" s="116"/>
      <c r="G3" s="31" t="str">
        <f>B25</f>
        <v>Harrinho</v>
      </c>
      <c r="H3" s="63"/>
      <c r="I3" s="63"/>
      <c r="J3" s="63"/>
      <c r="K3" s="63"/>
      <c r="L3" s="16" t="str">
        <f>B26</f>
        <v>Zuna</v>
      </c>
      <c r="M3" s="13" t="str">
        <f>IF(OR(Games_4191[[#This Row],[SCORE 1]]="",Games_4191[[#This Row],[SCORE 2]]=""),"",Games_4191[[#This Row],[SCORE 1]]-Games_4191[[#This Row],[SCORE 2]])</f>
        <v/>
      </c>
      <c r="N3" s="13" t="str">
        <f>IF(OR(Games_4191[[#This Row],[SCORE 1]]="",Games_4191[[#This Row],[SCORE 2]]=""),"",Games_4191[[#This Row],[SCORE 2]]-Games_4191[[#This Row],[SCORE 1]])</f>
        <v/>
      </c>
      <c r="O3" s="13" t="str">
        <f>IF(Games_4191[[#This Row],[SCORE 1]]="","",Games_4191[[#This Row],[SCORE 1]])</f>
        <v/>
      </c>
      <c r="P3" s="13" t="str">
        <f>IF(Games_4191[[#This Row],[SCORE 2]]="","",Games_4191[[#This Row],[SCORE 2]])</f>
        <v/>
      </c>
      <c r="Q3" s="13" t="str">
        <f>IF(OR(Games_4191[[#This Row],[SCORE 1]]="",Games_4191[[#This Row],[SCORE 2]]=""),"",IF(Games_4191[[#This Row],[SALDO 12]]&gt;0, "WIN","LOSE"))</f>
        <v/>
      </c>
      <c r="R3" s="13" t="str">
        <f>IF(OR(Games_4191[[#This Row],[SCORE 1]]="",Games_4191[[#This Row],[SCORE 2]]=""),"",IF(Games_4191[[#This Row],[SALDO 34]]&gt;0, "WIN","LOSE"))</f>
        <v/>
      </c>
      <c r="T3" s="66" t="str">
        <f>_xlfn.XLOOKUP(Table152028325060729321194[[#This Row],[Rank]],$M$36:$R$36,$M$35:$R$35,"")</f>
        <v/>
      </c>
      <c r="U3" s="67" t="s">
        <v>19</v>
      </c>
    </row>
    <row r="4" spans="1:21">
      <c r="A4" s="551"/>
      <c r="B4" s="13" t="s">
        <v>181</v>
      </c>
      <c r="C4" s="1" t="str">
        <f>B29</f>
        <v>Tizoc</v>
      </c>
      <c r="D4" s="32" t="str">
        <f>B30</f>
        <v>Pedro It.</v>
      </c>
      <c r="E4" s="116"/>
      <c r="F4" s="116"/>
      <c r="G4" s="31" t="str">
        <f>B31</f>
        <v>Caua</v>
      </c>
      <c r="H4" s="63"/>
      <c r="I4" s="63"/>
      <c r="J4" s="63"/>
      <c r="K4" s="63"/>
      <c r="L4" s="16" t="str">
        <f>B32</f>
        <v>Marcelo</v>
      </c>
      <c r="M4" s="13" t="str">
        <f>IF(OR(Games_4191[[#This Row],[SCORE 1]]="",Games_4191[[#This Row],[SCORE 2]]=""),"",Games_4191[[#This Row],[SCORE 1]]-Games_4191[[#This Row],[SCORE 2]])</f>
        <v/>
      </c>
      <c r="N4" s="13" t="str">
        <f>IF(OR(Games_4191[[#This Row],[SCORE 1]]="",Games_4191[[#This Row],[SCORE 2]]=""),"",Games_4191[[#This Row],[SCORE 2]]-Games_4191[[#This Row],[SCORE 1]])</f>
        <v/>
      </c>
      <c r="O4" s="13" t="str">
        <f>IF(Games_4191[[#This Row],[SCORE 1]]="","",Games_4191[[#This Row],[SCORE 1]])</f>
        <v/>
      </c>
      <c r="P4" s="13" t="str">
        <f>IF(Games_4191[[#This Row],[SCORE 2]]="","",Games_4191[[#This Row],[SCORE 2]])</f>
        <v/>
      </c>
      <c r="Q4" s="13" t="str">
        <f>IF(OR(Games_4191[[#This Row],[SCORE 1]]="",Games_4191[[#This Row],[SCORE 2]]=""),"",IF(Games_4191[[#This Row],[SALDO 12]]&gt;0, "WIN","LOSE"))</f>
        <v/>
      </c>
      <c r="R4" s="13" t="str">
        <f>IF(OR(Games_4191[[#This Row],[SCORE 1]]="",Games_4191[[#This Row],[SCORE 2]]=""),"",IF(Games_4191[[#This Row],[SALDO 34]]&gt;0, "WIN","LOSE"))</f>
        <v/>
      </c>
      <c r="T4" s="66" t="str">
        <f>_xlfn.XLOOKUP(Table152028325060729321194[[#This Row],[Rank]],$M$36:$R$36,$M$35:$R$35,"")</f>
        <v/>
      </c>
      <c r="U4" s="67" t="s">
        <v>22</v>
      </c>
    </row>
    <row r="5" spans="1:21">
      <c r="A5" s="551"/>
      <c r="B5" s="13" t="s">
        <v>225</v>
      </c>
      <c r="C5" s="1" t="str">
        <f>B35</f>
        <v>Andrew</v>
      </c>
      <c r="D5" s="32" t="str">
        <f>B36</f>
        <v>Joao</v>
      </c>
      <c r="E5" s="116"/>
      <c r="F5" s="116"/>
      <c r="G5" s="31" t="str">
        <f>B37</f>
        <v>Jerry Ruiz</v>
      </c>
      <c r="H5" s="63"/>
      <c r="I5" s="63"/>
      <c r="J5" s="63"/>
      <c r="K5" s="63"/>
      <c r="L5" s="16" t="str">
        <f>B38</f>
        <v>Rafa</v>
      </c>
      <c r="M5" s="13" t="str">
        <f>IF(OR(Games_4191[[#This Row],[SCORE 1]]="",Games_4191[[#This Row],[SCORE 2]]=""),"",Games_4191[[#This Row],[SCORE 1]]-Games_4191[[#This Row],[SCORE 2]])</f>
        <v/>
      </c>
      <c r="N5" s="13" t="str">
        <f>IF(OR(Games_4191[[#This Row],[SCORE 1]]="",Games_4191[[#This Row],[SCORE 2]]=""),"",Games_4191[[#This Row],[SCORE 2]]-Games_4191[[#This Row],[SCORE 1]])</f>
        <v/>
      </c>
      <c r="O5" s="13" t="str">
        <f>IF(Games_4191[[#This Row],[SCORE 1]]="","",Games_4191[[#This Row],[SCORE 1]])</f>
        <v/>
      </c>
      <c r="P5" s="13" t="str">
        <f>IF(Games_4191[[#This Row],[SCORE 2]]="","",Games_4191[[#This Row],[SCORE 2]])</f>
        <v/>
      </c>
      <c r="Q5" s="13" t="str">
        <f>IF(OR(Games_4191[[#This Row],[SCORE 1]]="",Games_4191[[#This Row],[SCORE 2]]=""),"",IF(Games_4191[[#This Row],[SALDO 12]]&gt;0, "WIN","LOSE"))</f>
        <v/>
      </c>
      <c r="R5" s="13" t="str">
        <f>IF(OR(Games_4191[[#This Row],[SCORE 1]]="",Games_4191[[#This Row],[SCORE 2]]=""),"",IF(Games_4191[[#This Row],[SALDO 34]]&gt;0, "WIN","LOSE"))</f>
        <v/>
      </c>
      <c r="T5" s="66" t="str">
        <f>_xlfn.XLOOKUP(Table152028325060729321194[[#This Row],[Rank]],$M$29:$R$29,$M$28:$R$28,"")</f>
        <v/>
      </c>
      <c r="U5" s="67" t="s">
        <v>25</v>
      </c>
    </row>
    <row r="6" spans="1:21">
      <c r="A6" s="551"/>
      <c r="B6" s="13" t="s">
        <v>178</v>
      </c>
      <c r="C6" s="1" t="str">
        <f>B17</f>
        <v>Bruno C.</v>
      </c>
      <c r="D6" s="32" t="str">
        <f>B20</f>
        <v>Matheus L.</v>
      </c>
      <c r="E6" s="116"/>
      <c r="F6" s="116"/>
      <c r="G6" s="31" t="str">
        <f>B18</f>
        <v>Luiz</v>
      </c>
      <c r="H6" s="63"/>
      <c r="I6" s="63"/>
      <c r="J6" s="63"/>
      <c r="K6" s="63"/>
      <c r="L6" s="16" t="str">
        <f>B19</f>
        <v>Lucas</v>
      </c>
      <c r="M6" s="13" t="str">
        <f>IF(OR(Games_4191[[#This Row],[SCORE 1]]="",Games_4191[[#This Row],[SCORE 2]]=""),"",Games_4191[[#This Row],[SCORE 1]]-Games_4191[[#This Row],[SCORE 2]])</f>
        <v/>
      </c>
      <c r="N6" s="13" t="str">
        <f>IF(OR(Games_4191[[#This Row],[SCORE 1]]="",Games_4191[[#This Row],[SCORE 2]]=""),"",Games_4191[[#This Row],[SCORE 2]]-Games_4191[[#This Row],[SCORE 1]])</f>
        <v/>
      </c>
      <c r="O6" s="13" t="str">
        <f>IF(Games_4191[[#This Row],[SCORE 1]]="","",Games_4191[[#This Row],[SCORE 1]])</f>
        <v/>
      </c>
      <c r="P6" s="13" t="str">
        <f>IF(Games_4191[[#This Row],[SCORE 2]]="","",Games_4191[[#This Row],[SCORE 2]])</f>
        <v/>
      </c>
      <c r="Q6" s="13" t="str">
        <f>IF(OR(Games_4191[[#This Row],[SCORE 1]]="",Games_4191[[#This Row],[SCORE 2]]=""),"",IF(Games_4191[[#This Row],[SALDO 12]]&gt;0, "WIN","LOSE"))</f>
        <v/>
      </c>
      <c r="R6" s="13" t="str">
        <f>IF(OR(Games_4191[[#This Row],[SCORE 1]]="",Games_4191[[#This Row],[SCORE 2]]=""),"",IF(Games_4191[[#This Row],[SALDO 34]]&gt;0, "WIN","LOSE"))</f>
        <v/>
      </c>
      <c r="T6" s="66" t="str">
        <f>_xlfn.XLOOKUP(Table152028325060729321194[[#This Row],[Rank]],$M$29:$R$29,$M$28:$R$28,"")</f>
        <v/>
      </c>
      <c r="U6" s="67" t="s">
        <v>28</v>
      </c>
    </row>
    <row r="7" spans="1:21">
      <c r="A7" s="551"/>
      <c r="B7" s="13" t="s">
        <v>180</v>
      </c>
      <c r="C7" s="1" t="str">
        <f>B23</f>
        <v>Felipe R.</v>
      </c>
      <c r="D7" s="32" t="str">
        <f>B26</f>
        <v>Zuna</v>
      </c>
      <c r="E7" s="116"/>
      <c r="F7" s="116"/>
      <c r="G7" s="31" t="str">
        <f>B24</f>
        <v>Bebeto</v>
      </c>
      <c r="H7" s="63"/>
      <c r="I7" s="63"/>
      <c r="J7" s="63"/>
      <c r="K7" s="63"/>
      <c r="L7" s="16" t="str">
        <f>B25</f>
        <v>Harrinho</v>
      </c>
      <c r="M7" s="13" t="str">
        <f>IF(OR(Games_4191[[#This Row],[SCORE 1]]="",Games_4191[[#This Row],[SCORE 2]]=""),"",Games_4191[[#This Row],[SCORE 1]]-Games_4191[[#This Row],[SCORE 2]])</f>
        <v/>
      </c>
      <c r="N7" s="13" t="str">
        <f>IF(OR(Games_4191[[#This Row],[SCORE 1]]="",Games_4191[[#This Row],[SCORE 2]]=""),"",Games_4191[[#This Row],[SCORE 2]]-Games_4191[[#This Row],[SCORE 1]])</f>
        <v/>
      </c>
      <c r="O7" s="13" t="str">
        <f>IF(Games_4191[[#This Row],[SCORE 1]]="","",Games_4191[[#This Row],[SCORE 1]])</f>
        <v/>
      </c>
      <c r="P7" s="13" t="str">
        <f>IF(Games_4191[[#This Row],[SCORE 2]]="","",Games_4191[[#This Row],[SCORE 2]])</f>
        <v/>
      </c>
      <c r="Q7" s="13" t="str">
        <f>IF(OR(Games_4191[[#This Row],[SCORE 1]]="",Games_4191[[#This Row],[SCORE 2]]=""),"",IF(Games_4191[[#This Row],[SALDO 12]]&gt;0, "WIN","LOSE"))</f>
        <v/>
      </c>
      <c r="R7" s="13" t="str">
        <f>IF(OR(Games_4191[[#This Row],[SCORE 1]]="",Games_4191[[#This Row],[SCORE 2]]=""),"",IF(Games_4191[[#This Row],[SALDO 34]]&gt;0, "WIN","LOSE"))</f>
        <v/>
      </c>
      <c r="T7" s="66" t="str" cm="1">
        <f t="array" ref="T7">_xlfn.TEXTJOIN(", ", TRUE, _xlfn._xlws.FILTER($T$27:$W$27, $T$26:$W$26=U7,""))</f>
        <v/>
      </c>
      <c r="U7" s="67" t="s">
        <v>31</v>
      </c>
    </row>
    <row r="8" spans="1:21">
      <c r="A8" s="551"/>
      <c r="B8" s="13" t="s">
        <v>181</v>
      </c>
      <c r="C8" s="1" t="str">
        <f>B29</f>
        <v>Tizoc</v>
      </c>
      <c r="D8" s="32" t="str">
        <f>B32</f>
        <v>Marcelo</v>
      </c>
      <c r="E8" s="116"/>
      <c r="F8" s="116"/>
      <c r="G8" s="31" t="str">
        <f>B30</f>
        <v>Pedro It.</v>
      </c>
      <c r="H8" s="63"/>
      <c r="I8" s="63"/>
      <c r="J8" s="63"/>
      <c r="K8" s="63"/>
      <c r="L8" s="16" t="str">
        <f>B31</f>
        <v>Caua</v>
      </c>
      <c r="M8" s="13" t="str">
        <f>IF(OR(Games_4191[[#This Row],[SCORE 1]]="",Games_4191[[#This Row],[SCORE 2]]=""),"",Games_4191[[#This Row],[SCORE 1]]-Games_4191[[#This Row],[SCORE 2]])</f>
        <v/>
      </c>
      <c r="N8" s="13" t="str">
        <f>IF(OR(Games_4191[[#This Row],[SCORE 1]]="",Games_4191[[#This Row],[SCORE 2]]=""),"",Games_4191[[#This Row],[SCORE 2]]-Games_4191[[#This Row],[SCORE 1]])</f>
        <v/>
      </c>
      <c r="O8" s="13" t="str">
        <f>IF(Games_4191[[#This Row],[SCORE 1]]="","",Games_4191[[#This Row],[SCORE 1]])</f>
        <v/>
      </c>
      <c r="P8" s="13" t="str">
        <f>IF(Games_4191[[#This Row],[SCORE 2]]="","",Games_4191[[#This Row],[SCORE 2]])</f>
        <v/>
      </c>
      <c r="Q8" s="13" t="str">
        <f>IF(OR(Games_4191[[#This Row],[SCORE 1]]="",Games_4191[[#This Row],[SCORE 2]]=""),"",IF(Games_4191[[#This Row],[SALDO 12]]&gt;0, "WIN","LOSE"))</f>
        <v/>
      </c>
      <c r="R8" s="13" t="str">
        <f>IF(OR(Games_4191[[#This Row],[SCORE 1]]="",Games_4191[[#This Row],[SCORE 2]]=""),"",IF(Games_4191[[#This Row],[SALDO 34]]&gt;0, "WIN","LOSE"))</f>
        <v/>
      </c>
      <c r="T8" s="66" t="str" cm="1">
        <f t="array" ref="T8">_xlfn.TEXTJOIN(", ", TRUE, _xlfn._xlws.FILTER($T$27:$W$27, $T$26:$W$26=U8,""))</f>
        <v/>
      </c>
      <c r="U8" s="67" t="s">
        <v>34</v>
      </c>
    </row>
    <row r="9" spans="1:21">
      <c r="A9" s="551"/>
      <c r="B9" s="13" t="s">
        <v>225</v>
      </c>
      <c r="C9" s="1" t="str">
        <f>B35</f>
        <v>Andrew</v>
      </c>
      <c r="D9" s="32" t="str">
        <f>B38</f>
        <v>Rafa</v>
      </c>
      <c r="E9" s="116"/>
      <c r="F9" s="116"/>
      <c r="G9" s="31" t="str">
        <f>B36</f>
        <v>Joao</v>
      </c>
      <c r="H9" s="63"/>
      <c r="I9" s="63"/>
      <c r="J9" s="63"/>
      <c r="K9" s="63"/>
      <c r="L9" s="16" t="str">
        <f>B37</f>
        <v>Jerry Ruiz</v>
      </c>
      <c r="M9" s="13" t="str">
        <f>IF(OR(Games_4191[[#This Row],[SCORE 1]]="",Games_4191[[#This Row],[SCORE 2]]=""),"",Games_4191[[#This Row],[SCORE 1]]-Games_4191[[#This Row],[SCORE 2]])</f>
        <v/>
      </c>
      <c r="N9" s="13" t="str">
        <f>IF(OR(Games_4191[[#This Row],[SCORE 1]]="",Games_4191[[#This Row],[SCORE 2]]=""),"",Games_4191[[#This Row],[SCORE 2]]-Games_4191[[#This Row],[SCORE 1]])</f>
        <v/>
      </c>
      <c r="O9" s="13" t="str">
        <f>IF(Games_4191[[#This Row],[SCORE 1]]="","",Games_4191[[#This Row],[SCORE 1]])</f>
        <v/>
      </c>
      <c r="P9" s="13" t="str">
        <f>IF(Games_4191[[#This Row],[SCORE 2]]="","",Games_4191[[#This Row],[SCORE 2]])</f>
        <v/>
      </c>
      <c r="Q9" s="13" t="str">
        <f>IF(OR(Games_4191[[#This Row],[SCORE 1]]="",Games_4191[[#This Row],[SCORE 2]]=""),"",IF(Games_4191[[#This Row],[SALDO 12]]&gt;0, "WIN","LOSE"))</f>
        <v/>
      </c>
      <c r="R9" s="13" t="str">
        <f>IF(OR(Games_4191[[#This Row],[SCORE 1]]="",Games_4191[[#This Row],[SCORE 2]]=""),"",IF(Games_4191[[#This Row],[SALDO 34]]&gt;0, "WIN","LOSE"))</f>
        <v/>
      </c>
      <c r="T9" s="66" t="str" cm="1">
        <f t="array" ref="T9">_xlfn.TEXTJOIN(", ", TRUE, _xlfn._xlws.FILTER($T$27:$W$27, $T$26:$W$26=U9,""))</f>
        <v/>
      </c>
      <c r="U9" s="67" t="s">
        <v>37</v>
      </c>
    </row>
    <row r="10" spans="1:21">
      <c r="A10" s="551"/>
      <c r="B10" s="13" t="s">
        <v>178</v>
      </c>
      <c r="C10" s="1" t="str">
        <f>B17</f>
        <v>Bruno C.</v>
      </c>
      <c r="D10" s="32" t="str">
        <f>B19</f>
        <v>Lucas</v>
      </c>
      <c r="E10" s="116"/>
      <c r="F10" s="116"/>
      <c r="G10" s="31" t="str">
        <f>B20</f>
        <v>Matheus L.</v>
      </c>
      <c r="H10" s="63"/>
      <c r="I10" s="63"/>
      <c r="J10" s="63"/>
      <c r="K10" s="63"/>
      <c r="L10" s="16" t="str">
        <f>B18</f>
        <v>Luiz</v>
      </c>
      <c r="M10" s="13" t="str">
        <f>IF(OR(Games_4191[[#This Row],[SCORE 1]]="",Games_4191[[#This Row],[SCORE 2]]=""),"",Games_4191[[#This Row],[SCORE 1]]-Games_4191[[#This Row],[SCORE 2]])</f>
        <v/>
      </c>
      <c r="N10" s="13" t="str">
        <f>IF(OR(Games_4191[[#This Row],[SCORE 1]]="",Games_4191[[#This Row],[SCORE 2]]=""),"",Games_4191[[#This Row],[SCORE 2]]-Games_4191[[#This Row],[SCORE 1]])</f>
        <v/>
      </c>
      <c r="O10" s="13" t="str">
        <f>IF(Games_4191[[#This Row],[SCORE 1]]="","",Games_4191[[#This Row],[SCORE 1]])</f>
        <v/>
      </c>
      <c r="P10" s="13" t="str">
        <f>IF(Games_4191[[#This Row],[SCORE 2]]="","",Games_4191[[#This Row],[SCORE 2]])</f>
        <v/>
      </c>
      <c r="Q10" s="13" t="str">
        <f>IF(OR(Games_4191[[#This Row],[SCORE 1]]="",Games_4191[[#This Row],[SCORE 2]]=""),"",IF(Games_4191[[#This Row],[SALDO 12]]&gt;0, "WIN","LOSE"))</f>
        <v/>
      </c>
      <c r="R10" s="13" t="str">
        <f>IF(OR(Games_4191[[#This Row],[SCORE 1]]="",Games_4191[[#This Row],[SCORE 2]]=""),"",IF(Games_4191[[#This Row],[SALDO 34]]&gt;0, "WIN","LOSE"))</f>
        <v/>
      </c>
      <c r="T10" s="66" t="str" cm="1">
        <f t="array" ref="T10">_xlfn.TEXTJOIN(", ", TRUE, _xlfn._xlws.FILTER($T$27:$W$27, $T$26:$W$26=U10,""))</f>
        <v/>
      </c>
      <c r="U10" s="67" t="s">
        <v>41</v>
      </c>
    </row>
    <row r="11" spans="1:21">
      <c r="A11" s="551"/>
      <c r="B11" s="13" t="s">
        <v>180</v>
      </c>
      <c r="C11" s="1" t="str">
        <f>B23</f>
        <v>Felipe R.</v>
      </c>
      <c r="D11" s="32" t="str">
        <f>B25</f>
        <v>Harrinho</v>
      </c>
      <c r="E11" s="116"/>
      <c r="F11" s="116"/>
      <c r="G11" s="31" t="str">
        <f>B26</f>
        <v>Zuna</v>
      </c>
      <c r="H11" s="63"/>
      <c r="I11" s="63"/>
      <c r="J11" s="63"/>
      <c r="K11" s="63"/>
      <c r="L11" s="16" t="str">
        <f>B24</f>
        <v>Bebeto</v>
      </c>
      <c r="M11" s="13" t="str">
        <f>IF(OR(Games_4191[[#This Row],[SCORE 1]]="",Games_4191[[#This Row],[SCORE 2]]=""),"",Games_4191[[#This Row],[SCORE 1]]-Games_4191[[#This Row],[SCORE 2]])</f>
        <v/>
      </c>
      <c r="N11" s="13" t="str">
        <f>IF(OR(Games_4191[[#This Row],[SCORE 1]]="",Games_4191[[#This Row],[SCORE 2]]=""),"",Games_4191[[#This Row],[SCORE 2]]-Games_4191[[#This Row],[SCORE 1]])</f>
        <v/>
      </c>
      <c r="O11" s="13" t="str">
        <f>IF(Games_4191[[#This Row],[SCORE 1]]="","",Games_4191[[#This Row],[SCORE 1]])</f>
        <v/>
      </c>
      <c r="P11" s="13" t="str">
        <f>IF(Games_4191[[#This Row],[SCORE 2]]="","",Games_4191[[#This Row],[SCORE 2]])</f>
        <v/>
      </c>
      <c r="Q11" s="13" t="str">
        <f>IF(OR(Games_4191[[#This Row],[SCORE 1]]="",Games_4191[[#This Row],[SCORE 2]]=""),"",IF(Games_4191[[#This Row],[SALDO 12]]&gt;0, "WIN","LOSE"))</f>
        <v/>
      </c>
      <c r="R11" s="13" t="str">
        <f>IF(OR(Games_4191[[#This Row],[SCORE 1]]="",Games_4191[[#This Row],[SCORE 2]]=""),"",IF(Games_4191[[#This Row],[SALDO 34]]&gt;0, "WIN","LOSE"))</f>
        <v/>
      </c>
      <c r="T11" s="66" t="str" cm="1">
        <f t="array" ref="T11">IF(COUNTBLANK(Games_4191[[SCORE 1]:[SCORE 2]])=0,_xlfn.TEXTJOIN(", ", TRUE, _xlfn._xlws.FILTER($K$17:$K$32, $J$17:$J$32=U11, "")),"")</f>
        <v/>
      </c>
      <c r="U11" s="67" t="s">
        <v>44</v>
      </c>
    </row>
    <row r="12" spans="1:21">
      <c r="A12" s="551"/>
      <c r="B12" s="13" t="s">
        <v>181</v>
      </c>
      <c r="C12" s="1" t="str">
        <f>B29</f>
        <v>Tizoc</v>
      </c>
      <c r="D12" s="32" t="str">
        <f>B31</f>
        <v>Caua</v>
      </c>
      <c r="E12" s="116"/>
      <c r="F12" s="116"/>
      <c r="G12" s="31" t="str">
        <f>B32</f>
        <v>Marcelo</v>
      </c>
      <c r="H12" s="63"/>
      <c r="I12" s="63"/>
      <c r="J12" s="63"/>
      <c r="K12" s="63"/>
      <c r="L12" s="16" t="str">
        <f>B30</f>
        <v>Pedro It.</v>
      </c>
      <c r="M12" s="13" t="str">
        <f>IF(OR(Games_4191[[#This Row],[SCORE 1]]="",Games_4191[[#This Row],[SCORE 2]]=""),"",Games_4191[[#This Row],[SCORE 1]]-Games_4191[[#This Row],[SCORE 2]])</f>
        <v/>
      </c>
      <c r="N12" s="13" t="str">
        <f>IF(OR(Games_4191[[#This Row],[SCORE 1]]="",Games_4191[[#This Row],[SCORE 2]]=""),"",Games_4191[[#This Row],[SCORE 2]]-Games_4191[[#This Row],[SCORE 1]])</f>
        <v/>
      </c>
      <c r="O12" s="13" t="str">
        <f>IF(Games_4191[[#This Row],[SCORE 1]]="","",Games_4191[[#This Row],[SCORE 1]])</f>
        <v/>
      </c>
      <c r="P12" s="13" t="str">
        <f>IF(Games_4191[[#This Row],[SCORE 2]]="","",Games_4191[[#This Row],[SCORE 2]])</f>
        <v/>
      </c>
      <c r="Q12" s="13" t="str">
        <f>IF(OR(Games_4191[[#This Row],[SCORE 1]]="",Games_4191[[#This Row],[SCORE 2]]=""),"",IF(Games_4191[[#This Row],[SALDO 12]]&gt;0, "WIN","LOSE"))</f>
        <v/>
      </c>
      <c r="R12" s="13" t="str">
        <f>IF(OR(Games_4191[[#This Row],[SCORE 1]]="",Games_4191[[#This Row],[SCORE 2]]=""),"",IF(Games_4191[[#This Row],[SALDO 34]]&gt;0, "WIN","LOSE"))</f>
        <v/>
      </c>
      <c r="T12" s="66" t="str" cm="1">
        <f t="array" ref="T12">IF(COUNTBLANK(Games_4191[[SCORE 1]:[SCORE 2]])=0,_xlfn.TEXTJOIN(", ", TRUE, _xlfn._xlws.FILTER($K$17:$K$32, $J$17:$J$32=U12, "")),"")</f>
        <v/>
      </c>
      <c r="U12" s="67" t="s">
        <v>39</v>
      </c>
    </row>
    <row r="13" spans="1:21">
      <c r="A13" s="423"/>
      <c r="B13" s="429" t="s">
        <v>225</v>
      </c>
      <c r="C13" s="1" t="str">
        <f>B35</f>
        <v>Andrew</v>
      </c>
      <c r="D13" s="77" t="str">
        <f>B37</f>
        <v>Jerry Ruiz</v>
      </c>
      <c r="E13" s="117"/>
      <c r="F13" s="117"/>
      <c r="G13" s="76" t="str">
        <f>B38</f>
        <v>Rafa</v>
      </c>
      <c r="H13" s="76"/>
      <c r="I13" s="76"/>
      <c r="J13" s="76"/>
      <c r="K13" s="76"/>
      <c r="L13" s="22" t="str">
        <f>B36</f>
        <v>Joao</v>
      </c>
      <c r="M13" s="429" t="str">
        <f>IF(OR(Games_4191[[#This Row],[SCORE 1]]="",Games_4191[[#This Row],[SCORE 2]]=""),"",Games_4191[[#This Row],[SCORE 1]]-Games_4191[[#This Row],[SCORE 2]])</f>
        <v/>
      </c>
      <c r="N13" s="429" t="str">
        <f>IF(OR(Games_4191[[#This Row],[SCORE 1]]="",Games_4191[[#This Row],[SCORE 2]]=""),"",Games_4191[[#This Row],[SCORE 2]]-Games_4191[[#This Row],[SCORE 1]])</f>
        <v/>
      </c>
      <c r="O13" s="429" t="str">
        <f>IF(Games_4191[[#This Row],[SCORE 1]]="","",Games_4191[[#This Row],[SCORE 1]])</f>
        <v/>
      </c>
      <c r="P13" s="429" t="str">
        <f>IF(Games_4191[[#This Row],[SCORE 2]]="","",Games_4191[[#This Row],[SCORE 2]])</f>
        <v/>
      </c>
      <c r="Q13" s="429" t="str">
        <f>IF(OR(Games_4191[[#This Row],[SCORE 1]]="",Games_4191[[#This Row],[SCORE 2]]=""),"",IF(Games_4191[[#This Row],[SALDO 12]]&gt;0, "WIN","LOSE"))</f>
        <v/>
      </c>
      <c r="R13" s="429" t="str">
        <f>IF(OR(Games_4191[[#This Row],[SCORE 1]]="",Games_4191[[#This Row],[SCORE 2]]=""),"",IF(Games_4191[[#This Row],[SALDO 34]]&gt;0, "WIN","LOSE"))</f>
        <v/>
      </c>
      <c r="T13" s="66" t="str" cm="1">
        <f t="array" ref="T13">IF(COUNTBLANK(Games_4191[[SCORE 1]:[SCORE 2]])=0,_xlfn.TEXTJOIN(", ", TRUE, _xlfn._xlws.FILTER($K$17:$K$32, $J$17:$J$32=U13, "")),"")</f>
        <v/>
      </c>
      <c r="U13" s="67" t="s">
        <v>49</v>
      </c>
    </row>
    <row r="14" spans="1:21">
      <c r="T14" s="66" t="str" cm="1">
        <f t="array" ref="T14">IF(COUNTBLANK(Games_4191[[SCORE 1]:[SCORE 2]])=0,_xlfn.TEXTJOIN(", ", TRUE, _xlfn._xlws.FILTER($K$17:$K$32, $J$17:$J$32=U14, "")),"")</f>
        <v/>
      </c>
      <c r="U14" s="67" t="s">
        <v>51</v>
      </c>
    </row>
    <row r="15" spans="1:21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48" t="s">
        <v>183</v>
      </c>
      <c r="N15" s="549"/>
      <c r="O15" s="549"/>
      <c r="P15" s="549"/>
      <c r="Q15" s="549"/>
      <c r="R15" s="549"/>
      <c r="T15" s="66" t="str" cm="1">
        <f t="array" ref="T15">IF(COUNTBLANK(Games_4191[[SCORE 1]:[SCORE 2]])=0,_xlfn.TEXTJOIN(", ", TRUE, _xlfn._xlws.FILTER($K$17:$K$32, $J$17:$J$32=U15, "")),"")</f>
        <v/>
      </c>
      <c r="U15" s="67" t="s">
        <v>47</v>
      </c>
    </row>
    <row r="16" spans="1:21" ht="15.95">
      <c r="A16" s="6" t="s">
        <v>184</v>
      </c>
      <c r="B16" s="7" t="s">
        <v>185</v>
      </c>
      <c r="C16" s="7" t="s">
        <v>186</v>
      </c>
      <c r="D16" s="7" t="s">
        <v>187</v>
      </c>
      <c r="E16" s="7" t="s">
        <v>188</v>
      </c>
      <c r="F16" s="7" t="s">
        <v>189</v>
      </c>
      <c r="G16" s="7" t="s">
        <v>8</v>
      </c>
      <c r="H16" s="80" t="s">
        <v>204</v>
      </c>
      <c r="I16" s="20" t="s">
        <v>191</v>
      </c>
      <c r="J16" s="20" t="s">
        <v>192</v>
      </c>
      <c r="K16" s="20" t="s">
        <v>1</v>
      </c>
      <c r="L16" s="20" t="s">
        <v>192</v>
      </c>
      <c r="M16" s="418" t="s">
        <v>193</v>
      </c>
      <c r="N16" s="418" t="s">
        <v>194</v>
      </c>
      <c r="O16" s="542" t="s">
        <v>195</v>
      </c>
      <c r="P16" s="543"/>
      <c r="Q16" s="418" t="s">
        <v>196</v>
      </c>
      <c r="R16" s="418" t="s">
        <v>197</v>
      </c>
      <c r="T16" s="66" t="str" cm="1">
        <f t="array" ref="T16">IF(COUNTBLANK(Games_4191[[SCORE 1]:[SCORE 2]])=0,_xlfn.TEXTJOIN(", ", TRUE, _xlfn._xlws.FILTER($K$17:$K$32, $J$17:$J$32=U16, "")),"")</f>
        <v/>
      </c>
      <c r="U16" s="67" t="s">
        <v>57</v>
      </c>
    </row>
    <row r="17" spans="1:27">
      <c r="A17" s="4" t="s">
        <v>205</v>
      </c>
      <c r="B17" s="118" t="s">
        <v>91</v>
      </c>
      <c r="C17" s="14">
        <f>SUM(COUNTIFS(Games_4191[ATHLETE 1],Analysis_9192[[#This Row],[Atheletes ]],Games_4191[RESULT 12],Analysis_9192[[#Headers],[WIN]]),COUNTIFS(Games_4191[ATHLETE 2],Analysis_9192[[#This Row],[Atheletes ]],Games_4191[RESULT 12],Analysis_9192[[#Headers],[WIN]]),COUNTIFS(Games_4191[ATHLETE 3],Analysis_9192[[#This Row],[Atheletes ]],Games_4191[RESULT 34],Analysis_9192[[#Headers],[WIN]]),COUNTIFS(Games_4191[ATHLETE 4],Analysis_9192[[#This Row],[Atheletes ]],Games_4191[RESULT 34],Analysis_9192[[#Headers],[WIN]]))</f>
        <v>0</v>
      </c>
      <c r="D17" s="14">
        <f>SUM(COUNTIFS(Games_4191[ATHLETE 1],Analysis_9192[[#This Row],[Atheletes ]],Games_4191[RESULT 12],Analysis_9192[[#Headers],[LOSE]]),COUNTIFS(Games_4191[ATHLETE 2],Analysis_9192[[#This Row],[Atheletes ]],Games_4191[RESULT 12],Analysis_9192[[#Headers],[LOSE]]),COUNTIFS(Games_4191[ATHLETE 3],Analysis_9192[[#This Row],[Atheletes ]],Games_4191[RESULT 34],Analysis_9192[[#Headers],[LOSE]]),COUNTIFS(Games_4191[ATHLETE 4],Analysis_9192[[#This Row],[Atheletes ]],Games_4191[RESULT 34],Analysis_9192[[#Headers],[LOSE]]))</f>
        <v>0</v>
      </c>
      <c r="E17" s="19">
        <f>SUM(SUMIF(Games_4191[ATHLETE 1],Analysis_9192[[#This Row],[Atheletes ]],Games_4191[SALDO 12]),SUMIF(Games_4191[ATHLETE 2],Analysis_9192[[#This Row],[Atheletes ]],Games_4191[SALDO 12]),SUMIF(Games_4191[ATHLETE 3],Analysis_9192[[#This Row],[Atheletes ]],Games_4191[SALDO 34]),SUMIF(Games_4191[ATHLETE 4],Analysis_9192[[#This Row],[Atheletes ]],Games_4191[SALDO 34]))</f>
        <v>0</v>
      </c>
      <c r="F17" s="19">
        <f>SUM(SUMIF(Games_4191[ATHLETE 1],Analysis_9192[[#This Row],[Atheletes ]],Games_4191[PM 12]),SUMIF(Games_4191[ATHLETE 2],Analysis_9192[[#This Row],[Atheletes ]],Games_4191[PM 12]),SUMIF(Games_4191[ATHLETE 3],Analysis_9192[[#This Row],[Atheletes ]],Games_4191[PM 34]),SUMIF(Games_4191[ATHLETE 4],Analysis_9192[[#This Row],[Atheletes ]],Games_4191[PM 34]))</f>
        <v>0</v>
      </c>
      <c r="G17" s="14" t="str">
        <f>IF(COUNTBLANK(Games_4191[[SCORE 1]:[SCORE 2]])=0,IF(RANK(H17,$H$17:$H$20)=1,RANK(H17,$H$17:$H$20)&amp;"st",IF(RANK(H17,$H$17:$H$20)=2,RANK(H17,$H$17:$H$20)&amp;"nd",IF(RANK(H17,$H$17:$H$20)=3,RANK(H17,$H$17:$H$20)&amp;"rd",RANK(H17,$H$17:$H$20)&amp;"th"))),"")</f>
        <v/>
      </c>
      <c r="H17" s="51" t="str">
        <f>IF(COUNTBLANK(Games_4191[[SCORE 1]:[SCORE 2]])=0,Analysis_9192[[#This Row],[WIN]]*1000000+Analysis_9192[[#This Row],[Saldo]]*1000+Analysis_9192[[#This Row],[PM]],"")</f>
        <v/>
      </c>
      <c r="I17" s="2" t="str">
        <f>H17</f>
        <v/>
      </c>
      <c r="J17" s="2" t="str">
        <f>IF(COUNTBLANK(Games_4191[[SCORE 1]:[SCORE 2]])=0,IF(RANK(I17,$I$17:$I$32)=1,RANK(I17,$I$17:$I$32)&amp;"st",IF(RANK(I17,$I$17:$I$32)=2,RANK(I17,$I$17:$I$32)&amp;"nd",IF(RANK(I17,$I$17:$I$32)=3,RANK(I17,$I$17:$I$32)&amp;"rd",RANK(I17,$I$17:$I$32)&amp;"th"))),"")</f>
        <v/>
      </c>
      <c r="K17" s="38" t="str">
        <f>Analysis_9192[[#This Row],[Atheletes ]]</f>
        <v>Bruno C.</v>
      </c>
      <c r="L17" s="44" t="str">
        <f>J17</f>
        <v/>
      </c>
      <c r="M17" s="428" t="str" cm="1">
        <f t="array" ref="M17">_xlfn.TEXTJOIN(", ", TRUE, _xlfn._xlws.FILTER($K$17:$K$32, $J$17:$J$32=$U$3, ""))</f>
        <v/>
      </c>
      <c r="N17" s="428" t="str" cm="1">
        <f t="array" ref="N17">_xlfn.TEXTJOIN(", ", TRUE, _xlfn._xlws.FILTER($K$17:$K$32, $J$17:$J$32=$U$4, ""))</f>
        <v/>
      </c>
      <c r="O17" s="119"/>
      <c r="P17" s="120"/>
      <c r="Q17" s="428" t="str" cm="1">
        <f t="array" ref="Q17">_xlfn.TEXTJOIN(", ", TRUE, _xlfn._xlws.FILTER($K$17:$K$32, $J$17:$J$32=$U$9, ""))</f>
        <v/>
      </c>
      <c r="R17" s="428" t="str" cm="1">
        <f t="array" ref="R17">_xlfn.TEXTJOIN(", ", TRUE, _xlfn._xlws.FILTER($K$17:$K$32, $J$17:$J$32=$U$10, ""))</f>
        <v/>
      </c>
      <c r="S17" s="68"/>
      <c r="T17" s="66" t="str" cm="1">
        <f t="array" ref="T17">IF(COUNTBLANK(Games_4191[[SCORE 1]:[SCORE 2]])=0,_xlfn.TEXTJOIN(", ", TRUE, _xlfn._xlws.FILTER($K$17:$K$32, $J$17:$J$32=U17, "")),"")</f>
        <v/>
      </c>
      <c r="U17" s="67" t="s">
        <v>60</v>
      </c>
    </row>
    <row r="18" spans="1:27">
      <c r="A18" s="3" t="s">
        <v>206</v>
      </c>
      <c r="B18" s="118" t="s">
        <v>354</v>
      </c>
      <c r="C18" s="14">
        <f>SUM(COUNTIFS(Games_4191[ATHLETE 1],Analysis_9192[[#This Row],[Atheletes ]],Games_4191[RESULT 12],Analysis_9192[[#Headers],[WIN]]),COUNTIFS(Games_4191[ATHLETE 2],Analysis_9192[[#This Row],[Atheletes ]],Games_4191[RESULT 12],Analysis_9192[[#Headers],[WIN]]),COUNTIFS(Games_4191[ATHLETE 3],Analysis_9192[[#This Row],[Atheletes ]],Games_4191[RESULT 34],Analysis_9192[[#Headers],[WIN]]),COUNTIFS(Games_4191[ATHLETE 4],Analysis_9192[[#This Row],[Atheletes ]],Games_4191[RESULT 34],Analysis_9192[[#Headers],[WIN]]))</f>
        <v>0</v>
      </c>
      <c r="D18" s="14">
        <f>SUM(COUNTIFS(Games_4191[ATHLETE 1],Analysis_9192[[#This Row],[Atheletes ]],Games_4191[RESULT 12],Analysis_9192[[#Headers],[LOSE]]),COUNTIFS(Games_4191[ATHLETE 2],Analysis_9192[[#This Row],[Atheletes ]],Games_4191[RESULT 12],Analysis_9192[[#Headers],[LOSE]]),COUNTIFS(Games_4191[ATHLETE 3],Analysis_9192[[#This Row],[Atheletes ]],Games_4191[RESULT 34],Analysis_9192[[#Headers],[LOSE]]),COUNTIFS(Games_4191[ATHLETE 4],Analysis_9192[[#This Row],[Atheletes ]],Games_4191[RESULT 34],Analysis_9192[[#Headers],[LOSE]]))</f>
        <v>0</v>
      </c>
      <c r="E18" s="19">
        <f>SUM(SUMIF(Games_4191[ATHLETE 1],Analysis_9192[[#This Row],[Atheletes ]],Games_4191[SALDO 12]),SUMIF(Games_4191[ATHLETE 2],Analysis_9192[[#This Row],[Atheletes ]],Games_4191[SALDO 12]),SUMIF(Games_4191[ATHLETE 3],Analysis_9192[[#This Row],[Atheletes ]],Games_4191[SALDO 34]),SUMIF(Games_4191[ATHLETE 4],Analysis_9192[[#This Row],[Atheletes ]],Games_4191[SALDO 34]))</f>
        <v>0</v>
      </c>
      <c r="F18" s="19">
        <f>SUM(SUMIF(Games_4191[ATHLETE 1],Analysis_9192[[#This Row],[Atheletes ]],Games_4191[PM 12]),SUMIF(Games_4191[ATHLETE 2],Analysis_9192[[#This Row],[Atheletes ]],Games_4191[PM 12]),SUMIF(Games_4191[ATHLETE 3],Analysis_9192[[#This Row],[Atheletes ]],Games_4191[PM 34]),SUMIF(Games_4191[ATHLETE 4],Analysis_9192[[#This Row],[Atheletes ]],Games_4191[PM 34]))</f>
        <v>0</v>
      </c>
      <c r="G18" s="14" t="str">
        <f>IF(COUNTBLANK(Games_4191[[SCORE 1]:[SCORE 2]])=0,IF(RANK(H18,$H$17:$H$20)=1,RANK(H18,$H$17:$H$20)&amp;"st",IF(RANK(H18,$H$17:$H$20)=2,RANK(H18,$H$17:$H$20)&amp;"nd",IF(RANK(H18,$H$17:$H$20)=3,RANK(H18,$H$17:$H$20)&amp;"rd",RANK(H18,$H$17:$H$20)&amp;"th"))),"")</f>
        <v/>
      </c>
      <c r="H18" s="51" t="str">
        <f>IF(COUNTBLANK(Games_4191[[SCORE 1]:[SCORE 2]])=0,Analysis_9192[[#This Row],[WIN]]*1000000+Analysis_9192[[#This Row],[Saldo]]*1000+Analysis_9192[[#This Row],[PM]],"")</f>
        <v/>
      </c>
      <c r="I18" s="2" t="str">
        <f t="shared" ref="I18:I20" si="0">H18</f>
        <v/>
      </c>
      <c r="J18" s="2" t="str">
        <f>IF(COUNTBLANK(Games_4191[[SCORE 1]:[SCORE 2]])=0,IF(RANK(I18,$I$17:$I$32)=1,RANK(I18,$I$17:$I$32)&amp;"st",IF(RANK(I18,$I$17:$I$32)=2,RANK(I18,$I$17:$I$32)&amp;"nd",IF(RANK(I18,$I$17:$I$32)=3,RANK(I18,$I$17:$I$32)&amp;"rd",RANK(I18,$I$17:$I$32)&amp;"th"))),"")</f>
        <v/>
      </c>
      <c r="K18" s="38" t="str">
        <f>Analysis_9192[[#This Row],[Atheletes ]]</f>
        <v>Luiz</v>
      </c>
      <c r="L18" s="44" t="str">
        <f t="shared" ref="L18:L20" si="1">J18</f>
        <v/>
      </c>
      <c r="M18" s="127" t="str">
        <f>IF(OR(O18="",O23=""),"",IF($O$18="lose",IF(RANK(M19,$T$24:$W$24)=1,$U$7,IF(RANK(M19,$T$24:$W$24)=2,$U$8,IF(RANK(M19,$T$24:$W$24)=3,$U$9,$U$10))),""))</f>
        <v/>
      </c>
      <c r="N18" s="127" t="str">
        <f>IF(OR(O18="",O23=""),"",IF($O$18="lose",IF(RANK(N19,$T$24:$W$24)=1,$U$7,IF(RANK(N19,$T$24:$W$24)=2,$U$8,IF(RANK(N19,$T$24:$W$24)=3,$U$9,$U$10))),""))</f>
        <v/>
      </c>
      <c r="O18" s="2" t="str">
        <f>IF(OR(O17="",P17=""),"",IF((O17&gt;P17),"WIN","LOSE"))</f>
        <v/>
      </c>
      <c r="P18" s="2" t="str">
        <f>IF(OR(O17="",P17=""),"",IF((O17&lt;P17),"WIN","LOSE"))</f>
        <v/>
      </c>
      <c r="Q18" s="127" t="str">
        <f>IF(OR(O18="",O23=""),"",IF($P$18="lose",IF(RANK(Q19,$T$24:$W$24)=1,$U$7,IF(RANK(Q19,$T$24:$W$24)=2,$U$8,IF(RANK(Q19,$T$24:$W$24)=3,$U$9,$U$10))),""))</f>
        <v/>
      </c>
      <c r="R18" s="127" t="str">
        <f>IF(OR(O18="",O23=""),"",IF($P$18="lose",IF(RANK(R19,$T$24:$W$24)=1,$U$7,IF(RANK(R19,$T$24:$W$24)=2,$U$8,IF(RANK(R19,$T$24:$W$24)=3,$U$9,$U$10))),""))</f>
        <v/>
      </c>
      <c r="S18" s="17"/>
      <c r="T18" s="66" t="str" cm="1">
        <f t="array" ref="T18">IF(COUNTBLANK(Games_4191[[SCORE 1]:[SCORE 2]])=0,_xlfn.TEXTJOIN(", ", TRUE, _xlfn._xlws.FILTER($K$17:$K$32, $J$17:$J$32=U18, "")),"")</f>
        <v/>
      </c>
      <c r="U18" s="67" t="s">
        <v>55</v>
      </c>
    </row>
    <row r="19" spans="1:27">
      <c r="A19" s="3" t="s">
        <v>207</v>
      </c>
      <c r="B19" s="118" t="s">
        <v>355</v>
      </c>
      <c r="C19" s="14">
        <f>SUM(COUNTIFS(Games_4191[ATHLETE 1],Analysis_9192[[#This Row],[Atheletes ]],Games_4191[RESULT 12],Analysis_9192[[#Headers],[WIN]]),COUNTIFS(Games_4191[ATHLETE 2],Analysis_9192[[#This Row],[Atheletes ]],Games_4191[RESULT 12],Analysis_9192[[#Headers],[WIN]]),COUNTIFS(Games_4191[ATHLETE 3],Analysis_9192[[#This Row],[Atheletes ]],Games_4191[RESULT 34],Analysis_9192[[#Headers],[WIN]]),COUNTIFS(Games_4191[ATHLETE 4],Analysis_9192[[#This Row],[Atheletes ]],Games_4191[RESULT 34],Analysis_9192[[#Headers],[WIN]]))</f>
        <v>0</v>
      </c>
      <c r="D19" s="14">
        <f>SUM(COUNTIFS(Games_4191[ATHLETE 1],Analysis_9192[[#This Row],[Atheletes ]],Games_4191[RESULT 12],Analysis_9192[[#Headers],[LOSE]]),COUNTIFS(Games_4191[ATHLETE 2],Analysis_9192[[#This Row],[Atheletes ]],Games_4191[RESULT 12],Analysis_9192[[#Headers],[LOSE]]),COUNTIFS(Games_4191[ATHLETE 3],Analysis_9192[[#This Row],[Atheletes ]],Games_4191[RESULT 34],Analysis_9192[[#Headers],[LOSE]]),COUNTIFS(Games_4191[ATHLETE 4],Analysis_9192[[#This Row],[Atheletes ]],Games_4191[RESULT 34],Analysis_9192[[#Headers],[LOSE]]))</f>
        <v>0</v>
      </c>
      <c r="E19" s="19">
        <f>SUM(SUMIF(Games_4191[ATHLETE 1],Analysis_9192[[#This Row],[Atheletes ]],Games_4191[SALDO 12]),SUMIF(Games_4191[ATHLETE 2],Analysis_9192[[#This Row],[Atheletes ]],Games_4191[SALDO 12]),SUMIF(Games_4191[ATHLETE 3],Analysis_9192[[#This Row],[Atheletes ]],Games_4191[SALDO 34]),SUMIF(Games_4191[ATHLETE 4],Analysis_9192[[#This Row],[Atheletes ]],Games_4191[SALDO 34]))</f>
        <v>0</v>
      </c>
      <c r="F19" s="19">
        <f>SUM(SUMIF(Games_4191[ATHLETE 1],Analysis_9192[[#This Row],[Atheletes ]],Games_4191[PM 12]),SUMIF(Games_4191[ATHLETE 2],Analysis_9192[[#This Row],[Atheletes ]],Games_4191[PM 12]),SUMIF(Games_4191[ATHLETE 3],Analysis_9192[[#This Row],[Atheletes ]],Games_4191[PM 34]),SUMIF(Games_4191[ATHLETE 4],Analysis_9192[[#This Row],[Atheletes ]],Games_4191[PM 34]))</f>
        <v>0</v>
      </c>
      <c r="G19" s="14" t="str">
        <f>IF(COUNTBLANK(Games_4191[[SCORE 1]:[SCORE 2]])=0,IF(RANK(H19,$H$17:$H$20)=1,RANK(H19,$H$17:$H$20)&amp;"st",IF(RANK(H19,$H$17:$H$20)=2,RANK(H19,$H$17:$H$20)&amp;"nd",IF(RANK(H19,$H$17:$H$20)=3,RANK(H19,$H$17:$H$20)&amp;"rd",RANK(H19,$H$17:$H$20)&amp;"th"))),"")</f>
        <v/>
      </c>
      <c r="H19" s="51" t="str">
        <f>IF(COUNTBLANK(Games_4191[[SCORE 1]:[SCORE 2]])=0,Analysis_9192[[#This Row],[WIN]]*1000000+Analysis_9192[[#This Row],[Saldo]]*1000+Analysis_9192[[#This Row],[PM]],"")</f>
        <v/>
      </c>
      <c r="I19" s="2" t="str">
        <f t="shared" si="0"/>
        <v/>
      </c>
      <c r="J19" s="2" t="str">
        <f>IF(COUNTBLANK(Games_4191[[SCORE 1]:[SCORE 2]])=0,IF(RANK(I19,$I$17:$I$32)=1,RANK(I19,$I$17:$I$32)&amp;"st",IF(RANK(I19,$I$17:$I$32)=2,RANK(I19,$I$17:$I$32)&amp;"nd",IF(RANK(I19,$I$17:$I$32)=3,RANK(I19,$I$17:$I$32)&amp;"rd",RANK(I19,$I$17:$I$32)&amp;"th"))),"")</f>
        <v/>
      </c>
      <c r="K19" s="38" t="str">
        <f>Analysis_9192[[#This Row],[Atheletes ]]</f>
        <v>Lucas</v>
      </c>
      <c r="L19" s="44" t="str">
        <f t="shared" si="1"/>
        <v/>
      </c>
      <c r="M19" s="90" t="str">
        <f t="shared" ref="M19:R19" si="2">_xlfn.XLOOKUP(M17,$K$17:$K$32,$I$17:$I$32,"")</f>
        <v/>
      </c>
      <c r="N19" s="90" t="str">
        <f t="shared" si="2"/>
        <v/>
      </c>
      <c r="O19" s="90" t="str">
        <f t="shared" si="2"/>
        <v/>
      </c>
      <c r="P19" s="90" t="str">
        <f t="shared" si="2"/>
        <v/>
      </c>
      <c r="Q19" s="90" t="str">
        <f t="shared" si="2"/>
        <v/>
      </c>
      <c r="R19" s="90" t="str">
        <f t="shared" si="2"/>
        <v/>
      </c>
    </row>
    <row r="20" spans="1:27" ht="15.95">
      <c r="A20" s="5" t="s">
        <v>208</v>
      </c>
      <c r="B20" s="118" t="s">
        <v>78</v>
      </c>
      <c r="C20" s="14">
        <f>SUM(COUNTIFS(Games_4191[ATHLETE 1],Analysis_9192[[#This Row],[Atheletes ]],Games_4191[RESULT 12],Analysis_9192[[#Headers],[WIN]]),COUNTIFS(Games_4191[ATHLETE 2],Analysis_9192[[#This Row],[Atheletes ]],Games_4191[RESULT 12],Analysis_9192[[#Headers],[WIN]]),COUNTIFS(Games_4191[ATHLETE 3],Analysis_9192[[#This Row],[Atheletes ]],Games_4191[RESULT 34],Analysis_9192[[#Headers],[WIN]]),COUNTIFS(Games_4191[ATHLETE 4],Analysis_9192[[#This Row],[Atheletes ]],Games_4191[RESULT 34],Analysis_9192[[#Headers],[WIN]]))</f>
        <v>0</v>
      </c>
      <c r="D20" s="14">
        <f>SUM(COUNTIFS(Games_4191[ATHLETE 1],Analysis_9192[[#This Row],[Atheletes ]],Games_4191[RESULT 12],Analysis_9192[[#Headers],[LOSE]]),COUNTIFS(Games_4191[ATHLETE 2],Analysis_9192[[#This Row],[Atheletes ]],Games_4191[RESULT 12],Analysis_9192[[#Headers],[LOSE]]),COUNTIFS(Games_4191[ATHLETE 3],Analysis_9192[[#This Row],[Atheletes ]],Games_4191[RESULT 34],Analysis_9192[[#Headers],[LOSE]]),COUNTIFS(Games_4191[ATHLETE 4],Analysis_9192[[#This Row],[Atheletes ]],Games_4191[RESULT 34],Analysis_9192[[#Headers],[LOSE]]))</f>
        <v>0</v>
      </c>
      <c r="E20" s="19">
        <f>SUM(SUMIF(Games_4191[ATHLETE 1],Analysis_9192[[#This Row],[Atheletes ]],Games_4191[SALDO 12]),SUMIF(Games_4191[ATHLETE 2],Analysis_9192[[#This Row],[Atheletes ]],Games_4191[SALDO 12]),SUMIF(Games_4191[ATHLETE 3],Analysis_9192[[#This Row],[Atheletes ]],Games_4191[SALDO 34]),SUMIF(Games_4191[ATHLETE 4],Analysis_9192[[#This Row],[Atheletes ]],Games_4191[SALDO 34]))</f>
        <v>0</v>
      </c>
      <c r="F20" s="19">
        <f>SUM(SUMIF(Games_4191[ATHLETE 1],Analysis_9192[[#This Row],[Atheletes ]],Games_4191[PM 12]),SUMIF(Games_4191[ATHLETE 2],Analysis_9192[[#This Row],[Atheletes ]],Games_4191[PM 12]),SUMIF(Games_4191[ATHLETE 3],Analysis_9192[[#This Row],[Atheletes ]],Games_4191[PM 34]),SUMIF(Games_4191[ATHLETE 4],Analysis_9192[[#This Row],[Atheletes ]],Games_4191[PM 34]))</f>
        <v>0</v>
      </c>
      <c r="G20" s="14" t="str">
        <f>IF(COUNTBLANK(Games_4191[[SCORE 1]:[SCORE 2]])=0,IF(RANK(H20,$H$17:$H$20)=1,RANK(H20,$H$17:$H$20)&amp;"st",IF(RANK(H20,$H$17:$H$20)=2,RANK(H20,$H$17:$H$20)&amp;"nd",IF(RANK(H20,$H$17:$H$20)=3,RANK(H20,$H$17:$H$20)&amp;"rd",RANK(H20,$H$17:$H$20)&amp;"th"))),"")</f>
        <v/>
      </c>
      <c r="H20" s="51" t="str">
        <f>IF(COUNTBLANK(Games_4191[[SCORE 1]:[SCORE 2]])=0,Analysis_9192[[#This Row],[WIN]]*1000000+Analysis_9192[[#This Row],[Saldo]]*1000+Analysis_9192[[#This Row],[PM]],"")</f>
        <v/>
      </c>
      <c r="I20" s="2" t="str">
        <f t="shared" si="0"/>
        <v/>
      </c>
      <c r="J20" s="2" t="str">
        <f>IF(COUNTBLANK(Games_4191[[SCORE 1]:[SCORE 2]])=0,IF(RANK(I20,$I$17:$I$32)=1,RANK(I20,$I$17:$I$32)&amp;"st",IF(RANK(I20,$I$17:$I$32)=2,RANK(I20,$I$17:$I$32)&amp;"nd",IF(RANK(I20,$I$17:$I$32)=3,RANK(I20,$I$17:$I$32)&amp;"rd",RANK(I20,$I$17:$I$32)&amp;"th"))),"")</f>
        <v/>
      </c>
      <c r="K20" s="38" t="str">
        <f>Analysis_9192[[#This Row],[Atheletes ]]</f>
        <v>Matheus L.</v>
      </c>
      <c r="L20" s="44" t="str">
        <f t="shared" si="1"/>
        <v/>
      </c>
      <c r="M20" s="90" t="str">
        <f>IFERROR(RANK(M19,_xlfn.ANCHORARRAY($T$25),0),"")</f>
        <v/>
      </c>
      <c r="N20" s="90" t="str">
        <f>IFERROR(RANK(N19,_xlfn.ANCHORARRAY($T$25),0),"")</f>
        <v/>
      </c>
      <c r="O20" s="90"/>
      <c r="P20" s="90"/>
      <c r="Q20" s="90" t="str">
        <f>IFERROR(RANK(Q19,_xlfn.ANCHORARRAY($T$25),0),"")</f>
        <v/>
      </c>
      <c r="R20" s="90" t="str">
        <f>IFERROR(RANK(R19,_xlfn.ANCHORARRAY($T$25),0),"")</f>
        <v/>
      </c>
    </row>
    <row r="21" spans="1:27">
      <c r="I21" s="2" t="str">
        <f>H23</f>
        <v/>
      </c>
      <c r="J21" s="2" t="str">
        <f>IF(COUNTBLANK(Games_4191[[SCORE 1]:[SCORE 2]])=0,IF(RANK(I21,$I$17:$I$32)=1,RANK(I21,$I$17:$I$32)&amp;"st",IF(RANK(I21,$I$17:$I$32)=2,RANK(I21,$I$17:$I$32)&amp;"nd",IF(RANK(I21,$I$17:$I$32)=3,RANK(I21,$I$17:$I$32)&amp;"rd",RANK(I21,$I$17:$I$32)&amp;"th"))),"")</f>
        <v/>
      </c>
      <c r="K21" s="38" t="str">
        <f>B23</f>
        <v>Felipe R.</v>
      </c>
      <c r="M21" s="418" t="s">
        <v>193</v>
      </c>
      <c r="N21" s="418" t="s">
        <v>194</v>
      </c>
      <c r="O21" s="542" t="s">
        <v>195</v>
      </c>
      <c r="P21" s="543"/>
      <c r="Q21" s="418" t="s">
        <v>196</v>
      </c>
      <c r="R21" s="418" t="s">
        <v>197</v>
      </c>
    </row>
    <row r="22" spans="1:27" s="44" customFormat="1" ht="28.5" customHeight="1">
      <c r="A22" s="9" t="s">
        <v>184</v>
      </c>
      <c r="B22" s="43" t="s">
        <v>185</v>
      </c>
      <c r="C22" s="48" t="s">
        <v>186</v>
      </c>
      <c r="D22" s="48" t="s">
        <v>187</v>
      </c>
      <c r="E22" s="48" t="s">
        <v>188</v>
      </c>
      <c r="F22" s="48" t="s">
        <v>189</v>
      </c>
      <c r="G22" s="419" t="s">
        <v>8</v>
      </c>
      <c r="H22" s="126" t="s">
        <v>204</v>
      </c>
      <c r="I22" s="2" t="str">
        <f t="shared" ref="I22:I24" si="3">H24</f>
        <v/>
      </c>
      <c r="J22" s="2" t="str">
        <f>IF(COUNTBLANK(Games_4191[[SCORE 1]:[SCORE 2]])=0,IF(RANK(I22,$I$17:$I$32)=1,RANK(I22,$I$17:$I$32)&amp;"st",IF(RANK(I22,$I$17:$I$32)=2,RANK(I22,$I$17:$I$32)&amp;"nd",IF(RANK(I22,$I$17:$I$32)=3,RANK(I22,$I$17:$I$32)&amp;"rd",RANK(I22,$I$17:$I$32)&amp;"th"))),"")</f>
        <v/>
      </c>
      <c r="K22" s="38" t="str">
        <f t="shared" ref="K22:K24" si="4">B24</f>
        <v>Bebeto</v>
      </c>
      <c r="L22" s="419" t="s">
        <v>192</v>
      </c>
      <c r="M22" s="428" t="str" cm="1">
        <f t="array" ref="M22">_xlfn.TEXTJOIN(", ", TRUE, _xlfn._xlws.FILTER($K$17:$K$32, $J$17:$J$32=$U$5, ""))</f>
        <v/>
      </c>
      <c r="N22" s="428" t="str" cm="1">
        <f t="array" ref="N22">_xlfn.TEXTJOIN(", ", TRUE, _xlfn._xlws.FILTER($K$17:$K$32, $J$17:$J$32=$U$6, ""))</f>
        <v/>
      </c>
      <c r="O22" s="119"/>
      <c r="P22" s="119"/>
      <c r="Q22" s="428" t="str" cm="1">
        <f t="array" ref="Q22">_xlfn.TEXTJOIN(", ", TRUE, _xlfn._xlws.FILTER($K$17:$K$32, $J$17:$J$32=$U$7, ""))</f>
        <v/>
      </c>
      <c r="R22" s="428" t="str" cm="1">
        <f t="array" ref="R22">_xlfn.TEXTJOIN(", ", TRUE, _xlfn._xlws.FILTER($K$17:$K$32, $J$17:$J$32=$U$8, ""))</f>
        <v/>
      </c>
    </row>
    <row r="23" spans="1:27">
      <c r="A23" s="430" t="s">
        <v>209</v>
      </c>
      <c r="B23" s="118" t="s">
        <v>356</v>
      </c>
      <c r="C23" s="14">
        <f>SUM(COUNTIFS(Games_4191[ATHLETE 1],Analysis_10193[[#This Row],[Atheletes ]],Games_4191[RESULT 12],Analysis_9192[[#Headers],[WIN]]),COUNTIFS(Games_4191[ATHLETE 2],Analysis_10193[[#This Row],[Atheletes ]],Games_4191[RESULT 12],Analysis_9192[[#Headers],[WIN]]),COUNTIFS(Games_4191[ATHLETE 3],Analysis_10193[[#This Row],[Atheletes ]],Games_4191[RESULT 34],Analysis_9192[[#Headers],[WIN]]),COUNTIFS(Games_4191[ATHLETE 4],Analysis_10193[[#This Row],[Atheletes ]],Games_4191[RESULT 34],Analysis_9192[[#Headers],[WIN]]))</f>
        <v>0</v>
      </c>
      <c r="D23" s="14">
        <f>SUM(COUNTIFS(Games_4191[ATHLETE 1],Analysis_10193[[#This Row],[Atheletes ]],Games_4191[RESULT 12],Analysis_9192[[#Headers],[LOSE]]),COUNTIFS(Games_4191[ATHLETE 2],Analysis_10193[[#This Row],[Atheletes ]],Games_4191[RESULT 12],Analysis_9192[[#Headers],[LOSE]]),COUNTIFS(Games_4191[ATHLETE 3],Analysis_10193[[#This Row],[Atheletes ]],Games_4191[RESULT 34],Analysis_9192[[#Headers],[LOSE]]),COUNTIFS(Games_4191[ATHLETE 4],Analysis_10193[[#This Row],[Atheletes ]],Games_4191[RESULT 34],Analysis_9192[[#Headers],[LOSE]]))</f>
        <v>0</v>
      </c>
      <c r="E23" s="19">
        <f>SUM(SUMIF(Games_4191[ATHLETE 1],Analysis_10193[[#This Row],[Atheletes ]],Games_4191[SALDO 12]),SUMIF(Games_4191[ATHLETE 2],Analysis_10193[[#This Row],[Atheletes ]],Games_4191[SALDO 12]),SUMIF(Games_4191[ATHLETE 3],Analysis_10193[[#This Row],[Atheletes ]],Games_4191[SALDO 34]),SUMIF(Games_4191[ATHLETE 4],Analysis_10193[[#This Row],[Atheletes ]],Games_4191[SALDO 34]))</f>
        <v>0</v>
      </c>
      <c r="F23" s="19">
        <f>SUM(SUMIF(Games_4191[ATHLETE 1],Analysis_10193[[#This Row],[Atheletes ]],Games_4191[PM 12]),SUMIF(Games_4191[ATHLETE 2],Analysis_10193[[#This Row],[Atheletes ]],Games_4191[PM 12]),SUMIF(Games_4191[ATHLETE 3],Analysis_10193[[#This Row],[Atheletes ]],Games_4191[PM 34]),SUMIF(Games_4191[ATHLETE 4],Analysis_10193[[#This Row],[Atheletes ]],Games_4191[PM 34]))</f>
        <v>0</v>
      </c>
      <c r="G23" s="14" t="str">
        <f>IF(COUNTBLANK(Games_4191[[SCORE 1]:[SCORE 2]])=0,IF(RANK(H23,$H$23:$H$26)=1,RANK(H23,$H$23:$H$26)&amp;"st",IF(RANK(H23,$H$23:$H$26)=2,RANK(H23,$H$23:$H$26)&amp;"nd",IF(RANK(H23,$H$23:$H$26)=3,RANK(H23,$H$23:$H$26)&amp;"rd",RANK(H23,$H$23:$H$26)&amp;"th"))),"")</f>
        <v/>
      </c>
      <c r="H23" s="51" t="str">
        <f>IF(COUNTBLANK(Games_4191[[SCORE 1]:[SCORE 2]])=0,Analysis_10193[[#This Row],[WIN]]*1000000+Analysis_10193[[#This Row],[Saldo]]*1000+Analysis_10193[[#This Row],[PM]],"")</f>
        <v/>
      </c>
      <c r="I23" s="2" t="str">
        <f t="shared" si="3"/>
        <v/>
      </c>
      <c r="J23" s="2" t="str">
        <f>IF(COUNTBLANK(Games_4191[[SCORE 1]:[SCORE 2]])=0,IF(RANK(I23,$I$17:$I$32)=1,RANK(I23,$I$17:$I$32)&amp;"st",IF(RANK(I23,$I$17:$I$32)=2,RANK(I23,$I$17:$I$32)&amp;"nd",IF(RANK(I23,$I$17:$I$32)=3,RANK(I23,$I$17:$I$32)&amp;"rd",RANK(I23,$I$17:$I$32)&amp;"th"))),"")</f>
        <v/>
      </c>
      <c r="K23" s="38" t="str">
        <f t="shared" si="4"/>
        <v>Harrinho</v>
      </c>
      <c r="L23" s="44" t="str">
        <f>J21</f>
        <v/>
      </c>
      <c r="M23" s="127" t="str">
        <f>IF(OR(O18="",O23=""),"",IF($O$23="lose",IF(RANK(M24,$T$24:$W$24)=1,$U$7,IF(RANK(M24,$T$24:$W$24)=2,$U$8,IF(RANK(M24,$T$24:$W$24)=3,$U$9,$U$10))),""))</f>
        <v/>
      </c>
      <c r="N23" s="127" t="str">
        <f>IF(OR(O18="",O23=""),"",IF($O$23="lose",IF(RANK(N24,$T$24:$W$24)=1,$U$7,IF(RANK(N24,$T$24:$W$24)=2,$U$8,IF(RANK(N24,$T$24:$W$24)=3,$U$9,$U$10))),""))</f>
        <v/>
      </c>
      <c r="O23" s="2" t="str">
        <f>IF(OR(O22="",P22=""),"",IF((O22&gt;P22),"WIN","LOSE"))</f>
        <v/>
      </c>
      <c r="P23" s="2" t="str">
        <f>IF(OR(O22="",P22=""),"",IF((O22&lt;P22),"WIN","LOSE"))</f>
        <v/>
      </c>
      <c r="Q23" s="127" t="str">
        <f>IF(OR(O18="",O23=""),"",IF($P$23="lose",IF(RANK(Q24,$T$24:$W$24)=1,$U$7,IF(RANK(Q24,$T$24:$W$24)=2,$U$8,IF(RANK(Q24,$T$24:$W$24)=3,$U$9,$U$10))),""))</f>
        <v/>
      </c>
      <c r="R23" s="127" t="str">
        <f>IF(OR(O18="",O23=""),"",IF($P$23="lose",IF(RANK(R24,$T$24:$W$24)=1,$U$7,IF(RANK(R24,$T$24:$W$24)=2,$U$8,IF(RANK(R24,$T$24:$W$24)=3,$U$9,$U$10))),""))</f>
        <v/>
      </c>
      <c r="T23" s="90" t="s">
        <v>198</v>
      </c>
      <c r="U23" s="90"/>
      <c r="V23" s="90"/>
      <c r="W23" s="90"/>
      <c r="X23" s="90"/>
      <c r="Y23" s="90"/>
      <c r="Z23" s="90"/>
      <c r="AA23" s="90"/>
    </row>
    <row r="24" spans="1:27">
      <c r="A24" s="430" t="s">
        <v>210</v>
      </c>
      <c r="B24" s="118" t="s">
        <v>81</v>
      </c>
      <c r="C24" s="14">
        <f>SUM(COUNTIFS(Games_4191[ATHLETE 1],Analysis_10193[[#This Row],[Atheletes ]],Games_4191[RESULT 12],Analysis_9192[[#Headers],[WIN]]),COUNTIFS(Games_4191[ATHLETE 2],Analysis_10193[[#This Row],[Atheletes ]],Games_4191[RESULT 12],Analysis_9192[[#Headers],[WIN]]),COUNTIFS(Games_4191[ATHLETE 3],Analysis_10193[[#This Row],[Atheletes ]],Games_4191[RESULT 34],Analysis_9192[[#Headers],[WIN]]),COUNTIFS(Games_4191[ATHLETE 4],Analysis_10193[[#This Row],[Atheletes ]],Games_4191[RESULT 34],Analysis_9192[[#Headers],[WIN]]))</f>
        <v>0</v>
      </c>
      <c r="D24" s="14">
        <f>SUM(COUNTIFS(Games_4191[ATHLETE 1],Analysis_10193[[#This Row],[Atheletes ]],Games_4191[RESULT 12],Analysis_9192[[#Headers],[LOSE]]),COUNTIFS(Games_4191[ATHLETE 2],Analysis_10193[[#This Row],[Atheletes ]],Games_4191[RESULT 12],Analysis_9192[[#Headers],[LOSE]]),COUNTIFS(Games_4191[ATHLETE 3],Analysis_10193[[#This Row],[Atheletes ]],Games_4191[RESULT 34],Analysis_9192[[#Headers],[LOSE]]),COUNTIFS(Games_4191[ATHLETE 4],Analysis_10193[[#This Row],[Atheletes ]],Games_4191[RESULT 34],Analysis_9192[[#Headers],[LOSE]]))</f>
        <v>0</v>
      </c>
      <c r="E24" s="19">
        <f>SUM(SUMIF(Games_4191[ATHLETE 1],Analysis_10193[[#This Row],[Atheletes ]],Games_4191[SALDO 12]),SUMIF(Games_4191[ATHLETE 2],Analysis_10193[[#This Row],[Atheletes ]],Games_4191[SALDO 12]),SUMIF(Games_4191[ATHLETE 3],Analysis_10193[[#This Row],[Atheletes ]],Games_4191[SALDO 34]),SUMIF(Games_4191[ATHLETE 4],Analysis_10193[[#This Row],[Atheletes ]],Games_4191[SALDO 34]))</f>
        <v>0</v>
      </c>
      <c r="F24" s="19">
        <f>SUM(SUMIF(Games_4191[ATHLETE 1],Analysis_10193[[#This Row],[Atheletes ]],Games_4191[PM 12]),SUMIF(Games_4191[ATHLETE 2],Analysis_10193[[#This Row],[Atheletes ]],Games_4191[PM 12]),SUMIF(Games_4191[ATHLETE 3],Analysis_10193[[#This Row],[Atheletes ]],Games_4191[PM 34]),SUMIF(Games_4191[ATHLETE 4],Analysis_10193[[#This Row],[Atheletes ]],Games_4191[PM 34]))</f>
        <v>0</v>
      </c>
      <c r="G24" s="14" t="str">
        <f>IF(COUNTBLANK(Games_4191[[SCORE 1]:[SCORE 2]])=0,IF(RANK(H24,$H$23:$H$26)=1,RANK(H24,$H$23:$H$26)&amp;"st",IF(RANK(H24,$H$23:$H$26)=2,RANK(H24,$H$23:$H$26)&amp;"nd",IF(RANK(H24,$H$23:$H$26)=3,RANK(H24,$H$23:$H$26)&amp;"rd",RANK(H24,$H$23:$H$26)&amp;"th"))),"")</f>
        <v/>
      </c>
      <c r="H24" s="51" t="str">
        <f>IF(COUNTBLANK(Games_4191[[SCORE 1]:[SCORE 2]])=0,Analysis_10193[[#This Row],[WIN]]*1000000+Analysis_10193[[#This Row],[Saldo]]*1000+Analysis_10193[[#This Row],[PM]],"")</f>
        <v/>
      </c>
      <c r="I24" s="2" t="str">
        <f t="shared" si="3"/>
        <v/>
      </c>
      <c r="J24" s="2" t="str">
        <f>IF(COUNTBLANK(Games_4191[[SCORE 1]:[SCORE 2]])=0,IF(RANK(I24,$I$17:$I$32)=1,RANK(I24,$I$17:$I$32)&amp;"st",IF(RANK(I24,$I$17:$I$32)=2,RANK(I24,$I$17:$I$32)&amp;"nd",IF(RANK(I24,$I$17:$I$32)=3,RANK(I24,$I$17:$I$32)&amp;"rd",RANK(I24,$I$17:$I$32)&amp;"th"))),"")</f>
        <v/>
      </c>
      <c r="K24" s="38" t="str">
        <f t="shared" si="4"/>
        <v>Zuna</v>
      </c>
      <c r="L24" s="44" t="str">
        <f t="shared" ref="L24:L26" si="5">J22</f>
        <v/>
      </c>
      <c r="M24" s="90" t="str">
        <f t="shared" ref="M24:R24" si="6">_xlfn.XLOOKUP(M22,$K$17:$K$32,$I$17:$I$32,"")</f>
        <v/>
      </c>
      <c r="N24" s="90" t="str">
        <f t="shared" si="6"/>
        <v/>
      </c>
      <c r="O24" s="90" t="str">
        <f t="shared" si="6"/>
        <v/>
      </c>
      <c r="P24" s="90" t="str">
        <f t="shared" si="6"/>
        <v/>
      </c>
      <c r="Q24" s="90" t="str">
        <f t="shared" si="6"/>
        <v/>
      </c>
      <c r="R24" s="90" t="str">
        <f t="shared" si="6"/>
        <v/>
      </c>
      <c r="T24" s="90" t="str" cm="1">
        <f t="array" ref="T24">IF(O18="","",IF(O18="lose",CHOOSE({1,2},M19,N19),CHOOSE({1,2},Q19,R19)))</f>
        <v/>
      </c>
      <c r="U24" s="90"/>
      <c r="V24" s="90" t="str" cm="1">
        <f t="array" ref="V24">IF(O23="","",IF(O23="lose",CHOOSE({1,2},M24,N24),CHOOSE({1,2},Q24,R24)))</f>
        <v/>
      </c>
      <c r="W24" s="90"/>
      <c r="X24" s="90"/>
      <c r="Y24" s="90"/>
      <c r="Z24" s="90"/>
      <c r="AA24" s="90"/>
    </row>
    <row r="25" spans="1:27">
      <c r="A25" s="430" t="s">
        <v>211</v>
      </c>
      <c r="B25" s="118" t="s">
        <v>357</v>
      </c>
      <c r="C25" s="14">
        <f>SUM(COUNTIFS(Games_4191[ATHLETE 1],Analysis_10193[[#This Row],[Atheletes ]],Games_4191[RESULT 12],Analysis_9192[[#Headers],[WIN]]),COUNTIFS(Games_4191[ATHLETE 2],Analysis_10193[[#This Row],[Atheletes ]],Games_4191[RESULT 12],Analysis_9192[[#Headers],[WIN]]),COUNTIFS(Games_4191[ATHLETE 3],Analysis_10193[[#This Row],[Atheletes ]],Games_4191[RESULT 34],Analysis_9192[[#Headers],[WIN]]),COUNTIFS(Games_4191[ATHLETE 4],Analysis_10193[[#This Row],[Atheletes ]],Games_4191[RESULT 34],Analysis_9192[[#Headers],[WIN]]))</f>
        <v>0</v>
      </c>
      <c r="D25" s="14">
        <f>SUM(COUNTIFS(Games_4191[ATHLETE 1],Analysis_10193[[#This Row],[Atheletes ]],Games_4191[RESULT 12],Analysis_9192[[#Headers],[LOSE]]),COUNTIFS(Games_4191[ATHLETE 2],Analysis_10193[[#This Row],[Atheletes ]],Games_4191[RESULT 12],Analysis_9192[[#Headers],[LOSE]]),COUNTIFS(Games_4191[ATHLETE 3],Analysis_10193[[#This Row],[Atheletes ]],Games_4191[RESULT 34],Analysis_9192[[#Headers],[LOSE]]),COUNTIFS(Games_4191[ATHLETE 4],Analysis_10193[[#This Row],[Atheletes ]],Games_4191[RESULT 34],Analysis_9192[[#Headers],[LOSE]]))</f>
        <v>0</v>
      </c>
      <c r="E25" s="19">
        <f>SUM(SUMIF(Games_4191[ATHLETE 1],Analysis_10193[[#This Row],[Atheletes ]],Games_4191[SALDO 12]),SUMIF(Games_4191[ATHLETE 2],Analysis_10193[[#This Row],[Atheletes ]],Games_4191[SALDO 12]),SUMIF(Games_4191[ATHLETE 3],Analysis_10193[[#This Row],[Atheletes ]],Games_4191[SALDO 34]),SUMIF(Games_4191[ATHLETE 4],Analysis_10193[[#This Row],[Atheletes ]],Games_4191[SALDO 34]))</f>
        <v>0</v>
      </c>
      <c r="F25" s="19">
        <f>SUM(SUMIF(Games_4191[ATHLETE 1],Analysis_10193[[#This Row],[Atheletes ]],Games_4191[PM 12]),SUMIF(Games_4191[ATHLETE 2],Analysis_10193[[#This Row],[Atheletes ]],Games_4191[PM 12]),SUMIF(Games_4191[ATHLETE 3],Analysis_10193[[#This Row],[Atheletes ]],Games_4191[PM 34]),SUMIF(Games_4191[ATHLETE 4],Analysis_10193[[#This Row],[Atheletes ]],Games_4191[PM 34]))</f>
        <v>0</v>
      </c>
      <c r="G25" s="14" t="str">
        <f>IF(COUNTBLANK(Games_4191[[SCORE 1]:[SCORE 2]])=0,IF(RANK(H25,$H$23:$H$26)=1,RANK(H25,$H$23:$H$26)&amp;"st",IF(RANK(H25,$H$23:$H$26)=2,RANK(H25,$H$23:$H$26)&amp;"nd",IF(RANK(H25,$H$23:$H$26)=3,RANK(H25,$H$23:$H$26)&amp;"rd",RANK(H25,$H$23:$H$26)&amp;"th"))),"")</f>
        <v/>
      </c>
      <c r="H25" s="51" t="str">
        <f>IF(COUNTBLANK(Games_4191[[SCORE 1]:[SCORE 2]])=0,Analysis_10193[[#This Row],[WIN]]*1000000+Analysis_10193[[#This Row],[Saldo]]*1000+Analysis_10193[[#This Row],[PM]],"")</f>
        <v/>
      </c>
      <c r="I25" s="2" t="str">
        <f>H29</f>
        <v/>
      </c>
      <c r="J25" s="2" t="str">
        <f>IF(COUNTBLANK(Games_4191[[SCORE 1]:[SCORE 2]])=0,IF(RANK(I25,$I$17:$I$32)=1,RANK(I25,$I$17:$I$32)&amp;"st",IF(RANK(I25,$I$17:$I$32)=2,RANK(I25,$I$17:$I$32)&amp;"nd",IF(RANK(I25,$I$17:$I$32)=3,RANK(I25,$I$17:$I$32)&amp;"rd",RANK(I25,$I$17:$I$32)&amp;"th"))),"")</f>
        <v/>
      </c>
      <c r="K25" s="38" t="str">
        <f>B29</f>
        <v>Tizoc</v>
      </c>
      <c r="L25" s="44" t="str">
        <f t="shared" si="5"/>
        <v/>
      </c>
      <c r="M25" s="90" t="str">
        <f>IFERROR(RANK(M24,_xlfn.ANCHORARRAY($T$25),0),"")</f>
        <v/>
      </c>
      <c r="N25" s="90" t="str">
        <f>IFERROR(RANK(N24,_xlfn.ANCHORARRAY($T$25),0),"")</f>
        <v/>
      </c>
      <c r="O25" s="90" t="str">
        <f>IFERROR(RANK(O24,$M$19:$R$19:$M$24:$R$24,1),"")</f>
        <v/>
      </c>
      <c r="P25" s="90" t="str">
        <f>IFERROR(RANK(P24,$M$19:$R$19:$M$24:$R$24,1),"")</f>
        <v/>
      </c>
      <c r="Q25" s="90" t="str">
        <f>IFERROR(RANK(Q24,_xlfn.ANCHORARRAY($T$25),0),"")</f>
        <v/>
      </c>
      <c r="R25" s="90" t="str">
        <f>IFERROR(RANK(R24,_xlfn.ANCHORARRAY($T$25),0),"")</f>
        <v/>
      </c>
      <c r="T25" s="90" t="str" cm="1">
        <f t="array" ref="T25:AA25">CHOOSE({1,2,3,4,5,6,7,8}, M19, N19, Q19, R19, M24, N24, Q24, R24)</f>
        <v/>
      </c>
      <c r="U25" s="90" t="str">
        <v/>
      </c>
      <c r="V25" s="90" t="str">
        <v/>
      </c>
      <c r="W25" s="90" t="str">
        <v/>
      </c>
      <c r="X25" s="90" t="str">
        <v/>
      </c>
      <c r="Y25" s="90" t="str">
        <v/>
      </c>
      <c r="Z25" s="90" t="str">
        <v/>
      </c>
      <c r="AA25" s="90" t="str">
        <v/>
      </c>
    </row>
    <row r="26" spans="1:27" ht="29.1">
      <c r="A26" s="430" t="s">
        <v>212</v>
      </c>
      <c r="B26" s="128" t="s">
        <v>358</v>
      </c>
      <c r="C26" s="14">
        <f>SUM(COUNTIFS(Games_4191[ATHLETE 1],Analysis_10193[[#This Row],[Atheletes ]],Games_4191[RESULT 12],Analysis_9192[[#Headers],[WIN]]),COUNTIFS(Games_4191[ATHLETE 2],Analysis_10193[[#This Row],[Atheletes ]],Games_4191[RESULT 12],Analysis_9192[[#Headers],[WIN]]),COUNTIFS(Games_4191[ATHLETE 3],Analysis_10193[[#This Row],[Atheletes ]],Games_4191[RESULT 34],Analysis_9192[[#Headers],[WIN]]),COUNTIFS(Games_4191[ATHLETE 4],Analysis_10193[[#This Row],[Atheletes ]],Games_4191[RESULT 34],Analysis_9192[[#Headers],[WIN]]))</f>
        <v>0</v>
      </c>
      <c r="D26" s="14">
        <f>SUM(COUNTIFS(Games_4191[ATHLETE 1],Analysis_10193[[#This Row],[Atheletes ]],Games_4191[RESULT 12],Analysis_9192[[#Headers],[LOSE]]),COUNTIFS(Games_4191[ATHLETE 2],Analysis_10193[[#This Row],[Atheletes ]],Games_4191[RESULT 12],Analysis_9192[[#Headers],[LOSE]]),COUNTIFS(Games_4191[ATHLETE 3],Analysis_10193[[#This Row],[Atheletes ]],Games_4191[RESULT 34],Analysis_9192[[#Headers],[LOSE]]),COUNTIFS(Games_4191[ATHLETE 4],Analysis_10193[[#This Row],[Atheletes ]],Games_4191[RESULT 34],Analysis_9192[[#Headers],[LOSE]]))</f>
        <v>0</v>
      </c>
      <c r="E26" s="46">
        <f>SUM(SUMIF(Games_4191[ATHLETE 1],Analysis_10193[[#This Row],[Atheletes ]],Games_4191[SALDO 12]),SUMIF(Games_4191[ATHLETE 2],Analysis_10193[[#This Row],[Atheletes ]],Games_4191[SALDO 12]),SUMIF(Games_4191[ATHLETE 3],Analysis_10193[[#This Row],[Atheletes ]],Games_4191[SALDO 34]),SUMIF(Games_4191[ATHLETE 4],Analysis_10193[[#This Row],[Atheletes ]],Games_4191[SALDO 34]))</f>
        <v>0</v>
      </c>
      <c r="F26" s="46">
        <f>SUM(SUMIF(Games_4191[ATHLETE 1],Analysis_10193[[#This Row],[Atheletes ]],Games_4191[PM 12]),SUMIF(Games_4191[ATHLETE 2],Analysis_10193[[#This Row],[Atheletes ]],Games_4191[PM 12]),SUMIF(Games_4191[ATHLETE 3],Analysis_10193[[#This Row],[Atheletes ]],Games_4191[PM 34]),SUMIF(Games_4191[ATHLETE 4],Analysis_10193[[#This Row],[Atheletes ]],Games_4191[PM 34]))</f>
        <v>0</v>
      </c>
      <c r="G26" s="14" t="str">
        <f>IF(COUNTBLANK(Games_4191[[SCORE 1]:[SCORE 2]])=0,IF(RANK(H26,$H$23:$H$26)=1,RANK(H26,$H$23:$H$26)&amp;"st",IF(RANK(H26,$H$23:$H$26)=2,RANK(H26,$H$23:$H$26)&amp;"nd",IF(RANK(H26,$H$23:$H$26)=3,RANK(H26,$H$23:$H$26)&amp;"rd",RANK(H26,$H$23:$H$26)&amp;"th"))),"")</f>
        <v/>
      </c>
      <c r="H26" s="51" t="str">
        <f>IF(COUNTBLANK(Games_4191[[SCORE 1]:[SCORE 2]])=0,Analysis_10193[[#This Row],[WIN]]*1000000+Analysis_10193[[#This Row],[Saldo]]*1000+Analysis_10193[[#This Row],[PM]],"")</f>
        <v/>
      </c>
      <c r="I26" s="2" t="str">
        <f t="shared" ref="I26:I28" si="7">H30</f>
        <v/>
      </c>
      <c r="J26" s="2" t="str">
        <f>IF(COUNTBLANK(Games_4191[[SCORE 1]:[SCORE 2]])=0,IF(RANK(I26,$I$17:$I$32)=1,RANK(I26,$I$17:$I$32)&amp;"st",IF(RANK(I26,$I$17:$I$32)=2,RANK(I26,$I$17:$I$32)&amp;"nd",IF(RANK(I26,$I$17:$I$32)=3,RANK(I26,$I$17:$I$32)&amp;"rd",RANK(I26,$I$17:$I$32)&amp;"th"))),"")</f>
        <v/>
      </c>
      <c r="K26" s="38" t="str">
        <f t="shared" ref="K26:K28" si="8">B30</f>
        <v>Pedro It.</v>
      </c>
      <c r="L26" s="44" t="str">
        <f t="shared" si="5"/>
        <v/>
      </c>
      <c r="M26" s="548" t="s">
        <v>199</v>
      </c>
      <c r="N26" s="549"/>
      <c r="O26" s="549"/>
      <c r="P26" s="549"/>
      <c r="Q26" s="549"/>
      <c r="R26" s="549"/>
      <c r="T26" s="90" t="str" cm="1">
        <f t="array" ref="T26:U26">(IF(O18="lose",CHOOSE({1,2},M18,N18),CHOOSE({1,2},Q18,R18)))</f>
        <v/>
      </c>
      <c r="U26" s="90" t="str">
        <v/>
      </c>
      <c r="V26" s="90" t="str" cm="1">
        <f t="array" ref="V26:W26">(IF(O23="lose",CHOOSE({1,2},N23,M23),CHOOSE({1,2},Q23,R23)))</f>
        <v/>
      </c>
      <c r="W26" s="90" t="str">
        <v/>
      </c>
      <c r="X26" s="90"/>
      <c r="Y26" s="90"/>
      <c r="Z26" s="90"/>
      <c r="AA26" s="90"/>
    </row>
    <row r="27" spans="1:27">
      <c r="I27" s="2" t="str">
        <f t="shared" si="7"/>
        <v/>
      </c>
      <c r="J27" s="2" t="str">
        <f>IF(COUNTBLANK(Games_4191[[SCORE 1]:[SCORE 2]])=0,IF(RANK(I27,$I$17:$I$32)=1,RANK(I27,$I$17:$I$32)&amp;"st",IF(RANK(I27,$I$17:$I$32)=2,RANK(I27,$I$17:$I$32)&amp;"nd",IF(RANK(I27,$I$17:$I$32)=3,RANK(I27,$I$17:$I$32)&amp;"rd",RANK(I27,$I$17:$I$32)&amp;"th"))),"")</f>
        <v/>
      </c>
      <c r="K27" s="38" t="str">
        <f t="shared" si="8"/>
        <v>Caua</v>
      </c>
      <c r="M27" s="418" t="s">
        <v>193</v>
      </c>
      <c r="N27" s="418" t="s">
        <v>194</v>
      </c>
      <c r="O27" s="542" t="s">
        <v>195</v>
      </c>
      <c r="P27" s="543"/>
      <c r="Q27" s="418" t="s">
        <v>196</v>
      </c>
      <c r="R27" s="418" t="s">
        <v>197</v>
      </c>
      <c r="T27" s="90" t="str" cm="1">
        <f t="array" ref="T27">IF(O18="","",IF(O18="lose",CHOOSE({1,2},M17,N17),CHOOSE({1,2},Q17,R17)))</f>
        <v/>
      </c>
      <c r="U27" s="90"/>
      <c r="V27" s="90" t="str" cm="1">
        <f t="array" ref="V27">IF(O23="","",IF(O23="lose",CHOOSE({1,2},N22,M22),CHOOSE({1,2},Q22,R22)))</f>
        <v/>
      </c>
      <c r="W27" s="90"/>
      <c r="X27" s="90"/>
      <c r="Y27" s="90"/>
      <c r="Z27" s="90"/>
      <c r="AA27" s="90"/>
    </row>
    <row r="28" spans="1:27" ht="15.95">
      <c r="A28" s="9" t="s">
        <v>184</v>
      </c>
      <c r="B28" s="10" t="s">
        <v>185</v>
      </c>
      <c r="C28" s="10" t="s">
        <v>186</v>
      </c>
      <c r="D28" s="10" t="s">
        <v>187</v>
      </c>
      <c r="E28" s="10" t="s">
        <v>188</v>
      </c>
      <c r="F28" s="10" t="s">
        <v>189</v>
      </c>
      <c r="G28" s="7" t="s">
        <v>8</v>
      </c>
      <c r="H28" s="78" t="s">
        <v>204</v>
      </c>
      <c r="I28" s="2" t="str">
        <f t="shared" si="7"/>
        <v/>
      </c>
      <c r="J28" s="2" t="str">
        <f>IF(COUNTBLANK(Games_4191[[SCORE 1]:[SCORE 2]])=0,IF(RANK(I28,$I$17:$I$32)=1,RANK(I28,$I$17:$I$32)&amp;"st",IF(RANK(I28,$I$17:$I$32)=2,RANK(I28,$I$17:$I$32)&amp;"nd",IF(RANK(I28,$I$17:$I$32)=3,RANK(I28,$I$17:$I$32)&amp;"rd",RANK(I28,$I$17:$I$32)&amp;"th"))),"")</f>
        <v/>
      </c>
      <c r="K28" s="38" t="str">
        <f t="shared" si="8"/>
        <v>Marcelo</v>
      </c>
      <c r="L28" s="20" t="s">
        <v>192</v>
      </c>
      <c r="M28" s="428" t="str">
        <f>IF($O$18="","",IF($O$18="win",M17,Q17))</f>
        <v/>
      </c>
      <c r="N28" s="428" t="str">
        <f>IF($O$18="","",IF($O$18="win",N17,R17))</f>
        <v/>
      </c>
      <c r="O28" s="119"/>
      <c r="P28" s="120"/>
      <c r="Q28" s="428" t="str">
        <f>IF($O$23="","",IF($O$18="win",Q17,U17))</f>
        <v/>
      </c>
      <c r="R28" s="428" t="str">
        <f>IF($O$23="","",IF($O$18="win",R17,V17))</f>
        <v/>
      </c>
    </row>
    <row r="29" spans="1:27">
      <c r="A29" s="430" t="s">
        <v>213</v>
      </c>
      <c r="B29" s="118" t="s">
        <v>92</v>
      </c>
      <c r="C29" s="14">
        <f>SUM(COUNTIFS(Games_4191[ATHLETE 1],Analysis_11195[[#This Row],[Atheletes ]],Games_4191[RESULT 12],Analysis_9192[[#Headers],[WIN]]),COUNTIFS(Games_4191[ATHLETE 2],Analysis_11195[[#This Row],[Atheletes ]],Games_4191[RESULT 12],Analysis_9192[[#Headers],[WIN]]),COUNTIFS(Games_4191[ATHLETE 3],Analysis_11195[[#This Row],[Atheletes ]],Games_4191[RESULT 34],Analysis_9192[[#Headers],[WIN]]),COUNTIFS(Games_4191[ATHLETE 4],Analysis_11195[[#This Row],[Atheletes ]],Games_4191[RESULT 34],Analysis_9192[[#Headers],[WIN]]))</f>
        <v>0</v>
      </c>
      <c r="D29" s="14">
        <f>SUM(COUNTIFS(Games_4191[ATHLETE 1],Analysis_11195[[#This Row],[Atheletes ]],Games_4191[RESULT 12],Analysis_9192[[#Headers],[LOSE]]),COUNTIFS(Games_4191[ATHLETE 2],Analysis_11195[[#This Row],[Atheletes ]],Games_4191[RESULT 12],Analysis_9192[[#Headers],[LOSE]]),COUNTIFS(Games_4191[ATHLETE 3],Analysis_11195[[#This Row],[Atheletes ]],Games_4191[RESULT 34],Analysis_9192[[#Headers],[LOSE]]),COUNTIFS(Games_4191[ATHLETE 4],Analysis_11195[[#This Row],[Atheletes ]],Games_4191[RESULT 34],Analysis_9192[[#Headers],[LOSE]]))</f>
        <v>0</v>
      </c>
      <c r="E29" s="19">
        <f>SUM(SUMIF(Games_4191[ATHLETE 1],Analysis_11195[[#This Row],[Atheletes ]],Games_4191[SALDO 12]),SUMIF(Games_4191[ATHLETE 2],Analysis_11195[[#This Row],[Atheletes ]],Games_4191[SALDO 12]),SUMIF(Games_4191[ATHLETE 3],Analysis_11195[[#This Row],[Atheletes ]],Games_4191[SALDO 34]),SUMIF(Games_4191[ATHLETE 4],Analysis_11195[[#This Row],[Atheletes ]],Games_4191[SALDO 34]))</f>
        <v>0</v>
      </c>
      <c r="F29" s="19">
        <f>SUM(SUMIF(Games_4191[ATHLETE 1],Analysis_11195[[#This Row],[Atheletes ]],Games_4191[PM 12]),SUMIF(Games_4191[ATHLETE 2],Analysis_11195[[#This Row],[Atheletes ]],Games_4191[PM 12]),SUMIF(Games_4191[ATHLETE 3],Analysis_11195[[#This Row],[Atheletes ]],Games_4191[PM 34]),SUMIF(Games_4191[ATHLETE 4],Analysis_11195[[#This Row],[Atheletes ]],Games_4191[PM 34]))</f>
        <v>0</v>
      </c>
      <c r="G29" s="14" t="str">
        <f>IF(COUNTBLANK(Games_4191[[SCORE 1]:[SCORE 2]])=0,IF(RANK(H29,$H$29:$H$32)=1,RANK(H29,$H$29:$H$32)&amp;"st",IF(RANK(H29,$H$29:$H$32)=2,RANK(H29,$H$29:$H$32)&amp;"nd",IF(RANK(H29,$H$29:$H$32)=3,RANK(H29,$H$29:$H$32)&amp;"rd",RANK(H29,$H$29:$H$32)&amp;"th"))),"")</f>
        <v/>
      </c>
      <c r="H29" s="51" t="str">
        <f>IF(COUNTBLANK(Games_4191[[SCORE 1]:[SCORE 2]])=0,Analysis_11195[[#This Row],[WIN]]*1000000+Analysis_11195[[#This Row],[Saldo]]*1000+Analysis_11195[[#This Row],[PM]],"")</f>
        <v/>
      </c>
      <c r="I29" s="2" t="str">
        <f>H35</f>
        <v/>
      </c>
      <c r="J29" s="2" t="str">
        <f>IF(COUNTBLANK(Games_4191[[SCORE 1]:[SCORE 2]])=0,IF(RANK(I29,$I$17:$I$32)=1,RANK(I29,$I$17:$I$32)&amp;"st",IF(RANK(I29,$I$17:$I$32)=2,RANK(I29,$I$17:$I$32)&amp;"nd",IF(RANK(I29,$I$17:$I$32)=3,RANK(I29,$I$17:$I$32)&amp;"rd",RANK(I29,$I$17:$I$32)&amp;"th"))),"")</f>
        <v/>
      </c>
      <c r="K29" s="38" t="str">
        <f>B35</f>
        <v>Andrew</v>
      </c>
      <c r="L29" s="44" t="str">
        <f>J25</f>
        <v/>
      </c>
      <c r="M29" s="62" t="str">
        <f>IF(OR($O$28="",$P$28="",$O$29="win"),"",IF($M$30&gt;$N$30,$U$5,$U$6))</f>
        <v/>
      </c>
      <c r="N29" s="62" t="str">
        <f>IF(OR($O$28="",$P$28="",$O$29="win"),"",IF($M$30&lt;$N$30,$U$5,$U$6))</f>
        <v/>
      </c>
      <c r="O29" s="2" t="str">
        <f>IF(OR(O28="",P28=""),"",IF((O28&gt;P28),"WIN","LOSE"))</f>
        <v/>
      </c>
      <c r="P29" s="2" t="str">
        <f>IF(OR(O28="",P28=""),"",IF((O28&lt;P28),"WIN","LOSE"))</f>
        <v/>
      </c>
      <c r="Q29" s="62" t="str">
        <f>IF(OR($O$28="",$P$28="",$P$29="win"),"",IF($Q$30&gt;$R$30,$U$5,$U$6))</f>
        <v/>
      </c>
      <c r="R29" s="62" t="str">
        <f>IF(OR($O$28="",$P$28="",$P$29="win"),"",IF($Q$30&lt;$R$30,$U$5,$U$6))</f>
        <v/>
      </c>
    </row>
    <row r="30" spans="1:27">
      <c r="A30" s="430" t="s">
        <v>214</v>
      </c>
      <c r="B30" s="118" t="s">
        <v>359</v>
      </c>
      <c r="C30" s="14">
        <f>SUM(COUNTIFS(Games_4191[ATHLETE 1],Analysis_11195[[#This Row],[Atheletes ]],Games_4191[RESULT 12],Analysis_9192[[#Headers],[WIN]]),COUNTIFS(Games_4191[ATHLETE 2],Analysis_11195[[#This Row],[Atheletes ]],Games_4191[RESULT 12],Analysis_9192[[#Headers],[WIN]]),COUNTIFS(Games_4191[ATHLETE 3],Analysis_11195[[#This Row],[Atheletes ]],Games_4191[RESULT 34],Analysis_9192[[#Headers],[WIN]]),COUNTIFS(Games_4191[ATHLETE 4],Analysis_11195[[#This Row],[Atheletes ]],Games_4191[RESULT 34],Analysis_9192[[#Headers],[WIN]]))</f>
        <v>0</v>
      </c>
      <c r="D30" s="14">
        <f>SUM(COUNTIFS(Games_4191[ATHLETE 1],Analysis_11195[[#This Row],[Atheletes ]],Games_4191[RESULT 12],Analysis_9192[[#Headers],[LOSE]]),COUNTIFS(Games_4191[ATHLETE 2],Analysis_11195[[#This Row],[Atheletes ]],Games_4191[RESULT 12],Analysis_9192[[#Headers],[LOSE]]),COUNTIFS(Games_4191[ATHLETE 3],Analysis_11195[[#This Row],[Atheletes ]],Games_4191[RESULT 34],Analysis_9192[[#Headers],[LOSE]]),COUNTIFS(Games_4191[ATHLETE 4],Analysis_11195[[#This Row],[Atheletes ]],Games_4191[RESULT 34],Analysis_9192[[#Headers],[LOSE]]))</f>
        <v>0</v>
      </c>
      <c r="E30" s="19">
        <f>SUM(SUMIF(Games_4191[ATHLETE 1],Analysis_11195[[#This Row],[Atheletes ]],Games_4191[SALDO 12]),SUMIF(Games_4191[ATHLETE 2],Analysis_11195[[#This Row],[Atheletes ]],Games_4191[SALDO 12]),SUMIF(Games_4191[ATHLETE 3],Analysis_11195[[#This Row],[Atheletes ]],Games_4191[SALDO 34]),SUMIF(Games_4191[ATHLETE 4],Analysis_11195[[#This Row],[Atheletes ]],Games_4191[SALDO 34]))</f>
        <v>0</v>
      </c>
      <c r="F30" s="19">
        <f>SUM(SUMIF(Games_4191[ATHLETE 1],Analysis_11195[[#This Row],[Atheletes ]],Games_4191[PM 12]),SUMIF(Games_4191[ATHLETE 2],Analysis_11195[[#This Row],[Atheletes ]],Games_4191[PM 12]),SUMIF(Games_4191[ATHLETE 3],Analysis_11195[[#This Row],[Atheletes ]],Games_4191[PM 34]),SUMIF(Games_4191[ATHLETE 4],Analysis_11195[[#This Row],[Atheletes ]],Games_4191[PM 34]))</f>
        <v>0</v>
      </c>
      <c r="G30" s="14" t="str">
        <f>IF(COUNTBLANK(Games_4191[[SCORE 1]:[SCORE 2]])=0,IF(RANK(H30,$H$29:$H$32)=1,RANK(H30,$H$29:$H$32)&amp;"st",IF(RANK(H30,$H$29:$H$32)=2,RANK(H30,$H$29:$H$32)&amp;"nd",IF(RANK(H30,$H$29:$H$32)=3,RANK(H30,$H$29:$H$32)&amp;"rd",RANK(H30,$H$29:$H$32)&amp;"th"))),"")</f>
        <v/>
      </c>
      <c r="H30" s="51" t="str">
        <f>IF(COUNTBLANK(Games_4191[[SCORE 1]:[SCORE 2]])=0,Analysis_11195[[#This Row],[WIN]]*1000000+Analysis_11195[[#This Row],[Saldo]]*1000+Analysis_11195[[#This Row],[PM]],"")</f>
        <v/>
      </c>
      <c r="I30" s="2" t="str">
        <f t="shared" ref="I30:I32" si="9">H36</f>
        <v/>
      </c>
      <c r="J30" s="2" t="str">
        <f>IF(COUNTBLANK(Games_4191[[SCORE 1]:[SCORE 2]])=0,IF(RANK(I30,$I$17:$I$32)=1,RANK(I30,$I$17:$I$32)&amp;"st",IF(RANK(I30,$I$17:$I$32)=2,RANK(I30,$I$17:$I$32)&amp;"nd",IF(RANK(I30,$I$17:$I$32)=3,RANK(I30,$I$17:$I$32)&amp;"rd",RANK(I30,$I$17:$I$32)&amp;"th"))),"")</f>
        <v/>
      </c>
      <c r="K30" s="38" t="str">
        <f t="shared" ref="K30:K32" si="10">B36</f>
        <v>Joao</v>
      </c>
      <c r="L30" s="44" t="str">
        <f t="shared" ref="L30:L32" si="11">J26</f>
        <v/>
      </c>
      <c r="M30" s="91" t="str">
        <f>IF(M31="","",_xlfn.XLOOKUP(M31,$K$17:$K$32,$I$17:$I$32))</f>
        <v/>
      </c>
      <c r="N30" s="91" t="str">
        <f>IF(N31="","",_xlfn.XLOOKUP(N31,$K$17:$K$32,$I$17:$I$32))</f>
        <v/>
      </c>
      <c r="O30" s="91"/>
      <c r="P30" s="91"/>
      <c r="Q30" s="91" t="str">
        <f>IF(Q31="","",_xlfn.XLOOKUP(Q31,$K$17:$K$32,$I$17:$I$32))</f>
        <v/>
      </c>
      <c r="R30" s="91" t="str">
        <f>IF(R31="","",_xlfn.XLOOKUP(R31,$K$17:$K$32,$I$17:$I$32))</f>
        <v/>
      </c>
    </row>
    <row r="31" spans="1:27">
      <c r="A31" s="430" t="s">
        <v>216</v>
      </c>
      <c r="B31" s="118" t="s">
        <v>360</v>
      </c>
      <c r="C31" s="14">
        <f>SUM(COUNTIFS(Games_4191[ATHLETE 1],Analysis_11195[[#This Row],[Atheletes ]],Games_4191[RESULT 12],Analysis_9192[[#Headers],[WIN]]),COUNTIFS(Games_4191[ATHLETE 2],Analysis_11195[[#This Row],[Atheletes ]],Games_4191[RESULT 12],Analysis_9192[[#Headers],[WIN]]),COUNTIFS(Games_4191[ATHLETE 3],Analysis_11195[[#This Row],[Atheletes ]],Games_4191[RESULT 34],Analysis_9192[[#Headers],[WIN]]),COUNTIFS(Games_4191[ATHLETE 4],Analysis_11195[[#This Row],[Atheletes ]],Games_4191[RESULT 34],Analysis_9192[[#Headers],[WIN]]))</f>
        <v>0</v>
      </c>
      <c r="D31" s="14">
        <f>SUM(COUNTIFS(Games_4191[ATHLETE 1],Analysis_11195[[#This Row],[Atheletes ]],Games_4191[RESULT 12],Analysis_9192[[#Headers],[LOSE]]),COUNTIFS(Games_4191[ATHLETE 2],Analysis_11195[[#This Row],[Atheletes ]],Games_4191[RESULT 12],Analysis_9192[[#Headers],[LOSE]]),COUNTIFS(Games_4191[ATHLETE 3],Analysis_11195[[#This Row],[Atheletes ]],Games_4191[RESULT 34],Analysis_9192[[#Headers],[LOSE]]),COUNTIFS(Games_4191[ATHLETE 4],Analysis_11195[[#This Row],[Atheletes ]],Games_4191[RESULT 34],Analysis_9192[[#Headers],[LOSE]]))</f>
        <v>0</v>
      </c>
      <c r="E31" s="19">
        <f>SUM(SUMIF(Games_4191[ATHLETE 1],Analysis_11195[[#This Row],[Atheletes ]],Games_4191[SALDO 12]),SUMIF(Games_4191[ATHLETE 2],Analysis_11195[[#This Row],[Atheletes ]],Games_4191[SALDO 12]),SUMIF(Games_4191[ATHLETE 3],Analysis_11195[[#This Row],[Atheletes ]],Games_4191[SALDO 34]),SUMIF(Games_4191[ATHLETE 4],Analysis_11195[[#This Row],[Atheletes ]],Games_4191[SALDO 34]))</f>
        <v>0</v>
      </c>
      <c r="F31" s="19">
        <f>SUM(SUMIF(Games_4191[ATHLETE 1],Analysis_11195[[#This Row],[Atheletes ]],Games_4191[PM 12]),SUMIF(Games_4191[ATHLETE 2],Analysis_11195[[#This Row],[Atheletes ]],Games_4191[PM 12]),SUMIF(Games_4191[ATHLETE 3],Analysis_11195[[#This Row],[Atheletes ]],Games_4191[PM 34]),SUMIF(Games_4191[ATHLETE 4],Analysis_11195[[#This Row],[Atheletes ]],Games_4191[PM 34]))</f>
        <v>0</v>
      </c>
      <c r="G31" s="14" t="str">
        <f>IF(COUNTBLANK(Games_4191[[SCORE 1]:[SCORE 2]])=0,IF(RANK(H31,$H$29:$H$32)=1,RANK(H31,$H$29:$H$32)&amp;"st",IF(RANK(H31,$H$29:$H$32)=2,RANK(H31,$H$29:$H$32)&amp;"nd",IF(RANK(H31,$H$29:$H$32)=3,RANK(H31,$H$29:$H$32)&amp;"rd",RANK(H31,$H$29:$H$32)&amp;"th"))),"")</f>
        <v/>
      </c>
      <c r="H31" s="51" t="str">
        <f>IF(COUNTBLANK(Games_4191[[SCORE 1]:[SCORE 2]])=0,Analysis_11195[[#This Row],[WIN]]*1000000+Analysis_11195[[#This Row],[Saldo]]*1000+Analysis_11195[[#This Row],[PM]],"")</f>
        <v/>
      </c>
      <c r="I31" s="2" t="str">
        <f t="shared" si="9"/>
        <v/>
      </c>
      <c r="J31" s="2" t="str">
        <f>IF(COUNTBLANK(Games_4191[[SCORE 1]:[SCORE 2]])=0,IF(RANK(I31,$I$17:$I$32)=1,RANK(I31,$I$17:$I$32)&amp;"st",IF(RANK(I31,$I$17:$I$32)=2,RANK(I31,$I$17:$I$32)&amp;"nd",IF(RANK(I31,$I$17:$I$32)=3,RANK(I31,$I$17:$I$32)&amp;"rd",RANK(I31,$I$17:$I$32)&amp;"th"))),"")</f>
        <v/>
      </c>
      <c r="K31" s="38" t="str">
        <f t="shared" si="10"/>
        <v>Jerry Ruiz</v>
      </c>
      <c r="L31" s="44" t="str">
        <f t="shared" si="11"/>
        <v/>
      </c>
      <c r="M31" s="91" t="str">
        <f>$M$28</f>
        <v/>
      </c>
      <c r="N31" s="91" t="str">
        <f>$N$28</f>
        <v/>
      </c>
      <c r="O31" s="91"/>
      <c r="P31" s="91"/>
      <c r="Q31" s="91" t="str">
        <f>$Q$28</f>
        <v/>
      </c>
      <c r="R31" s="91" t="str">
        <f>$R$28</f>
        <v/>
      </c>
    </row>
    <row r="32" spans="1:27">
      <c r="A32" s="430" t="s">
        <v>217</v>
      </c>
      <c r="B32" s="118" t="s">
        <v>79</v>
      </c>
      <c r="C32" s="14">
        <f>SUM(COUNTIFS(Games_4191[ATHLETE 1],Analysis_11195[[#This Row],[Atheletes ]],Games_4191[RESULT 12],Analysis_9192[[#Headers],[WIN]]),COUNTIFS(Games_4191[ATHLETE 2],Analysis_11195[[#This Row],[Atheletes ]],Games_4191[RESULT 12],Analysis_9192[[#Headers],[WIN]]),COUNTIFS(Games_4191[ATHLETE 3],Analysis_11195[[#This Row],[Atheletes ]],Games_4191[RESULT 34],Analysis_9192[[#Headers],[WIN]]),COUNTIFS(Games_4191[ATHLETE 4],Analysis_11195[[#This Row],[Atheletes ]],Games_4191[RESULT 34],Analysis_9192[[#Headers],[WIN]]))</f>
        <v>0</v>
      </c>
      <c r="D32" s="14">
        <f>SUM(COUNTIFS(Games_4191[ATHLETE 1],Analysis_11195[[#This Row],[Atheletes ]],Games_4191[RESULT 12],Analysis_9192[[#Headers],[LOSE]]),COUNTIFS(Games_4191[ATHLETE 2],Analysis_11195[[#This Row],[Atheletes ]],Games_4191[RESULT 12],Analysis_9192[[#Headers],[LOSE]]),COUNTIFS(Games_4191[ATHLETE 3],Analysis_11195[[#This Row],[Atheletes ]],Games_4191[RESULT 34],Analysis_9192[[#Headers],[LOSE]]),COUNTIFS(Games_4191[ATHLETE 4],Analysis_11195[[#This Row],[Atheletes ]],Games_4191[RESULT 34],Analysis_9192[[#Headers],[LOSE]]))</f>
        <v>0</v>
      </c>
      <c r="E32" s="19">
        <f>SUM(SUMIF(Games_4191[ATHLETE 1],Analysis_11195[[#This Row],[Atheletes ]],Games_4191[SALDO 12]),SUMIF(Games_4191[ATHLETE 2],Analysis_11195[[#This Row],[Atheletes ]],Games_4191[SALDO 12]),SUMIF(Games_4191[ATHLETE 3],Analysis_11195[[#This Row],[Atheletes ]],Games_4191[SALDO 34]),SUMIF(Games_4191[ATHLETE 4],Analysis_11195[[#This Row],[Atheletes ]],Games_4191[SALDO 34]))</f>
        <v>0</v>
      </c>
      <c r="F32" s="19">
        <f>SUM(SUMIF(Games_4191[ATHLETE 1],Analysis_11195[[#This Row],[Atheletes ]],Games_4191[PM 12]),SUMIF(Games_4191[ATHLETE 2],Analysis_11195[[#This Row],[Atheletes ]],Games_4191[PM 12]),SUMIF(Games_4191[ATHLETE 3],Analysis_11195[[#This Row],[Atheletes ]],Games_4191[PM 34]),SUMIF(Games_4191[ATHLETE 4],Analysis_11195[[#This Row],[Atheletes ]],Games_4191[PM 34]))</f>
        <v>0</v>
      </c>
      <c r="G32" s="14" t="str">
        <f>IF(COUNTBLANK(Games_4191[[SCORE 1]:[SCORE 2]])=0,IF(RANK(H32,$H$29:$H$32)=1,RANK(H32,$H$29:$H$32)&amp;"st",IF(RANK(H32,$H$29:$H$32)=2,RANK(H32,$H$29:$H$32)&amp;"nd",IF(RANK(H32,$H$29:$H$32)=3,RANK(H32,$H$29:$H$32)&amp;"rd",RANK(H32,$H$29:$H$32)&amp;"th"))),"")</f>
        <v/>
      </c>
      <c r="H32" s="51" t="str">
        <f>IF(COUNTBLANK(Games_4191[[SCORE 1]:[SCORE 2]])=0,Analysis_11195[[#This Row],[WIN]]*1000000+Analysis_11195[[#This Row],[Saldo]]*1000+Analysis_11195[[#This Row],[PM]],"")</f>
        <v/>
      </c>
      <c r="I32" s="2" t="str">
        <f t="shared" si="9"/>
        <v/>
      </c>
      <c r="J32" s="2" t="str">
        <f>IF(COUNTBLANK(Games_4191[[SCORE 1]:[SCORE 2]])=0,IF(RANK(I32,$I$17:$I$32)=1,RANK(I32,$I$17:$I$32)&amp;"st",IF(RANK(I32,$I$17:$I$32)=2,RANK(I32,$I$17:$I$32)&amp;"nd",IF(RANK(I32,$I$17:$I$32)=3,RANK(I32,$I$17:$I$32)&amp;"rd",RANK(I32,$I$17:$I$32)&amp;"th"))),"")</f>
        <v/>
      </c>
      <c r="K32" s="38" t="str">
        <f t="shared" si="10"/>
        <v>Rafa</v>
      </c>
      <c r="L32" s="44" t="str">
        <f t="shared" si="11"/>
        <v/>
      </c>
      <c r="M32" s="91" t="str">
        <f>IF(M30="","",RANK(M30,$M$30:$R$30))</f>
        <v/>
      </c>
      <c r="N32" s="91" t="str">
        <f>IF(N30="","",RANK(N30,$M$30:$R$30))</f>
        <v/>
      </c>
      <c r="O32" s="91"/>
      <c r="P32" s="91"/>
      <c r="Q32" s="91" t="str">
        <f>IF(Q30="","",RANK(Q30,$M$30:$R$30))</f>
        <v/>
      </c>
      <c r="R32" s="91" t="str">
        <f>IF(R30="","",RANK(R30,$M$30:$R$30))</f>
        <v/>
      </c>
    </row>
    <row r="33" spans="1:18" ht="29.1">
      <c r="M33" s="548" t="s">
        <v>200</v>
      </c>
      <c r="N33" s="549"/>
      <c r="O33" s="549"/>
      <c r="P33" s="549"/>
      <c r="Q33" s="549"/>
      <c r="R33" s="549"/>
    </row>
    <row r="34" spans="1:18" ht="15.95">
      <c r="A34" s="9" t="s">
        <v>184</v>
      </c>
      <c r="B34" s="10" t="s">
        <v>185</v>
      </c>
      <c r="C34" s="10" t="s">
        <v>186</v>
      </c>
      <c r="D34" s="10" t="s">
        <v>187</v>
      </c>
      <c r="E34" s="10" t="s">
        <v>188</v>
      </c>
      <c r="F34" s="10" t="s">
        <v>189</v>
      </c>
      <c r="G34" s="7" t="s">
        <v>8</v>
      </c>
      <c r="H34" s="20" t="s">
        <v>204</v>
      </c>
      <c r="L34" s="20" t="s">
        <v>192</v>
      </c>
      <c r="M34" s="418" t="s">
        <v>193</v>
      </c>
      <c r="N34" s="418" t="s">
        <v>194</v>
      </c>
      <c r="O34" s="542" t="s">
        <v>195</v>
      </c>
      <c r="P34" s="543"/>
      <c r="Q34" s="418" t="s">
        <v>196</v>
      </c>
      <c r="R34" s="418" t="s">
        <v>197</v>
      </c>
    </row>
    <row r="35" spans="1:18">
      <c r="A35" s="430" t="s">
        <v>233</v>
      </c>
      <c r="B35" s="118" t="s">
        <v>117</v>
      </c>
      <c r="C35" s="14">
        <f>SUM(COUNTIFS(Games_4191[ATHLETE 1],Analysis_12196[[#This Row],[Atheletes ]],Games_4191[RESULT 12],Analysis_9192[[#Headers],[WIN]]),COUNTIFS(Games_4191[ATHLETE 2],Analysis_12196[[#This Row],[Atheletes ]],Games_4191[RESULT 12],Analysis_9192[[#Headers],[WIN]]),COUNTIFS(Games_4191[ATHLETE 3],Analysis_12196[[#This Row],[Atheletes ]],Games_4191[RESULT 34],Analysis_9192[[#Headers],[WIN]]),COUNTIFS(Games_4191[ATHLETE 4],Analysis_12196[[#This Row],[Atheletes ]],Games_4191[RESULT 34],Analysis_9192[[#Headers],[WIN]]))</f>
        <v>0</v>
      </c>
      <c r="D35" s="14">
        <f>SUM(COUNTIFS(Games_4191[ATHLETE 1],Analysis_12196[[#This Row],[Atheletes ]],Games_4191[RESULT 12],Analysis_9192[[#Headers],[LOSE]]),COUNTIFS(Games_4191[ATHLETE 2],Analysis_12196[[#This Row],[Atheletes ]],Games_4191[RESULT 12],Analysis_9192[[#Headers],[LOSE]]),COUNTIFS(Games_4191[ATHLETE 3],Analysis_12196[[#This Row],[Atheletes ]],Games_4191[RESULT 34],Analysis_9192[[#Headers],[LOSE]]),COUNTIFS(Games_4191[ATHLETE 4],Analysis_12196[[#This Row],[Atheletes ]],Games_4191[RESULT 34],Analysis_9192[[#Headers],[LOSE]]))</f>
        <v>0</v>
      </c>
      <c r="E35" s="19">
        <f>SUM(SUMIF(Games_4191[ATHLETE 1],Analysis_12196[[#This Row],[Atheletes ]],Games_4191[SALDO 12]),SUMIF(Games_4191[ATHLETE 2],Analysis_12196[[#This Row],[Atheletes ]],Games_4191[SALDO 12]),SUMIF(Games_4191[ATHLETE 3],Analysis_12196[[#This Row],[Atheletes ]],Games_4191[SALDO 34]),SUMIF(Games_4191[ATHLETE 4],Analysis_12196[[#This Row],[Atheletes ]],Games_4191[SALDO 34]))</f>
        <v>0</v>
      </c>
      <c r="F35" s="19">
        <f>SUM(SUMIF(Games_4191[ATHLETE 1],Analysis_12196[[#This Row],[Atheletes ]],Games_4191[PM 12]),SUMIF(Games_4191[ATHLETE 2],Analysis_12196[[#This Row],[Atheletes ]],Games_4191[PM 12]),SUMIF(Games_4191[ATHLETE 3],Analysis_12196[[#This Row],[Atheletes ]],Games_4191[PM 34]),SUMIF(Games_4191[ATHLETE 4],Analysis_12196[[#This Row],[Atheletes ]],Games_4191[PM 34]))</f>
        <v>0</v>
      </c>
      <c r="G35" s="14" t="str">
        <f>IF(COUNTBLANK(Games_4191[[SCORE 1]:[SCORE 2]])=0,IF(RANK(H35,$H$35:$H$38)=1,RANK(H35,$H$35:$H$38)&amp;"st",IF(RANK(H35,$H$35:$H$38)=2,RANK(H35,$H$35:$H$38)&amp;"nd",IF(RANK(H35,$H$35:$H$38)=3,RANK(H35,$H$35:$H$38)&amp;"rd",RANK(H35,$H$35:$H$38)&amp;"th"))),"")</f>
        <v/>
      </c>
      <c r="H35" s="51" t="str">
        <f>IF(COUNTBLANK(Games_4191[[SCORE 1]:[SCORE 2]])=0,Analysis_12196[[#This Row],[WIN]]*1000000+Analysis_12196[[#This Row],[Saldo]]*1000+Analysis_12196[[#This Row],[PM]],"")</f>
        <v/>
      </c>
      <c r="L35" s="44" t="str">
        <f>J29</f>
        <v/>
      </c>
      <c r="M35" s="432" t="str">
        <f>IF(OR($O$28="",$P$28=""),"",IF($O$29="WIN",$M$28,$Q$28))</f>
        <v/>
      </c>
      <c r="N35" s="121"/>
      <c r="O35" s="119"/>
      <c r="P35" s="119"/>
      <c r="Q35" s="432" t="str">
        <f>IF(OR($O$28="",$P$28=""),"",IF($O$29="WIN",$N$28,$R$28))</f>
        <v/>
      </c>
      <c r="R35" s="122"/>
    </row>
    <row r="36" spans="1:18">
      <c r="A36" s="430" t="s">
        <v>234</v>
      </c>
      <c r="B36" s="118" t="s">
        <v>361</v>
      </c>
      <c r="C36" s="14">
        <f>SUM(COUNTIFS(Games_4191[ATHLETE 1],Analysis_12196[[#This Row],[Atheletes ]],Games_4191[RESULT 12],Analysis_9192[[#Headers],[WIN]]),COUNTIFS(Games_4191[ATHLETE 2],Analysis_12196[[#This Row],[Atheletes ]],Games_4191[RESULT 12],Analysis_9192[[#Headers],[WIN]]),COUNTIFS(Games_4191[ATHLETE 3],Analysis_12196[[#This Row],[Atheletes ]],Games_4191[RESULT 34],Analysis_9192[[#Headers],[WIN]]),COUNTIFS(Games_4191[ATHLETE 4],Analysis_12196[[#This Row],[Atheletes ]],Games_4191[RESULT 34],Analysis_9192[[#Headers],[WIN]]))</f>
        <v>0</v>
      </c>
      <c r="D36" s="14">
        <f>SUM(COUNTIFS(Games_4191[ATHLETE 1],Analysis_12196[[#This Row],[Atheletes ]],Games_4191[RESULT 12],Analysis_9192[[#Headers],[LOSE]]),COUNTIFS(Games_4191[ATHLETE 2],Analysis_12196[[#This Row],[Atheletes ]],Games_4191[RESULT 12],Analysis_9192[[#Headers],[LOSE]]),COUNTIFS(Games_4191[ATHLETE 3],Analysis_12196[[#This Row],[Atheletes ]],Games_4191[RESULT 34],Analysis_9192[[#Headers],[LOSE]]),COUNTIFS(Games_4191[ATHLETE 4],Analysis_12196[[#This Row],[Atheletes ]],Games_4191[RESULT 34],Analysis_9192[[#Headers],[LOSE]]))</f>
        <v>0</v>
      </c>
      <c r="E36" s="19">
        <f>SUM(SUMIF(Games_4191[ATHLETE 1],Analysis_12196[[#This Row],[Atheletes ]],Games_4191[SALDO 12]),SUMIF(Games_4191[ATHLETE 2],Analysis_12196[[#This Row],[Atheletes ]],Games_4191[SALDO 12]),SUMIF(Games_4191[ATHLETE 3],Analysis_12196[[#This Row],[Atheletes ]],Games_4191[SALDO 34]),SUMIF(Games_4191[ATHLETE 4],Analysis_12196[[#This Row],[Atheletes ]],Games_4191[SALDO 34]))</f>
        <v>0</v>
      </c>
      <c r="F36" s="19">
        <f>SUM(SUMIF(Games_4191[ATHLETE 1],Analysis_12196[[#This Row],[Atheletes ]],Games_4191[PM 12]),SUMIF(Games_4191[ATHLETE 2],Analysis_12196[[#This Row],[Atheletes ]],Games_4191[PM 12]),SUMIF(Games_4191[ATHLETE 3],Analysis_12196[[#This Row],[Atheletes ]],Games_4191[PM 34]),SUMIF(Games_4191[ATHLETE 4],Analysis_12196[[#This Row],[Atheletes ]],Games_4191[PM 34]))</f>
        <v>0</v>
      </c>
      <c r="G36" s="14" t="str">
        <f>IF(COUNTBLANK(Games_4191[[SCORE 1]:[SCORE 2]])=0,IF(RANK(H36,$H$35:$H$38)=1,RANK(H36,$H$35:$H$38)&amp;"st",IF(RANK(H36,$H$35:$H$38)=2,RANK(H36,$H$35:$H$38)&amp;"nd",IF(RANK(H36,$H$35:$H$38)=3,RANK(H36,$H$35:$H$38)&amp;"rd",RANK(H36,$H$35:$H$38)&amp;"th"))),"")</f>
        <v/>
      </c>
      <c r="H36" s="51" t="str">
        <f>IF(COUNTBLANK(Games_4191[[SCORE 1]:[SCORE 2]])=0,Analysis_12196[[#This Row],[WIN]]*1000000+Analysis_12196[[#This Row],[Saldo]]*1000+Analysis_12196[[#This Row],[PM]],"")</f>
        <v/>
      </c>
      <c r="L36" s="44" t="str">
        <f t="shared" ref="L36:L38" si="12">J30</f>
        <v/>
      </c>
      <c r="M36" s="125" t="str">
        <f>IF(O36="","",IF(O36="win",$U$3,$U$4))</f>
        <v/>
      </c>
      <c r="O36" s="2" t="str">
        <f>IF(OR(O35="",P35=""),"",IF((O35&gt;P35),"WIN","LOSE"))</f>
        <v/>
      </c>
      <c r="P36" s="2" t="str">
        <f>IF(OR(O35="",P35=""),"",IF((O35&lt;P35),"WIN","LOSE"))</f>
        <v/>
      </c>
      <c r="Q36" s="125" t="str">
        <f>IF(P36="","",IF(P36="win",$U$3,$U$4))</f>
        <v/>
      </c>
    </row>
    <row r="37" spans="1:18">
      <c r="A37" s="430" t="s">
        <v>235</v>
      </c>
      <c r="B37" s="118" t="s">
        <v>362</v>
      </c>
      <c r="C37" s="14">
        <f>SUM(COUNTIFS(Games_4191[ATHLETE 1],Analysis_12196[[#This Row],[Atheletes ]],Games_4191[RESULT 12],Analysis_9192[[#Headers],[WIN]]),COUNTIFS(Games_4191[ATHLETE 2],Analysis_12196[[#This Row],[Atheletes ]],Games_4191[RESULT 12],Analysis_9192[[#Headers],[WIN]]),COUNTIFS(Games_4191[ATHLETE 3],Analysis_12196[[#This Row],[Atheletes ]],Games_4191[RESULT 34],Analysis_9192[[#Headers],[WIN]]),COUNTIFS(Games_4191[ATHLETE 4],Analysis_12196[[#This Row],[Atheletes ]],Games_4191[RESULT 34],Analysis_9192[[#Headers],[WIN]]))</f>
        <v>0</v>
      </c>
      <c r="D37" s="14">
        <f>SUM(COUNTIFS(Games_4191[ATHLETE 1],Analysis_12196[[#This Row],[Atheletes ]],Games_4191[RESULT 12],Analysis_9192[[#Headers],[LOSE]]),COUNTIFS(Games_4191[ATHLETE 2],Analysis_12196[[#This Row],[Atheletes ]],Games_4191[RESULT 12],Analysis_9192[[#Headers],[LOSE]]),COUNTIFS(Games_4191[ATHLETE 3],Analysis_12196[[#This Row],[Atheletes ]],Games_4191[RESULT 34],Analysis_9192[[#Headers],[LOSE]]),COUNTIFS(Games_4191[ATHLETE 4],Analysis_12196[[#This Row],[Atheletes ]],Games_4191[RESULT 34],Analysis_9192[[#Headers],[LOSE]]))</f>
        <v>0</v>
      </c>
      <c r="E37" s="19">
        <f>SUM(SUMIF(Games_4191[ATHLETE 1],Analysis_12196[[#This Row],[Atheletes ]],Games_4191[SALDO 12]),SUMIF(Games_4191[ATHLETE 2],Analysis_12196[[#This Row],[Atheletes ]],Games_4191[SALDO 12]),SUMIF(Games_4191[ATHLETE 3],Analysis_12196[[#This Row],[Atheletes ]],Games_4191[SALDO 34]),SUMIF(Games_4191[ATHLETE 4],Analysis_12196[[#This Row],[Atheletes ]],Games_4191[SALDO 34]))</f>
        <v>0</v>
      </c>
      <c r="F37" s="19">
        <f>SUM(SUMIF(Games_4191[ATHLETE 1],Analysis_12196[[#This Row],[Atheletes ]],Games_4191[PM 12]),SUMIF(Games_4191[ATHLETE 2],Analysis_12196[[#This Row],[Atheletes ]],Games_4191[PM 12]),SUMIF(Games_4191[ATHLETE 3],Analysis_12196[[#This Row],[Atheletes ]],Games_4191[PM 34]),SUMIF(Games_4191[ATHLETE 4],Analysis_12196[[#This Row],[Atheletes ]],Games_4191[PM 34]))</f>
        <v>0</v>
      </c>
      <c r="G37" s="14" t="str">
        <f>IF(COUNTBLANK(Games_4191[[SCORE 1]:[SCORE 2]])=0,IF(RANK(H37,$H$35:$H$38)=1,RANK(H37,$H$35:$H$38)&amp;"st",IF(RANK(H37,$H$35:$H$38)=2,RANK(H37,$H$35:$H$38)&amp;"nd",IF(RANK(H37,$H$35:$H$38)=3,RANK(H37,$H$35:$H$38)&amp;"rd",RANK(H37,$H$35:$H$38)&amp;"th"))),"")</f>
        <v/>
      </c>
      <c r="H37" s="51" t="str">
        <f>IF(COUNTBLANK(Games_4191[[SCORE 1]:[SCORE 2]])=0,Analysis_12196[[#This Row],[WIN]]*1000000+Analysis_12196[[#This Row],[Saldo]]*1000+Analysis_12196[[#This Row],[PM]],"")</f>
        <v/>
      </c>
      <c r="L37" s="44" t="str">
        <f t="shared" si="12"/>
        <v/>
      </c>
    </row>
    <row r="38" spans="1:18">
      <c r="A38" s="430" t="s">
        <v>236</v>
      </c>
      <c r="B38" s="118" t="s">
        <v>363</v>
      </c>
      <c r="C38" s="14">
        <f>SUM(COUNTIFS(Games_4191[ATHLETE 1],Analysis_12196[[#This Row],[Atheletes ]],Games_4191[RESULT 12],Analysis_9192[[#Headers],[WIN]]),COUNTIFS(Games_4191[ATHLETE 2],Analysis_12196[[#This Row],[Atheletes ]],Games_4191[RESULT 12],Analysis_9192[[#Headers],[WIN]]),COUNTIFS(Games_4191[ATHLETE 3],Analysis_12196[[#This Row],[Atheletes ]],Games_4191[RESULT 34],Analysis_9192[[#Headers],[WIN]]),COUNTIFS(Games_4191[ATHLETE 4],Analysis_12196[[#This Row],[Atheletes ]],Games_4191[RESULT 34],Analysis_9192[[#Headers],[WIN]]))</f>
        <v>0</v>
      </c>
      <c r="D38" s="14">
        <f>SUM(COUNTIFS(Games_4191[ATHLETE 1],Analysis_12196[[#This Row],[Atheletes ]],Games_4191[RESULT 12],Analysis_9192[[#Headers],[LOSE]]),COUNTIFS(Games_4191[ATHLETE 2],Analysis_12196[[#This Row],[Atheletes ]],Games_4191[RESULT 12],Analysis_9192[[#Headers],[LOSE]]),COUNTIFS(Games_4191[ATHLETE 3],Analysis_12196[[#This Row],[Atheletes ]],Games_4191[RESULT 34],Analysis_9192[[#Headers],[LOSE]]),COUNTIFS(Games_4191[ATHLETE 4],Analysis_12196[[#This Row],[Atheletes ]],Games_4191[RESULT 34],Analysis_9192[[#Headers],[LOSE]]))</f>
        <v>0</v>
      </c>
      <c r="E38" s="19">
        <f>SUM(SUMIF(Games_4191[ATHLETE 1],Analysis_12196[[#This Row],[Atheletes ]],Games_4191[SALDO 12]),SUMIF(Games_4191[ATHLETE 2],Analysis_12196[[#This Row],[Atheletes ]],Games_4191[SALDO 12]),SUMIF(Games_4191[ATHLETE 3],Analysis_12196[[#This Row],[Atheletes ]],Games_4191[SALDO 34]),SUMIF(Games_4191[ATHLETE 4],Analysis_12196[[#This Row],[Atheletes ]],Games_4191[SALDO 34]))</f>
        <v>0</v>
      </c>
      <c r="F38" s="19">
        <f>SUM(SUMIF(Games_4191[ATHLETE 1],Analysis_12196[[#This Row],[Atheletes ]],Games_4191[PM 12]),SUMIF(Games_4191[ATHLETE 2],Analysis_12196[[#This Row],[Atheletes ]],Games_4191[PM 12]),SUMIF(Games_4191[ATHLETE 3],Analysis_12196[[#This Row],[Atheletes ]],Games_4191[PM 34]),SUMIF(Games_4191[ATHLETE 4],Analysis_12196[[#This Row],[Atheletes ]],Games_4191[PM 34]))</f>
        <v>0</v>
      </c>
      <c r="G38" s="14" t="str">
        <f>IF(COUNTBLANK(Games_4191[[SCORE 1]:[SCORE 2]])=0,IF(RANK(H38,$H$35:$H$38)=1,RANK(H38,$H$35:$H$38)&amp;"st",IF(RANK(H38,$H$35:$H$38)=2,RANK(H38,$H$35:$H$38)&amp;"nd",IF(RANK(H38,$H$35:$H$38)=3,RANK(H38,$H$35:$H$38)&amp;"rd",RANK(H38,$H$35:$H$38)&amp;"th"))),"")</f>
        <v/>
      </c>
      <c r="H38" s="51" t="str">
        <f>IF(COUNTBLANK(Games_4191[[SCORE 1]:[SCORE 2]])=0,Analysis_12196[[#This Row],[WIN]]*1000000+Analysis_12196[[#This Row],[Saldo]]*1000+Analysis_12196[[#This Row],[PM]],"")</f>
        <v/>
      </c>
      <c r="L38" s="44" t="str">
        <f t="shared" si="12"/>
        <v/>
      </c>
    </row>
    <row r="40" spans="1:18" ht="15.95" thickBot="1"/>
    <row r="41" spans="1:18" ht="15.95" thickBot="1">
      <c r="A41" s="123" t="s">
        <v>218</v>
      </c>
      <c r="B41" s="124">
        <v>45954</v>
      </c>
    </row>
  </sheetData>
  <sheetProtection algorithmName="SHA-512" hashValue="QTw7CY0vJsNVyUYF8CgETwc84SQlqAa/QFqrelbNikQt2ljAJ74nJv9jmt0FcrLqMde2gaqtsGruoYtDGonRdA==" saltValue="AlyoZlZcDWQbxrOdDh12eg==" spinCount="100000" sheet="1" objects="1" scenarios="1"/>
  <mergeCells count="10">
    <mergeCell ref="T1:U1"/>
    <mergeCell ref="A15:G15"/>
    <mergeCell ref="M15:R15"/>
    <mergeCell ref="O16:P16"/>
    <mergeCell ref="O21:P21"/>
    <mergeCell ref="M26:R26"/>
    <mergeCell ref="O27:P27"/>
    <mergeCell ref="M33:R33"/>
    <mergeCell ref="O34:P34"/>
    <mergeCell ref="A1:A12"/>
  </mergeCells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A5C9-5E2D-A941-8814-1C1D76E67C00}">
  <dimension ref="A1:X27"/>
  <sheetViews>
    <sheetView workbookViewId="0">
      <selection activeCell="C2" sqref="C2:C5"/>
    </sheetView>
    <sheetView workbookViewId="1">
      <selection sqref="A1:A10"/>
    </sheetView>
  </sheetViews>
  <sheetFormatPr defaultColWidth="8.85546875" defaultRowHeight="15"/>
  <cols>
    <col min="1" max="1" width="9.7109375" style="44" customWidth="1"/>
    <col min="2" max="4" width="20" style="44" customWidth="1"/>
    <col min="5" max="6" width="9.7109375" style="44" customWidth="1"/>
    <col min="7" max="7" width="20" style="44" customWidth="1"/>
    <col min="8" max="8" width="11.28515625" style="44" hidden="1" customWidth="1"/>
    <col min="9" max="9" width="12" style="44" hidden="1" customWidth="1"/>
    <col min="10" max="10" width="10.7109375" style="44" hidden="1" customWidth="1"/>
    <col min="11" max="11" width="8" style="44" hidden="1" customWidth="1"/>
    <col min="12" max="12" width="20" style="44" customWidth="1"/>
    <col min="13" max="13" width="13.42578125" style="44" bestFit="1" customWidth="1"/>
    <col min="14" max="15" width="14.140625" style="44" bestFit="1" customWidth="1"/>
    <col min="16" max="16" width="10.42578125" style="44" bestFit="1" customWidth="1"/>
    <col min="17" max="17" width="12.28515625" style="44" bestFit="1" customWidth="1"/>
    <col min="18" max="19" width="14.85546875" style="44" bestFit="1" customWidth="1"/>
    <col min="20" max="20" width="13.7109375" style="44" bestFit="1" customWidth="1"/>
    <col min="21" max="22" width="9.7109375" style="44" bestFit="1" customWidth="1"/>
    <col min="23" max="16384" width="8.85546875" style="44"/>
  </cols>
  <sheetData>
    <row r="1" spans="1:24">
      <c r="A1" s="550" t="s">
        <v>364</v>
      </c>
      <c r="B1" s="43" t="s">
        <v>161</v>
      </c>
      <c r="C1" s="419" t="s">
        <v>162</v>
      </c>
      <c r="D1" s="419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169</v>
      </c>
      <c r="K1" s="43" t="s">
        <v>178</v>
      </c>
      <c r="L1" s="43" t="s">
        <v>170</v>
      </c>
      <c r="M1" s="43" t="s">
        <v>171</v>
      </c>
      <c r="N1" s="43" t="s">
        <v>172</v>
      </c>
      <c r="O1" s="43" t="s">
        <v>173</v>
      </c>
      <c r="P1" s="43" t="s">
        <v>174</v>
      </c>
      <c r="Q1" s="43" t="s">
        <v>175</v>
      </c>
      <c r="R1" s="43" t="s">
        <v>176</v>
      </c>
      <c r="T1" s="544" t="s">
        <v>365</v>
      </c>
      <c r="U1" s="545"/>
      <c r="W1" s="44" t="s">
        <v>205</v>
      </c>
      <c r="X1" s="44">
        <f>COUNTIF(Table41013422336386130197200[[ATHLETE 1]:[ATHLETE 4]],W1)</f>
        <v>0</v>
      </c>
    </row>
    <row r="2" spans="1:24" ht="15" customHeight="1">
      <c r="A2" s="554"/>
      <c r="B2" s="430" t="s">
        <v>178</v>
      </c>
      <c r="C2" s="2" t="str">
        <f>$B$20</f>
        <v>H1</v>
      </c>
      <c r="D2" s="38" t="str">
        <f>B14</f>
        <v>Melissa</v>
      </c>
      <c r="E2" s="100"/>
      <c r="F2" s="101"/>
      <c r="G2" s="41" t="str">
        <f>$B$21</f>
        <v>H2</v>
      </c>
      <c r="H2" s="41"/>
      <c r="I2" s="41"/>
      <c r="J2" s="41"/>
      <c r="K2" s="41"/>
      <c r="L2" s="42" t="str">
        <f>B15</f>
        <v>Fabiola</v>
      </c>
      <c r="M2" s="430" t="str">
        <f>IF(OR(Table41013422336386130197200[[#This Row],[SCORE 1]]="",Table41013422336386130197200[[#This Row],[SCORE 2]]=""),"",Table41013422336386130197200[[#This Row],[SCORE 1]]-Table41013422336386130197200[[#This Row],[SCORE 2]])</f>
        <v/>
      </c>
      <c r="N2" s="430" t="str">
        <f>IF(OR(Table41013422336386130197200[[#This Row],[SCORE 1]]="",Table41013422336386130197200[[#This Row],[SCORE 2]]=""),"",Table41013422336386130197200[[#This Row],[SCORE 2]]-Table41013422336386130197200[[#This Row],[SCORE 1]])</f>
        <v/>
      </c>
      <c r="O2" s="430" t="str">
        <f>IF(Table41013422336386130197200[[#This Row],[SCORE 1]]="","",Table41013422336386130197200[[#This Row],[SCORE 1]])</f>
        <v/>
      </c>
      <c r="P2" s="430" t="str">
        <f>IF(Table41013422336386130197200[[#This Row],[SCORE 2]]="","",Table41013422336386130197200[[#This Row],[SCORE 2]])</f>
        <v/>
      </c>
      <c r="Q2" s="430" t="str">
        <f>IF(OR(Table41013422336386130197200[[#This Row],[SCORE 1]]="",Table41013422336386130197200[[#This Row],[SCORE 2]]=""),"",IF(Table41013422336386130197200[[#This Row],[SALDO 12]]&gt;0, "WIN","LOSE"))</f>
        <v/>
      </c>
      <c r="R2" s="430" t="str">
        <f>IF(OR(Table41013422336386130197200[[#This Row],[SCORE 2]]="",Table41013422336386130197200[[#This Row],[SCORE 1]]=""),"",IF(Table41013422336386130197200[[#This Row],[SALDO 34]]&gt;0, "WIN","LOSE"))</f>
        <v/>
      </c>
      <c r="T2" s="35" t="s">
        <v>179</v>
      </c>
      <c r="U2" s="35" t="s">
        <v>8</v>
      </c>
      <c r="W2" s="44" t="s">
        <v>206</v>
      </c>
      <c r="X2" s="44">
        <f>COUNTIF(Table41013422336386130197200[[ATHLETE 1]:[ATHLETE 4]],W2)</f>
        <v>0</v>
      </c>
    </row>
    <row r="3" spans="1:24">
      <c r="A3" s="554"/>
      <c r="B3" s="430" t="s">
        <v>178</v>
      </c>
      <c r="C3" s="2" t="str">
        <f t="shared" ref="C3:C10" si="0">$B$20</f>
        <v>H1</v>
      </c>
      <c r="D3" s="38" t="str">
        <f>B16</f>
        <v>Ana</v>
      </c>
      <c r="E3" s="100"/>
      <c r="F3" s="101"/>
      <c r="G3" s="41" t="str">
        <f t="shared" ref="G3:G6" si="1">$B$21</f>
        <v>H2</v>
      </c>
      <c r="H3" s="41"/>
      <c r="I3" s="41"/>
      <c r="J3" s="41"/>
      <c r="K3" s="41"/>
      <c r="L3" s="42" t="str">
        <f>B17</f>
        <v>Bia</v>
      </c>
      <c r="M3" s="430" t="str">
        <f>IF(OR(Table41013422336386130197200[[#This Row],[SCORE 1]]="",Table41013422336386130197200[[#This Row],[SCORE 2]]=""),"",Table41013422336386130197200[[#This Row],[SCORE 1]]-Table41013422336386130197200[[#This Row],[SCORE 2]])</f>
        <v/>
      </c>
      <c r="N3" s="430" t="str">
        <f>IF(OR(Table41013422336386130197200[[#This Row],[SCORE 1]]="",Table41013422336386130197200[[#This Row],[SCORE 2]]=""),"",Table41013422336386130197200[[#This Row],[SCORE 2]]-Table41013422336386130197200[[#This Row],[SCORE 1]])</f>
        <v/>
      </c>
      <c r="O3" s="430" t="str">
        <f>IF(Table41013422336386130197200[[#This Row],[SCORE 1]]="","",Table41013422336386130197200[[#This Row],[SCORE 1]])</f>
        <v/>
      </c>
      <c r="P3" s="430" t="str">
        <f>IF(Table41013422336386130197200[[#This Row],[SCORE 2]]="","",Table41013422336386130197200[[#This Row],[SCORE 2]])</f>
        <v/>
      </c>
      <c r="Q3" s="430" t="str">
        <f>IF(OR(Table41013422336386130197200[[#This Row],[SCORE 1]]="",Table41013422336386130197200[[#This Row],[SCORE 2]]=""),"",IF(Table41013422336386130197200[[#This Row],[SALDO 12]]&gt;0, "WIN","LOSE"))</f>
        <v/>
      </c>
      <c r="R3" s="430" t="str">
        <f>IF(OR(Table41013422336386130197200[[#This Row],[SCORE 2]]="",Table41013422336386130197200[[#This Row],[SCORE 1]]=""),"",IF(Table41013422336386130197200[[#This Row],[SALDO 34]]&gt;0, "WIN","LOSE"))</f>
        <v/>
      </c>
      <c r="T3" s="44" t="str">
        <f>IFERROR(_xlfn.XLOOKUP(Table157223544789133199202[[#This Row],[Rank]],$M$22:$R$22,$M$21:$R$21),"")</f>
        <v/>
      </c>
      <c r="U3" s="2" t="s">
        <v>19</v>
      </c>
      <c r="W3" s="44" t="s">
        <v>207</v>
      </c>
      <c r="X3" s="44">
        <f>COUNTIF(Table41013422336386130197200[[ATHLETE 1]:[ATHLETE 4]],W3)</f>
        <v>0</v>
      </c>
    </row>
    <row r="4" spans="1:24">
      <c r="A4" s="554"/>
      <c r="B4" s="430" t="s">
        <v>178</v>
      </c>
      <c r="C4" s="2" t="str">
        <f t="shared" si="0"/>
        <v>H1</v>
      </c>
      <c r="D4" s="38" t="str">
        <f>B18</f>
        <v>Michele</v>
      </c>
      <c r="E4" s="100"/>
      <c r="F4" s="101"/>
      <c r="G4" s="41" t="str">
        <f t="shared" si="1"/>
        <v>H2</v>
      </c>
      <c r="H4" s="41"/>
      <c r="I4" s="41"/>
      <c r="J4" s="41"/>
      <c r="K4" s="41"/>
      <c r="L4" s="42" t="str">
        <f>B19</f>
        <v>Luiza</v>
      </c>
      <c r="M4" s="430" t="str">
        <f>IF(OR(Table41013422336386130197200[[#This Row],[SCORE 1]]="",Table41013422336386130197200[[#This Row],[SCORE 2]]=""),"",Table41013422336386130197200[[#This Row],[SCORE 1]]-Table41013422336386130197200[[#This Row],[SCORE 2]])</f>
        <v/>
      </c>
      <c r="N4" s="430" t="str">
        <f>IF(OR(Table41013422336386130197200[[#This Row],[SCORE 1]]="",Table41013422336386130197200[[#This Row],[SCORE 2]]=""),"",Table41013422336386130197200[[#This Row],[SCORE 2]]-Table41013422336386130197200[[#This Row],[SCORE 1]])</f>
        <v/>
      </c>
      <c r="O4" s="430" t="str">
        <f>IF(Table41013422336386130197200[[#This Row],[SCORE 1]]="","",Table41013422336386130197200[[#This Row],[SCORE 1]])</f>
        <v/>
      </c>
      <c r="P4" s="430" t="str">
        <f>IF(Table41013422336386130197200[[#This Row],[SCORE 2]]="","",Table41013422336386130197200[[#This Row],[SCORE 2]])</f>
        <v/>
      </c>
      <c r="Q4" s="430" t="str">
        <f>IF(OR(Table41013422336386130197200[[#This Row],[SCORE 1]]="",Table41013422336386130197200[[#This Row],[SCORE 2]]=""),"",IF(Table41013422336386130197200[[#This Row],[SALDO 12]]&gt;0, "WIN","LOSE"))</f>
        <v/>
      </c>
      <c r="R4" s="430" t="str">
        <f>IF(OR(Table41013422336386130197200[[#This Row],[SCORE 2]]="",Table41013422336386130197200[[#This Row],[SCORE 1]]=""),"",IF(Table41013422336386130197200[[#This Row],[SALDO 34]]&gt;0, "WIN","LOSE"))</f>
        <v/>
      </c>
      <c r="T4" s="44" t="str">
        <f>IFERROR(_xlfn.XLOOKUP(Table157223544789133199202[[#This Row],[Rank]],$M$22:$R$22,$M$21:$R$21),"")</f>
        <v/>
      </c>
      <c r="U4" s="2" t="s">
        <v>22</v>
      </c>
      <c r="W4" s="44" t="s">
        <v>208</v>
      </c>
      <c r="X4" s="44">
        <f>COUNTIF(Table41013422336386130197200[[ATHLETE 1]:[ATHLETE 4]],W4)</f>
        <v>0</v>
      </c>
    </row>
    <row r="5" spans="1:24">
      <c r="A5" s="554"/>
      <c r="B5" s="430" t="s">
        <v>178</v>
      </c>
      <c r="C5" s="2" t="str">
        <f t="shared" si="0"/>
        <v>H1</v>
      </c>
      <c r="D5" s="38" t="str">
        <f>B14</f>
        <v>Melissa</v>
      </c>
      <c r="E5" s="100"/>
      <c r="F5" s="101"/>
      <c r="G5" s="41" t="str">
        <f t="shared" si="1"/>
        <v>H2</v>
      </c>
      <c r="H5" s="41"/>
      <c r="I5" s="41"/>
      <c r="J5" s="41"/>
      <c r="K5" s="41"/>
      <c r="L5" s="42" t="str">
        <f>B17</f>
        <v>Bia</v>
      </c>
      <c r="M5" s="430" t="str">
        <f>IF(OR(Table41013422336386130197200[[#This Row],[SCORE 1]]="",Table41013422336386130197200[[#This Row],[SCORE 2]]=""),"",Table41013422336386130197200[[#This Row],[SCORE 1]]-Table41013422336386130197200[[#This Row],[SCORE 2]])</f>
        <v/>
      </c>
      <c r="N5" s="430" t="str">
        <f>IF(OR(Table41013422336386130197200[[#This Row],[SCORE 1]]="",Table41013422336386130197200[[#This Row],[SCORE 2]]=""),"",Table41013422336386130197200[[#This Row],[SCORE 2]]-Table41013422336386130197200[[#This Row],[SCORE 1]])</f>
        <v/>
      </c>
      <c r="O5" s="430" t="str">
        <f>IF(Table41013422336386130197200[[#This Row],[SCORE 1]]="","",Table41013422336386130197200[[#This Row],[SCORE 1]])</f>
        <v/>
      </c>
      <c r="P5" s="430" t="str">
        <f>IF(Table41013422336386130197200[[#This Row],[SCORE 2]]="","",Table41013422336386130197200[[#This Row],[SCORE 2]])</f>
        <v/>
      </c>
      <c r="Q5" s="430" t="str">
        <f>IF(OR(Table41013422336386130197200[[#This Row],[SCORE 1]]="",Table41013422336386130197200[[#This Row],[SCORE 2]]=""),"",IF(Table41013422336386130197200[[#This Row],[SALDO 12]]&gt;0, "WIN","LOSE"))</f>
        <v/>
      </c>
      <c r="R5" s="430" t="str">
        <f>IF(OR(Table41013422336386130197200[[#This Row],[SCORE 2]]="",Table41013422336386130197200[[#This Row],[SCORE 1]]=""),"",IF(Table41013422336386130197200[[#This Row],[SALDO 34]]&gt;0, "WIN","LOSE"))</f>
        <v/>
      </c>
      <c r="T5" s="44" t="str">
        <f>IFERROR(_xlfn.XLOOKUP(Table157223544789133199202[[#This Row],[Rank]],$M$15:$R$15,$M$14:$R$14),"")</f>
        <v/>
      </c>
      <c r="U5" s="2" t="s">
        <v>25</v>
      </c>
      <c r="W5" s="44" t="s">
        <v>230</v>
      </c>
      <c r="X5" s="44">
        <f>COUNTIF(Table41013422336386130197200[[ATHLETE 1]:[ATHLETE 4]],W5)</f>
        <v>0</v>
      </c>
    </row>
    <row r="6" spans="1:24">
      <c r="A6" s="554"/>
      <c r="B6" s="430" t="s">
        <v>178</v>
      </c>
      <c r="C6" s="2" t="str">
        <f t="shared" si="0"/>
        <v>H1</v>
      </c>
      <c r="D6" s="38" t="str">
        <f>B15</f>
        <v>Fabiola</v>
      </c>
      <c r="E6" s="100"/>
      <c r="F6" s="101"/>
      <c r="G6" s="41" t="str">
        <f t="shared" si="1"/>
        <v>H2</v>
      </c>
      <c r="H6" s="41"/>
      <c r="I6" s="41"/>
      <c r="J6" s="41"/>
      <c r="K6" s="41"/>
      <c r="L6" s="42" t="str">
        <f>B18</f>
        <v>Michele</v>
      </c>
      <c r="M6" s="430" t="str">
        <f>IF(OR(Table41013422336386130197200[[#This Row],[SCORE 1]]="",Table41013422336386130197200[[#This Row],[SCORE 2]]=""),"",Table41013422336386130197200[[#This Row],[SCORE 1]]-Table41013422336386130197200[[#This Row],[SCORE 2]])</f>
        <v/>
      </c>
      <c r="N6" s="430" t="str">
        <f>IF(OR(Table41013422336386130197200[[#This Row],[SCORE 1]]="",Table41013422336386130197200[[#This Row],[SCORE 2]]=""),"",Table41013422336386130197200[[#This Row],[SCORE 2]]-Table41013422336386130197200[[#This Row],[SCORE 1]])</f>
        <v/>
      </c>
      <c r="O6" s="430" t="str">
        <f>IF(Table41013422336386130197200[[#This Row],[SCORE 1]]="","",Table41013422336386130197200[[#This Row],[SCORE 1]])</f>
        <v/>
      </c>
      <c r="P6" s="430" t="str">
        <f>IF(Table41013422336386130197200[[#This Row],[SCORE 2]]="","",Table41013422336386130197200[[#This Row],[SCORE 2]])</f>
        <v/>
      </c>
      <c r="Q6" s="430" t="str">
        <f>IF(OR(Table41013422336386130197200[[#This Row],[SCORE 1]]="",Table41013422336386130197200[[#This Row],[SCORE 2]]=""),"",IF(Table41013422336386130197200[[#This Row],[SALDO 12]]&gt;0, "WIN","LOSE"))</f>
        <v/>
      </c>
      <c r="R6" s="430" t="str">
        <f>IF(OR(Table41013422336386130197200[[#This Row],[SCORE 2]]="",Table41013422336386130197200[[#This Row],[SCORE 1]]=""),"",IF(Table41013422336386130197200[[#This Row],[SALDO 34]]&gt;0, "WIN","LOSE"))</f>
        <v/>
      </c>
      <c r="T6" s="44" t="str">
        <f>IFERROR(_xlfn.XLOOKUP(Table157223544789133199202[[#This Row],[Rank]],$M$15:$R$15,$M$14:$R$14),"")</f>
        <v/>
      </c>
      <c r="U6" s="2" t="s">
        <v>28</v>
      </c>
      <c r="W6" s="44" t="s">
        <v>245</v>
      </c>
      <c r="X6" s="44">
        <f>COUNTIF(Table41013422336386130197200[[ATHLETE 1]:[ATHLETE 4]],W6)</f>
        <v>0</v>
      </c>
    </row>
    <row r="7" spans="1:24">
      <c r="A7" s="554"/>
      <c r="B7" s="430" t="s">
        <v>178</v>
      </c>
      <c r="C7" s="2" t="str">
        <f t="shared" si="0"/>
        <v>H1</v>
      </c>
      <c r="D7" s="38" t="str">
        <f>B16</f>
        <v>Ana</v>
      </c>
      <c r="E7" s="100"/>
      <c r="F7" s="101"/>
      <c r="G7" s="41" t="str">
        <f>$B$21</f>
        <v>H2</v>
      </c>
      <c r="H7" s="41"/>
      <c r="I7" s="41"/>
      <c r="J7" s="41"/>
      <c r="K7" s="41"/>
      <c r="L7" s="42" t="str">
        <f>B19</f>
        <v>Luiza</v>
      </c>
      <c r="M7" s="430" t="str">
        <f>IF(OR(Table41013422336386130197200[[#This Row],[SCORE 1]]="",Table41013422336386130197200[[#This Row],[SCORE 2]]=""),"",Table41013422336386130197200[[#This Row],[SCORE 1]]-Table41013422336386130197200[[#This Row],[SCORE 2]])</f>
        <v/>
      </c>
      <c r="N7" s="430" t="str">
        <f>IF(OR(Table41013422336386130197200[[#This Row],[SCORE 1]]="",Table41013422336386130197200[[#This Row],[SCORE 2]]=""),"",Table41013422336386130197200[[#This Row],[SCORE 2]]-Table41013422336386130197200[[#This Row],[SCORE 1]])</f>
        <v/>
      </c>
      <c r="O7" s="430" t="str">
        <f>IF(Table41013422336386130197200[[#This Row],[SCORE 1]]="","",Table41013422336386130197200[[#This Row],[SCORE 1]])</f>
        <v/>
      </c>
      <c r="P7" s="430" t="str">
        <f>IF(Table41013422336386130197200[[#This Row],[SCORE 2]]="","",Table41013422336386130197200[[#This Row],[SCORE 2]])</f>
        <v/>
      </c>
      <c r="Q7" s="430" t="str">
        <f>IF(OR(Table41013422336386130197200[[#This Row],[SCORE 1]]="",Table41013422336386130197200[[#This Row],[SCORE 2]]=""),"",IF(Table41013422336386130197200[[#This Row],[SALDO 12]]&gt;0, "WIN","LOSE"))</f>
        <v/>
      </c>
      <c r="R7" s="430" t="str">
        <f>IF(OR(Table41013422336386130197200[[#This Row],[SCORE 2]]="",Table41013422336386130197200[[#This Row],[SCORE 1]]=""),"",IF(Table41013422336386130197200[[#This Row],[SALDO 34]]&gt;0, "WIN","LOSE"))</f>
        <v/>
      </c>
      <c r="T7" s="44" t="str">
        <f>IF($M$14="","",_xlfn.XLOOKUP(Table157223544789133199202[[#This Row],[Rank]],$J$14:$J$19,$K$14:$K$19))</f>
        <v/>
      </c>
      <c r="U7" s="2" t="s">
        <v>31</v>
      </c>
    </row>
    <row r="8" spans="1:24">
      <c r="A8" s="554"/>
      <c r="B8" s="430" t="s">
        <v>178</v>
      </c>
      <c r="C8" s="2" t="str">
        <f t="shared" si="0"/>
        <v>H1</v>
      </c>
      <c r="D8" s="38" t="str">
        <f>B15</f>
        <v>Fabiola</v>
      </c>
      <c r="E8" s="100"/>
      <c r="F8" s="101"/>
      <c r="G8" s="41" t="str">
        <f t="shared" ref="G8:G9" si="2">$B$21</f>
        <v>H2</v>
      </c>
      <c r="H8" s="41"/>
      <c r="I8" s="41"/>
      <c r="J8" s="41"/>
      <c r="K8" s="41"/>
      <c r="L8" s="42" t="str">
        <f>B17</f>
        <v>Bia</v>
      </c>
      <c r="M8" s="430" t="str">
        <f>IF(OR(Table41013422336386130197200[[#This Row],[SCORE 1]]="",Table41013422336386130197200[[#This Row],[SCORE 2]]=""),"",Table41013422336386130197200[[#This Row],[SCORE 1]]-Table41013422336386130197200[[#This Row],[SCORE 2]])</f>
        <v/>
      </c>
      <c r="N8" s="430" t="str">
        <f>IF(OR(Table41013422336386130197200[[#This Row],[SCORE 1]]="",Table41013422336386130197200[[#This Row],[SCORE 2]]=""),"",Table41013422336386130197200[[#This Row],[SCORE 2]]-Table41013422336386130197200[[#This Row],[SCORE 1]])</f>
        <v/>
      </c>
      <c r="O8" s="430" t="str">
        <f>IF(Table41013422336386130197200[[#This Row],[SCORE 1]]="","",Table41013422336386130197200[[#This Row],[SCORE 1]])</f>
        <v/>
      </c>
      <c r="P8" s="430" t="str">
        <f>IF(Table41013422336386130197200[[#This Row],[SCORE 2]]="","",Table41013422336386130197200[[#This Row],[SCORE 2]])</f>
        <v/>
      </c>
      <c r="Q8" s="430" t="str">
        <f>IF(OR(Table41013422336386130197200[[#This Row],[SCORE 1]]="",Table41013422336386130197200[[#This Row],[SCORE 2]]=""),"",IF(Table41013422336386130197200[[#This Row],[SALDO 12]]&gt;0, "WIN","LOSE"))</f>
        <v/>
      </c>
      <c r="R8" s="430" t="str">
        <f>IF(OR(Table41013422336386130197200[[#This Row],[SCORE 2]]="",Table41013422336386130197200[[#This Row],[SCORE 1]]=""),"",IF(Table41013422336386130197200[[#This Row],[SALDO 34]]&gt;0, "WIN","LOSE"))</f>
        <v/>
      </c>
      <c r="T8" s="44" t="str">
        <f>IF($M$14="","",_xlfn.XLOOKUP(Table157223544789133199202[[#This Row],[Rank]],$J$14:$J$19,$K$14:$K$19))</f>
        <v/>
      </c>
      <c r="U8" s="2" t="s">
        <v>34</v>
      </c>
    </row>
    <row r="9" spans="1:24">
      <c r="A9" s="554"/>
      <c r="B9" s="430" t="s">
        <v>178</v>
      </c>
      <c r="C9" s="2" t="str">
        <f t="shared" si="0"/>
        <v>H1</v>
      </c>
      <c r="D9" s="38" t="str">
        <f>B14</f>
        <v>Melissa</v>
      </c>
      <c r="E9" s="100"/>
      <c r="F9" s="101"/>
      <c r="G9" s="41" t="str">
        <f t="shared" si="2"/>
        <v>H2</v>
      </c>
      <c r="H9" s="41"/>
      <c r="I9" s="41"/>
      <c r="J9" s="41"/>
      <c r="K9" s="41"/>
      <c r="L9" s="42" t="str">
        <f>B19</f>
        <v>Luiza</v>
      </c>
      <c r="M9" s="430" t="str">
        <f>IF(OR(Table41013422336386130197200[[#This Row],[SCORE 1]]="",Table41013422336386130197200[[#This Row],[SCORE 2]]=""),"",Table41013422336386130197200[[#This Row],[SCORE 1]]-Table41013422336386130197200[[#This Row],[SCORE 2]])</f>
        <v/>
      </c>
      <c r="N9" s="430" t="str">
        <f>IF(OR(Table41013422336386130197200[[#This Row],[SCORE 1]]="",Table41013422336386130197200[[#This Row],[SCORE 2]]=""),"",Table41013422336386130197200[[#This Row],[SCORE 2]]-Table41013422336386130197200[[#This Row],[SCORE 1]])</f>
        <v/>
      </c>
      <c r="O9" s="430" t="str">
        <f>IF(Table41013422336386130197200[[#This Row],[SCORE 1]]="","",Table41013422336386130197200[[#This Row],[SCORE 1]])</f>
        <v/>
      </c>
      <c r="P9" s="430" t="str">
        <f>IF(Table41013422336386130197200[[#This Row],[SCORE 2]]="","",Table41013422336386130197200[[#This Row],[SCORE 2]])</f>
        <v/>
      </c>
      <c r="Q9" s="430" t="str">
        <f>IF(OR(Table41013422336386130197200[[#This Row],[SCORE 1]]="",Table41013422336386130197200[[#This Row],[SCORE 2]]=""),"",IF(Table41013422336386130197200[[#This Row],[SALDO 12]]&gt;0, "WIN","LOSE"))</f>
        <v/>
      </c>
      <c r="R9" s="430" t="str">
        <f>IF(OR(Table41013422336386130197200[[#This Row],[SCORE 2]]="",Table41013422336386130197200[[#This Row],[SCORE 1]]=""),"",IF(Table41013422336386130197200[[#This Row],[SALDO 34]]&gt;0, "WIN","LOSE"))</f>
        <v/>
      </c>
      <c r="U9" s="2"/>
    </row>
    <row r="10" spans="1:24">
      <c r="A10" s="554"/>
      <c r="B10" s="430" t="s">
        <v>178</v>
      </c>
      <c r="C10" s="2" t="str">
        <f t="shared" si="0"/>
        <v>H1</v>
      </c>
      <c r="D10" s="38" t="str">
        <f>B16</f>
        <v>Ana</v>
      </c>
      <c r="E10" s="100"/>
      <c r="F10" s="101"/>
      <c r="G10" s="41" t="str">
        <f>B21</f>
        <v>H2</v>
      </c>
      <c r="H10" s="41"/>
      <c r="I10" s="41"/>
      <c r="J10" s="41"/>
      <c r="K10" s="41"/>
      <c r="L10" s="42" t="str">
        <f>B18</f>
        <v>Michele</v>
      </c>
      <c r="M10" s="430" t="str">
        <f>IF(OR(Table41013422336386130197200[[#This Row],[SCORE 1]]="",Table41013422336386130197200[[#This Row],[SCORE 2]]=""),"",Table41013422336386130197200[[#This Row],[SCORE 1]]-Table41013422336386130197200[[#This Row],[SCORE 2]])</f>
        <v/>
      </c>
      <c r="N10" s="430" t="str">
        <f>IF(OR(Table41013422336386130197200[[#This Row],[SCORE 1]]="",Table41013422336386130197200[[#This Row],[SCORE 2]]=""),"",Table41013422336386130197200[[#This Row],[SCORE 2]]-Table41013422336386130197200[[#This Row],[SCORE 1]])</f>
        <v/>
      </c>
      <c r="O10" s="430" t="str">
        <f>IF(Table41013422336386130197200[[#This Row],[SCORE 1]]="","",Table41013422336386130197200[[#This Row],[SCORE 1]])</f>
        <v/>
      </c>
      <c r="P10" s="430" t="str">
        <f>IF(Table41013422336386130197200[[#This Row],[SCORE 2]]="","",Table41013422336386130197200[[#This Row],[SCORE 2]])</f>
        <v/>
      </c>
      <c r="Q10" s="430" t="str">
        <f>IF(OR(Table41013422336386130197200[[#This Row],[SCORE 1]]="",Table41013422336386130197200[[#This Row],[SCORE 2]]=""),"",IF(Table41013422336386130197200[[#This Row],[SALDO 12]]&gt;0, "WIN","LOSE"))</f>
        <v/>
      </c>
      <c r="R10" s="430" t="str">
        <f>IF(OR(Table41013422336386130197200[[#This Row],[SCORE 2]]="",Table41013422336386130197200[[#This Row],[SCORE 1]]=""),"",IF(Table41013422336386130197200[[#This Row],[SALDO 34]]&gt;0, "WIN","LOSE"))</f>
        <v/>
      </c>
    </row>
    <row r="11" spans="1:24" ht="30" customHeight="1"/>
    <row r="12" spans="1:24" ht="30" customHeight="1">
      <c r="A12" s="546" t="s">
        <v>182</v>
      </c>
      <c r="B12" s="547"/>
      <c r="C12" s="547"/>
      <c r="D12" s="547"/>
      <c r="E12" s="547"/>
      <c r="F12" s="547"/>
      <c r="G12" s="547"/>
      <c r="H12" s="420"/>
      <c r="I12" s="420"/>
      <c r="J12" s="420"/>
      <c r="K12" s="420"/>
      <c r="M12" s="548" t="s">
        <v>199</v>
      </c>
      <c r="N12" s="549"/>
      <c r="O12" s="549"/>
      <c r="P12" s="549"/>
      <c r="Q12" s="549"/>
      <c r="R12" s="549"/>
    </row>
    <row r="13" spans="1:24" ht="15.95">
      <c r="A13" s="6" t="s">
        <v>184</v>
      </c>
      <c r="B13" s="43" t="s">
        <v>185</v>
      </c>
      <c r="C13" s="43" t="s">
        <v>186</v>
      </c>
      <c r="D13" s="43" t="s">
        <v>187</v>
      </c>
      <c r="E13" s="43" t="s">
        <v>188</v>
      </c>
      <c r="F13" s="43" t="s">
        <v>189</v>
      </c>
      <c r="G13" s="43" t="s">
        <v>8</v>
      </c>
      <c r="H13" s="425" t="s">
        <v>204</v>
      </c>
      <c r="I13" s="425" t="s">
        <v>191</v>
      </c>
      <c r="J13" s="425" t="s">
        <v>192</v>
      </c>
      <c r="K13" s="425" t="s">
        <v>1</v>
      </c>
      <c r="M13" s="424" t="s">
        <v>193</v>
      </c>
      <c r="N13" s="424" t="s">
        <v>194</v>
      </c>
      <c r="O13" s="552" t="s">
        <v>195</v>
      </c>
      <c r="P13" s="553"/>
      <c r="Q13" s="424" t="s">
        <v>196</v>
      </c>
      <c r="R13" s="424" t="s">
        <v>197</v>
      </c>
    </row>
    <row r="14" spans="1:24">
      <c r="A14" s="3" t="s">
        <v>178</v>
      </c>
      <c r="B14" s="102" t="s">
        <v>135</v>
      </c>
      <c r="C14" s="14">
        <f>SUM(COUNTIF($Q$2,Table361114532437487131198201[[#Headers],[WIN]]),COUNTIF($R$3,Table361114532437487131198201[[#Headers],[WIN]]),COUNTIF($R$6,Table361114532437487131198201[[#Headers],[WIN]]),COUNTIF($R$10,Table361114532437487131198201[[#Headers],[WIN]]),COUNTIF($Q$8,Table361114532437487131198201[[#Headers],[WIN]]),COUNTIF($Q$5,Table361114532437487131198201[[#Headers],[WIN]]))</f>
        <v>0</v>
      </c>
      <c r="D14" s="14">
        <f>SUM(COUNTIF($Q$2,Table361114532437487131198201[[#Headers],[LOSE]]),COUNTIF($R$3,Table361114532437487131198201[[#Headers],[LOSE]]),COUNTIF($R$6,Table361114532437487131198201[[#Headers],[LOSE]]),COUNTIF($R$10,Table361114532437487131198201[[#Headers],[LOSE]]),COUNTIF($Q$8,Table361114532437487131198201[[#Headers],[LOSE]]),COUNTIF($Q$5,Table361114532437487131198201[[#Headers],[LOSE]]))</f>
        <v>0</v>
      </c>
      <c r="E14" s="46">
        <f>SUM($M$2,$N$3,$M$5,$N$6,$M$8,$N$10)</f>
        <v>0</v>
      </c>
      <c r="F14" s="46">
        <f>SUM($O$2,$P$3,$O$5,$P$6,$O$8,$P$10)</f>
        <v>0</v>
      </c>
      <c r="G14" s="430" t="str">
        <f>IF(COUNTBLANK(Table41013422336386130197200[[SCORE 1]:[SCORE 2]])=0,IF(RANK(H14,$H$14:$H$19)=1,RANK(H14,$H$14:$H$19)&amp;"st",IF(RANK(H14,$H$14:$H$19)=2,RANK(H14,$H$14:$H$19)&amp;"nd",IF(RANK(H14,$H$14:$H$19)=3,RANK(H14,$H$14:$H$19)&amp;"rd",RANK(H14,$H$14:$H$19)&amp;"th"))),"")</f>
        <v/>
      </c>
      <c r="H14" s="51">
        <f>Table361114532437487131198201[[#This Row],[WIN]]*1000000+Table361114532437487131198201[[#This Row],[Saldo]]*1000+Table361114532437487131198201[[#This Row],[PM]]</f>
        <v>0</v>
      </c>
      <c r="I14" s="51">
        <f>H14</f>
        <v>0</v>
      </c>
      <c r="J14" s="2" t="str">
        <f>IF(COUNTBLANK(Table41013422336386130197200[[SCORE 1]:[SCORE 2]])=0,IF(RANK(I14,$I$14:$I$19)=1,RANK(I14,$I$14:$I$19)&amp;"st",IF(RANK(I14,$I$14:$I$19)=2,RANK(I14,$I$14:$I$19)&amp;"nd",IF(RANK(I14,$I$14:$I$19)=3,RANK(I14,$I$14:$I$19)&amp;"rd",RANK(I14,$I$14:$I$19)&amp;"th"))),"")</f>
        <v/>
      </c>
      <c r="K14" s="51" t="str">
        <f>Table361114532437487131198201[[#This Row],[Atheletes ]]</f>
        <v>Melissa</v>
      </c>
      <c r="M14" s="8" t="str" cm="1">
        <f t="array" ref="M14">_xlfn.TEXTJOIN(", ", TRUE, _xlfn._xlws.FILTER($K$14:$K$19, $J$14:$J$19=$U$3, ""))</f>
        <v/>
      </c>
      <c r="N14" s="8" t="str" cm="1">
        <f t="array" ref="N14">_xlfn.TEXTJOIN(", ", TRUE, _xlfn._xlws.FILTER($K$14:$K$19, $J$14:$J$19=$U$4, ""))</f>
        <v/>
      </c>
      <c r="O14" s="99"/>
      <c r="P14" s="99"/>
      <c r="Q14" s="8" t="str" cm="1">
        <f t="array" ref="Q14">_xlfn.TEXTJOIN(", ", TRUE, _xlfn._xlws.FILTER($K$14:$K$19, $J$14:$J$19=$U$5, ""))</f>
        <v/>
      </c>
      <c r="R14" s="8" t="str" cm="1">
        <f t="array" ref="R14">_xlfn.TEXTJOIN(", ", TRUE, _xlfn._xlws.FILTER($K$14:$K$19, $J$14:$J$19=$U$6, ""))</f>
        <v/>
      </c>
    </row>
    <row r="15" spans="1:24">
      <c r="A15" s="3" t="s">
        <v>178</v>
      </c>
      <c r="B15" s="102" t="s">
        <v>136</v>
      </c>
      <c r="C15" s="14">
        <f>SUM(COUNTIF($R$2,Table361114532437487131198201[[#Headers],[WIN]]),COUNTIF($R$4,Table361114532437487131198201[[#Headers],[WIN]]),COUNTIF($Q$6,Table361114532437487131198201[[#Headers],[WIN]]),COUNTIF($Q$8,Table361114532437487131198201[[#Headers],[WIN]]),COUNTIF($R$9,Table361114532437487131198201[[#Headers],[WIN]]),COUNTIF($Q$7,Table361114532437487131198201[[#Headers],[WIN]]))</f>
        <v>0</v>
      </c>
      <c r="D15" s="14">
        <f>SUM(COUNTIF($R$2,Table361114532437487131198201[[#Headers],[LOSE]]),COUNTIF($R$4,Table361114532437487131198201[[#Headers],[LOSE]]),COUNTIF($Q$6,Table361114532437487131198201[[#Headers],[LOSE]]),COUNTIF($Q$8,Table361114532437487131198201[[#Headers],[LOSE]]),COUNTIF($R$9,Table361114532437487131198201[[#Headers],[LOSE]]),COUNTIF($Q$7,Table361114532437487131198201[[#Headers],[LOSE]]))</f>
        <v>0</v>
      </c>
      <c r="E15" s="46">
        <f>SUM($N$2,$N$4,$M$6,$M$7,$M$8,$N$9)</f>
        <v>0</v>
      </c>
      <c r="F15" s="46">
        <f>SUM($P$2,$P$4,$O$6,$O$7,$O$8,$P$9)</f>
        <v>0</v>
      </c>
      <c r="G15" s="430" t="str">
        <f>IF(COUNTBLANK(Table41013422336386130197200[[SCORE 1]:[SCORE 2]])=0,IF(RANK(H15,$H$14:$H$19)=1,RANK(H15,$H$14:$H$19)&amp;"st",IF(RANK(H15,$H$14:$H$19)=2,RANK(H15,$H$14:$H$19)&amp;"nd",IF(RANK(H15,$H$14:$H$19)=3,RANK(H15,$H$14:$H$19)&amp;"rd",RANK(H15,$H$14:$H$19)&amp;"th"))),"")</f>
        <v/>
      </c>
      <c r="H15" s="51">
        <f>Table361114532437487131198201[[#This Row],[WIN]]*1000000+Table361114532437487131198201[[#This Row],[Saldo]]*1000+Table361114532437487131198201[[#This Row],[PM]]</f>
        <v>0</v>
      </c>
      <c r="I15" s="51">
        <f t="shared" ref="I15:I19" si="3">H15</f>
        <v>0</v>
      </c>
      <c r="J15" s="2" t="str">
        <f>IF(COUNTBLANK(Table41013422336386130197200[[SCORE 1]:[SCORE 2]])=0,IF(RANK(I15,$I$14:$I$19)=1,RANK(I15,$I$14:$I$19)&amp;"st",IF(RANK(I15,$I$14:$I$19)=2,RANK(I15,$I$14:$I$19)&amp;"nd",IF(RANK(I15,$I$14:$I$19)=3,RANK(I15,$I$14:$I$19)&amp;"rd",RANK(I15,$I$14:$I$19)&amp;"th"))),"")</f>
        <v/>
      </c>
      <c r="K15" s="51" t="str">
        <f>Table361114532437487131198201[[#This Row],[Atheletes ]]</f>
        <v>Fabiola</v>
      </c>
      <c r="M15" s="52" t="str">
        <f>IF(OR($O$15="WIN",O14="",P14=""),"",IF($M$16&gt;$N$16,$U$5,$U$6))</f>
        <v/>
      </c>
      <c r="N15" s="52" t="str">
        <f>IF(OR(O14="",P14="",$O$15="WIN"),"",IF($M$16&lt;$N$16,$U$5,$U$6))</f>
        <v/>
      </c>
      <c r="O15" s="2" t="str">
        <f>IF(OR(O14="",P14=""),"",IF((O14&gt;P14),"WIN","LOSE"))</f>
        <v/>
      </c>
      <c r="P15" s="2" t="str">
        <f>IF(OR(O14="",P14=""),"",IF((O14&lt;P14),"WIN","LOSE"))</f>
        <v/>
      </c>
      <c r="Q15" s="52" t="str">
        <f>IF(OR(O14="",P14="",$P$15="WIN"),"",IF($M$16&gt;$N$16,$U$5,$U$6))</f>
        <v/>
      </c>
      <c r="R15" s="52" t="str">
        <f>IF(OR(O14="",P14="",$P$15="WIN"),"",IF($M$16&lt;$N$16,$U$5,$U$6))</f>
        <v/>
      </c>
      <c r="S15" s="47"/>
    </row>
    <row r="16" spans="1:24" ht="15.95">
      <c r="A16" s="5" t="s">
        <v>178</v>
      </c>
      <c r="B16" s="102" t="s">
        <v>366</v>
      </c>
      <c r="C16" s="14">
        <f>SUM(COUNTIF($Q$3,Table361114532437487131198201[[#Headers],[WIN]]),COUNTIF($R$4,Table361114532437487131198201[[#Headers],[WIN]]),COUNTIF($R$5,Table361114532437487131198201[[#Headers],[WIN]]),COUNTIF($R$8,Table361114532437487131198201[[#Headers],[WIN]]),COUNTIF($R$6,Table361114532437487131198201[[#Headers],[WIN]]),COUNTIF($Q$9,Table361114532437487131198201[[#Headers],[WIN]]))</f>
        <v>0</v>
      </c>
      <c r="D16" s="14">
        <f>SUM(COUNTIF($Q$3,Table361114532437487131198201[[#Headers],[LOSE]]),COUNTIF($R$4,Table361114532437487131198201[[#Headers],[LOSE]]),COUNTIF($R$5,Table361114532437487131198201[[#Headers],[LOSE]]),COUNTIF($R$8,Table361114532437487131198201[[#Headers],[LOSE]]),COUNTIF($R$6,Table361114532437487131198201[[#Headers],[LOSE]]),COUNTIF($Q$9,Table361114532437487131198201[[#Headers],[LOSE]]))</f>
        <v>0</v>
      </c>
      <c r="E16" s="46">
        <f>SUM($M$3,$N$4,$N$5,$N$6,$N$8,$N$9)</f>
        <v>0</v>
      </c>
      <c r="F16" s="46">
        <f>SUM($O$3,$P$5,$P$4,$P$6,$P$8,$O$9)</f>
        <v>0</v>
      </c>
      <c r="G16" s="430" t="str">
        <f>IF(COUNTBLANK(Table41013422336386130197200[[SCORE 1]:[SCORE 2]])=0,IF(RANK(H16,$H$14:$H$19)=1,RANK(H16,$H$14:$H$19)&amp;"st",IF(RANK(H16,$H$14:$H$19)=2,RANK(H16,$H$14:$H$19)&amp;"nd",IF(RANK(H16,$H$14:$H$19)=3,RANK(H16,$H$14:$H$19)&amp;"rd",RANK(H16,$H$14:$H$19)&amp;"th"))),"")</f>
        <v/>
      </c>
      <c r="H16" s="51">
        <f>Table361114532437487131198201[[#This Row],[WIN]]*1000000+Table361114532437487131198201[[#This Row],[Saldo]]*1000+Table361114532437487131198201[[#This Row],[PM]]</f>
        <v>0</v>
      </c>
      <c r="I16" s="51">
        <f t="shared" si="3"/>
        <v>0</v>
      </c>
      <c r="J16" s="2" t="str">
        <f>IF(COUNTBLANK(Table41013422336386130197200[[SCORE 1]:[SCORE 2]])=0,IF(RANK(I16,$I$14:$I$19)=1,RANK(I16,$I$14:$I$19)&amp;"st",IF(RANK(I16,$I$14:$I$19)=2,RANK(I16,$I$14:$I$19)&amp;"nd",IF(RANK(I16,$I$14:$I$19)=3,RANK(I16,$I$14:$I$19)&amp;"rd",RANK(I16,$I$14:$I$19)&amp;"th"))),"")</f>
        <v/>
      </c>
      <c r="K16" s="51" t="str">
        <f>Table361114532437487131198201[[#This Row],[Atheletes ]]</f>
        <v>Ana</v>
      </c>
      <c r="M16" s="376"/>
      <c r="N16" s="376"/>
    </row>
    <row r="17" spans="1:18">
      <c r="A17" s="3" t="s">
        <v>178</v>
      </c>
      <c r="B17" s="102" t="s">
        <v>141</v>
      </c>
      <c r="C17" s="14">
        <f>SUM(COUNTIF($Q$3,Table361114532437487131198201[[#Headers],[WIN]]),COUNTIF($Q$4,Table361114532437487131198201[[#Headers],[WIN]]),COUNTIF($Q$5,Table361114532437487131198201[[#Headers],[WIN]]),COUNTIF($Q$10,Table361114532437487131198201[[#Headers],[WIN]]),COUNTIF($Q$9,Table361114532437487131198201[[#Headers],[WIN]]),COUNTIF($Q$7,Table361114532437487131198201[[#Headers],[WIN]]))</f>
        <v>0</v>
      </c>
      <c r="D17" s="14">
        <f>SUM(COUNTIF($Q$3,Table361114532437487131198201[[#Headers],[LOSE]]),COUNTIF($Q$4,Table361114532437487131198201[[#Headers],[LOSE]]),COUNTIF($Q$5,Table361114532437487131198201[[#Headers],[LOSE]]),COUNTIF($Q$10,Table361114532437487131198201[[#Headers],[LOSE]]),COUNTIF($Q$9,Table361114532437487131198201[[#Headers],[LOSE]]),COUNTIF($Q$7,Table361114532437487131198201[[#Headers],[LOSE]]))</f>
        <v>0</v>
      </c>
      <c r="E17" s="46">
        <f>SUM($M$3,$M$4,$M$5,$M$7,$M$10,$M$9)</f>
        <v>0</v>
      </c>
      <c r="F17" s="46">
        <f>SUM($O$3,$O$4,$O$5,$O$7,$O$10,$O$9)</f>
        <v>0</v>
      </c>
      <c r="G17" s="430" t="str">
        <f>IF(COUNTBLANK(Table41013422336386130197200[[SCORE 1]:[SCORE 2]])=0,IF(RANK(H17,$H$14:$H$19)=1,RANK(H17,$H$14:$H$19)&amp;"st",IF(RANK(H17,$H$14:$H$19)=2,RANK(H17,$H$14:$H$19)&amp;"nd",IF(RANK(H17,$H$14:$H$19)=3,RANK(H17,$H$14:$H$19)&amp;"rd",RANK(H17,$H$14:$H$19)&amp;"th"))),"")</f>
        <v/>
      </c>
      <c r="H17" s="51">
        <f>Table361114532437487131198201[[#This Row],[WIN]]*1000000+Table361114532437487131198201[[#This Row],[Saldo]]*1000+Table361114532437487131198201[[#This Row],[PM]]</f>
        <v>0</v>
      </c>
      <c r="I17" s="51">
        <f t="shared" si="3"/>
        <v>0</v>
      </c>
      <c r="J17" s="2" t="str">
        <f>IF(COUNTBLANK(Table41013422336386130197200[[SCORE 1]:[SCORE 2]])=0,IF(RANK(I17,$I$14:$I$19)=1,RANK(I17,$I$14:$I$19)&amp;"st",IF(RANK(I17,$I$14:$I$19)=2,RANK(I17,$I$14:$I$19)&amp;"nd",IF(RANK(I17,$I$14:$I$19)=3,RANK(I17,$I$14:$I$19)&amp;"rd",RANK(I17,$I$14:$I$19)&amp;"th"))),"")</f>
        <v/>
      </c>
      <c r="K17" s="51" t="str">
        <f>Table361114532437487131198201[[#This Row],[Atheletes ]]</f>
        <v>Bia</v>
      </c>
    </row>
    <row r="18" spans="1:18">
      <c r="A18" s="3" t="s">
        <v>178</v>
      </c>
      <c r="B18" s="102" t="s">
        <v>367</v>
      </c>
      <c r="C18" s="430">
        <f>SUM(COUNTIF($R$2,Table361114532437487131198201[[#Headers],[WIN]]),COUNTIF($R$3,Table361114532437487131198201[[#Headers],[WIN]]),COUNTIF($R$5,Table361114532437487131198201[[#Headers],[WIN]]),COUNTIF($Q$10,Table361114532437487131198201[[#Headers],[WIN]]),COUNTIF($R$7,Table361114532437487131198201[[#Headers],[WIN]]),COUNTIF($R$9,Table361114532437487131198201[[#Headers],[WIN]]))</f>
        <v>0</v>
      </c>
      <c r="D18" s="14">
        <f>SUM(COUNTIF($R$2,Table361114532437487131198201[[#Headers],[LOSE]]),COUNTIF($R$3,Table361114532437487131198201[[#Headers],[LOSE]]),COUNTIF($R$5,Table361114532437487131198201[[#Headers],[LOSE]]),COUNTIF($Q$10,Table361114532437487131198201[[#Headers],[LOSE]]),COUNTIF($R$7,Table361114532437487131198201[[#Headers],[LOSE]]),COUNTIF($R$9,Table361114532437487131198201[[#Headers],[LOSE]]))</f>
        <v>0</v>
      </c>
      <c r="E18" s="88">
        <f>SUM($N$2,$N$3,$N$5,$N$7,$M$10,$N$9)</f>
        <v>0</v>
      </c>
      <c r="F18" s="430">
        <f>SUM($P$2,$P$3,$P$5,$P$7,$O$10,$P$9)</f>
        <v>0</v>
      </c>
      <c r="G18" s="430" t="str">
        <f>IF(COUNTBLANK(Table41013422336386130197200[[SCORE 1]:[SCORE 2]])=0,IF(RANK(H18,$H$14:$H$19)=1,RANK(H18,$H$14:$H$19)&amp;"st",IF(RANK(H18,$H$14:$H$19)=2,RANK(H18,$H$14:$H$19)&amp;"nd",IF(RANK(H18,$H$14:$H$19)=3,RANK(H18,$H$14:$H$19)&amp;"rd",RANK(H18,$H$14:$H$19)&amp;"th"))),"")</f>
        <v/>
      </c>
      <c r="H18" s="51">
        <f>Table361114532437487131198201[[#This Row],[WIN]]*1000000+Table361114532437487131198201[[#This Row],[Saldo]]*1000+Table361114532437487131198201[[#This Row],[PM]]</f>
        <v>0</v>
      </c>
      <c r="I18" s="51">
        <f t="shared" si="3"/>
        <v>0</v>
      </c>
      <c r="J18" s="2" t="str">
        <f>IF(COUNTBLANK(Table41013422336386130197200[[SCORE 1]:[SCORE 2]])=0,IF(RANK(I18,$I$14:$I$19)=1,RANK(I18,$I$14:$I$19)&amp;"st",IF(RANK(I18,$I$14:$I$19)=2,RANK(I18,$I$14:$I$19)&amp;"nd",IF(RANK(I18,$I$14:$I$19)=3,RANK(I18,$I$14:$I$19)&amp;"rd",RANK(I18,$I$14:$I$19)&amp;"th"))),"")</f>
        <v/>
      </c>
      <c r="K18" s="51" t="str">
        <f>Table361114532437487131198201[[#This Row],[Atheletes ]]</f>
        <v>Michele</v>
      </c>
    </row>
    <row r="19" spans="1:18" ht="28.5" customHeight="1">
      <c r="A19" s="3" t="s">
        <v>178</v>
      </c>
      <c r="B19" s="102" t="s">
        <v>142</v>
      </c>
      <c r="C19" s="11">
        <f>SUM(COUNTIF($Q$2,Table361114532437487131198201[[#Headers],[WIN]]),COUNTIF($Q$4,Table361114532437487131198201[[#Headers],[WIN]]),COUNTIF($R$7,Table361114532437487131198201[[#Headers],[WIN]]),COUNTIF($R$10,Table361114532437487131198201[[#Headers],[WIN]]),COUNTIF($R$8,Table361114532437487131198201[[#Headers],[WIN]]),COUNTIF($Q$6,Table361114532437487131198201[[#Headers],[WIN]]))</f>
        <v>0</v>
      </c>
      <c r="D19" s="2">
        <f>SUM(COUNTIF($Q$2,Table361114532437487131198201[[#Headers],[LOSE]]),COUNTIF($Q$4,Table361114532437487131198201[[#Headers],[LOSE]]),COUNTIF($R$7,Table361114532437487131198201[[#Headers],[LOSE]]),COUNTIF($R$10,Table361114532437487131198201[[#Headers],[LOSE]]),COUNTIF($R$8,Table361114532437487131198201[[#Headers],[LOSE]]),COUNTIF($Q$6,Table361114532437487131198201[[#Headers],[LOSE]]))</f>
        <v>0</v>
      </c>
      <c r="E19" s="89">
        <f>SUM($M$2,$M$4,$M$6,$N$7,$N$8,$N$10)</f>
        <v>0</v>
      </c>
      <c r="F19" s="11">
        <f>SUM($O$2,$O$4,$O$6,$P$7,$P$8,$P$10)</f>
        <v>0</v>
      </c>
      <c r="G19" s="430" t="str">
        <f>IF(COUNTBLANK(Table41013422336386130197200[[SCORE 1]:[SCORE 2]])=0,IF(RANK(H19,$H$14:$H$19)=1,RANK(H19,$H$14:$H$19)&amp;"st",IF(RANK(H19,$H$14:$H$19)=2,RANK(H19,$H$14:$H$19)&amp;"nd",IF(RANK(H19,$H$14:$H$19)=3,RANK(H19,$H$14:$H$19)&amp;"rd",RANK(H19,$H$14:$H$19)&amp;"th"))),"")</f>
        <v/>
      </c>
      <c r="H19" s="51">
        <f>Table361114532437487131198201[[#This Row],[WIN]]*1000000+Table361114532437487131198201[[#This Row],[Saldo]]*1000+Table361114532437487131198201[[#This Row],[PM]]</f>
        <v>0</v>
      </c>
      <c r="I19" s="51">
        <f t="shared" si="3"/>
        <v>0</v>
      </c>
      <c r="J19" s="2" t="str">
        <f>IF(COUNTBLANK(Table41013422336386130197200[[SCORE 1]:[SCORE 2]])=0,IF(RANK(I19,$I$14:$I$19)=1,RANK(I19,$I$14:$I$19)&amp;"st",IF(RANK(I19,$I$14:$I$19)=2,RANK(I19,$I$14:$I$19)&amp;"nd",IF(RANK(I19,$I$14:$I$19)=3,RANK(I19,$I$14:$I$19)&amp;"rd",RANK(I19,$I$14:$I$19)&amp;"th"))),"")</f>
        <v/>
      </c>
      <c r="K19" s="51" t="str">
        <f>Table361114532437487131198201[[#This Row],[Atheletes ]]</f>
        <v>Luiza</v>
      </c>
      <c r="M19" s="548" t="s">
        <v>200</v>
      </c>
      <c r="N19" s="549"/>
      <c r="O19" s="549"/>
      <c r="P19" s="549"/>
      <c r="Q19" s="549"/>
      <c r="R19" s="549"/>
    </row>
    <row r="20" spans="1:18">
      <c r="A20" s="2" t="s">
        <v>324</v>
      </c>
      <c r="B20" s="113" t="s">
        <v>325</v>
      </c>
      <c r="C20" s="11" t="s">
        <v>249</v>
      </c>
      <c r="D20" s="11" t="s">
        <v>249</v>
      </c>
      <c r="E20" s="11" t="s">
        <v>249</v>
      </c>
      <c r="F20" s="11" t="s">
        <v>249</v>
      </c>
      <c r="G20" s="11" t="s">
        <v>249</v>
      </c>
      <c r="H20" s="11" t="s">
        <v>249</v>
      </c>
      <c r="I20" s="11" t="s">
        <v>249</v>
      </c>
      <c r="J20" s="11" t="s">
        <v>249</v>
      </c>
      <c r="K20" s="11" t="s">
        <v>249</v>
      </c>
      <c r="M20" s="424" t="s">
        <v>193</v>
      </c>
      <c r="N20" s="424" t="s">
        <v>194</v>
      </c>
      <c r="O20" s="552" t="s">
        <v>195</v>
      </c>
      <c r="P20" s="553"/>
      <c r="Q20" s="424" t="s">
        <v>196</v>
      </c>
      <c r="R20" s="424" t="s">
        <v>197</v>
      </c>
    </row>
    <row r="21" spans="1:18">
      <c r="A21" s="2" t="s">
        <v>324</v>
      </c>
      <c r="B21" s="113" t="s">
        <v>326</v>
      </c>
      <c r="C21" s="11" t="s">
        <v>249</v>
      </c>
      <c r="D21" s="11" t="s">
        <v>249</v>
      </c>
      <c r="E21" s="11" t="s">
        <v>249</v>
      </c>
      <c r="F21" s="11" t="s">
        <v>249</v>
      </c>
      <c r="G21" s="11" t="s">
        <v>249</v>
      </c>
      <c r="H21" s="11" t="s">
        <v>249</v>
      </c>
      <c r="I21" s="11" t="s">
        <v>249</v>
      </c>
      <c r="J21" s="11" t="s">
        <v>249</v>
      </c>
      <c r="K21" s="11" t="s">
        <v>249</v>
      </c>
      <c r="M21" s="432" t="str">
        <f>IF(OR($O$14="",$P$14=""),"",IF($O$15="WIN",$M$14,$Q$14))</f>
        <v/>
      </c>
      <c r="N21" s="115"/>
      <c r="O21" s="99"/>
      <c r="P21" s="98"/>
      <c r="Q21" s="432" t="str">
        <f>IF(OR($O$14="",$P$14=""),"",IF($O$15="WIN",$N$14,$R$14))</f>
        <v/>
      </c>
      <c r="R21" s="115"/>
    </row>
    <row r="22" spans="1:18">
      <c r="I22" s="51"/>
      <c r="J22" s="51"/>
      <c r="K22" s="51"/>
      <c r="M22" s="50" t="str">
        <f>IF(OR($O$21="",$P$21=""),"",IF($O$22="win",$U$3,$U$4))</f>
        <v/>
      </c>
      <c r="O22" s="2" t="str">
        <f>IF(OR(O21="",P21=""),"",IF((O21&gt;P21),"WIN","LOSE"))</f>
        <v/>
      </c>
      <c r="P22" s="2" t="str">
        <f>IF(OR(O21="",P21=""),"",IF((O21&lt;P21),"WIN","LOSE"))</f>
        <v/>
      </c>
      <c r="Q22" s="50" t="str">
        <f>IF(OR($O$21="",$P$21=""),"",IF($P$22="win",$U$3,$U$4))</f>
        <v/>
      </c>
    </row>
    <row r="23" spans="1:18">
      <c r="I23" s="51"/>
      <c r="J23" s="51"/>
      <c r="K23" s="51"/>
    </row>
    <row r="27" spans="1:18">
      <c r="A27" s="44" t="s">
        <v>327</v>
      </c>
      <c r="B27" s="374">
        <v>45954</v>
      </c>
    </row>
  </sheetData>
  <sheetProtection algorithmName="SHA-512" hashValue="jYCokzf2Gfis0K39zBSVdd8Kj2ZlEPFaquM09u50E0DISFkxNsN2uBO0JUhDaa0sp3RlZCmcnOVEWHo+92VVAQ==" saltValue="/k9TVQNDflHiDW4B+KUe/A==" spinCount="100000" sheet="1" objects="1" scenarios="1"/>
  <mergeCells count="7">
    <mergeCell ref="O20:P20"/>
    <mergeCell ref="A1:A10"/>
    <mergeCell ref="T1:U1"/>
    <mergeCell ref="A12:G12"/>
    <mergeCell ref="M12:R12"/>
    <mergeCell ref="O13:P13"/>
    <mergeCell ref="M19:R19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1AF8-FDA5-0C48-A3FE-BACACAB10C9F}">
  <dimension ref="A1:Y50"/>
  <sheetViews>
    <sheetView topLeftCell="B1" workbookViewId="0">
      <selection activeCell="A14" sqref="A14"/>
    </sheetView>
    <sheetView workbookViewId="1">
      <selection sqref="A1:A13"/>
    </sheetView>
  </sheetViews>
  <sheetFormatPr defaultColWidth="8.85546875" defaultRowHeight="15"/>
  <cols>
    <col min="1" max="1" width="13.42578125" customWidth="1"/>
    <col min="2" max="3" width="25" customWidth="1"/>
    <col min="4" max="4" width="12.7109375" customWidth="1"/>
    <col min="5" max="5" width="12.85546875" bestFit="1" customWidth="1"/>
    <col min="6" max="7" width="7.140625" bestFit="1" customWidth="1"/>
    <col min="8" max="8" width="11.28515625" hidden="1" customWidth="1"/>
    <col min="9" max="10" width="13.28515625" hidden="1" customWidth="1"/>
    <col min="11" max="11" width="8" hidden="1" customWidth="1"/>
    <col min="12" max="12" width="25" customWidth="1"/>
    <col min="13" max="13" width="13.42578125" bestFit="1" customWidth="1"/>
    <col min="14" max="15" width="14.140625" bestFit="1" customWidth="1"/>
    <col min="16" max="17" width="10.42578125" bestFit="1" customWidth="1"/>
    <col min="18" max="19" width="14.85546875" bestFit="1" customWidth="1"/>
    <col min="20" max="20" width="25" customWidth="1"/>
    <col min="21" max="22" width="9.7109375" bestFit="1" customWidth="1"/>
  </cols>
  <sheetData>
    <row r="1" spans="1:21" ht="15" customHeight="1" thickTop="1">
      <c r="A1" s="551" t="s">
        <v>368</v>
      </c>
      <c r="B1" s="7" t="s">
        <v>161</v>
      </c>
      <c r="C1" s="20" t="s">
        <v>163</v>
      </c>
      <c r="D1" s="7" t="s">
        <v>164</v>
      </c>
      <c r="E1" s="7" t="s">
        <v>165</v>
      </c>
      <c r="F1" s="175" t="s">
        <v>167</v>
      </c>
      <c r="G1" s="175" t="s">
        <v>168</v>
      </c>
      <c r="H1" s="43" t="s">
        <v>169</v>
      </c>
      <c r="I1" s="43" t="s">
        <v>292</v>
      </c>
      <c r="J1" s="43" t="s">
        <v>293</v>
      </c>
      <c r="K1" s="43" t="s">
        <v>178</v>
      </c>
      <c r="L1" s="24" t="s">
        <v>170</v>
      </c>
      <c r="M1" s="7" t="s">
        <v>171</v>
      </c>
      <c r="N1" s="7" t="s">
        <v>172</v>
      </c>
      <c r="O1" s="7" t="s">
        <v>173</v>
      </c>
      <c r="P1" s="7" t="s">
        <v>174</v>
      </c>
      <c r="Q1" s="7" t="s">
        <v>175</v>
      </c>
      <c r="R1" s="7" t="s">
        <v>176</v>
      </c>
      <c r="T1" s="603" t="s">
        <v>294</v>
      </c>
      <c r="U1" s="604"/>
    </row>
    <row r="2" spans="1:21" ht="15" customHeight="1">
      <c r="A2" s="551"/>
      <c r="B2" s="13" t="s">
        <v>178</v>
      </c>
      <c r="C2" s="174" t="str">
        <f>B17</f>
        <v>Mari / Shahar</v>
      </c>
      <c r="D2" s="116"/>
      <c r="E2" s="116"/>
      <c r="F2" s="63"/>
      <c r="G2" s="63"/>
      <c r="H2" s="63"/>
      <c r="I2" s="63"/>
      <c r="J2" s="63"/>
      <c r="K2" s="63"/>
      <c r="L2" s="16" t="str">
        <f>B18</f>
        <v>Huçana / Bo</v>
      </c>
      <c r="M2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2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2" s="13" t="str">
        <f>IF(Table4101317251247545298684173134187[[#This Row],[SCORE 1]]="","",Table4101317251247545298684173134187[[#This Row],[SCORE 1]])</f>
        <v/>
      </c>
      <c r="P2" s="13" t="str">
        <f>IF(Table4101317251247545298684173134187[[#This Row],[SCORE 2]]="","",Table4101317251247545298684173134187[[#This Row],[SCORE 2]])</f>
        <v/>
      </c>
      <c r="Q2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2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  <c r="T2" s="188" t="s">
        <v>179</v>
      </c>
      <c r="U2" s="189" t="s">
        <v>8</v>
      </c>
    </row>
    <row r="3" spans="1:21">
      <c r="A3" s="551"/>
      <c r="B3" s="13" t="s">
        <v>180</v>
      </c>
      <c r="C3" s="174" t="str">
        <f>B23</f>
        <v>Piu / Carol</v>
      </c>
      <c r="D3" s="116"/>
      <c r="E3" s="116"/>
      <c r="F3" s="63"/>
      <c r="G3" s="63"/>
      <c r="H3" s="63"/>
      <c r="I3" s="63"/>
      <c r="J3" s="63"/>
      <c r="K3" s="63"/>
      <c r="L3" s="16" t="str">
        <f>B24</f>
        <v>Ana / Alex</v>
      </c>
      <c r="M3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3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3" s="13" t="str">
        <f>IF(Table4101317251247545298684173134187[[#This Row],[SCORE 1]]="","",Table4101317251247545298684173134187[[#This Row],[SCORE 1]])</f>
        <v/>
      </c>
      <c r="P3" s="13" t="str">
        <f>IF(Table4101317251247545298684173134187[[#This Row],[SCORE 2]]="","",Table4101317251247545298684173134187[[#This Row],[SCORE 2]])</f>
        <v/>
      </c>
      <c r="Q3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3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  <c r="T3" s="190" t="str">
        <f>IFERROR(_xlfn.XLOOKUP(Table15202832506072101714577137190[[#This Row],[Rank]],#REF!,$M$48:$R$48),"")</f>
        <v/>
      </c>
      <c r="U3" s="191" t="s">
        <v>19</v>
      </c>
    </row>
    <row r="4" spans="1:21">
      <c r="A4" s="551"/>
      <c r="B4" s="13" t="s">
        <v>178</v>
      </c>
      <c r="C4" s="174" t="str">
        <f>B19</f>
        <v>Stephanie / Andrew</v>
      </c>
      <c r="D4" s="116"/>
      <c r="E4" s="116"/>
      <c r="F4" s="63"/>
      <c r="G4" s="63"/>
      <c r="H4" s="63"/>
      <c r="I4" s="63"/>
      <c r="J4" s="63"/>
      <c r="K4" s="63"/>
      <c r="L4" s="16" t="str">
        <f>B20</f>
        <v>Mari M. / Ricardo</v>
      </c>
      <c r="M4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4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4" s="13" t="str">
        <f>IF(Table4101317251247545298684173134187[[#This Row],[SCORE 1]]="","",Table4101317251247545298684173134187[[#This Row],[SCORE 1]])</f>
        <v/>
      </c>
      <c r="P4" s="13" t="str">
        <f>IF(Table4101317251247545298684173134187[[#This Row],[SCORE 2]]="","",Table4101317251247545298684173134187[[#This Row],[SCORE 2]])</f>
        <v/>
      </c>
      <c r="Q4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4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  <c r="T4" s="190" t="str">
        <f>IFERROR(_xlfn.XLOOKUP(Table15202832506072101714577137190[[#This Row],[Rank]],#REF!,$M$48:$R$48),"")</f>
        <v/>
      </c>
      <c r="U4" s="191" t="s">
        <v>22</v>
      </c>
    </row>
    <row r="5" spans="1:21">
      <c r="A5" s="551"/>
      <c r="B5" s="13" t="s">
        <v>180</v>
      </c>
      <c r="C5" s="174" t="str">
        <f>B25</f>
        <v>Natalie / Marcos</v>
      </c>
      <c r="D5" s="116"/>
      <c r="E5" s="116"/>
      <c r="F5" s="63"/>
      <c r="G5" s="63"/>
      <c r="H5" s="63"/>
      <c r="I5" s="63"/>
      <c r="J5" s="63"/>
      <c r="K5" s="63"/>
      <c r="L5" s="16" t="str">
        <f>B26</f>
        <v>Bia / Evan</v>
      </c>
      <c r="M5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5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5" s="13" t="str">
        <f>IF(Table4101317251247545298684173134187[[#This Row],[SCORE 1]]="","",Table4101317251247545298684173134187[[#This Row],[SCORE 1]])</f>
        <v/>
      </c>
      <c r="P5" s="13" t="str">
        <f>IF(Table4101317251247545298684173134187[[#This Row],[SCORE 2]]="","",Table4101317251247545298684173134187[[#This Row],[SCORE 2]])</f>
        <v/>
      </c>
      <c r="Q5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5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  <c r="T5" s="190" t="str">
        <f>IFERROR(_xlfn.XLOOKUP(Table15202832506072101714577137190[[#This Row],[Rank]],#REF!,$M$34:$R$34),"")</f>
        <v/>
      </c>
      <c r="U5" s="191" t="s">
        <v>25</v>
      </c>
    </row>
    <row r="6" spans="1:21">
      <c r="A6" s="551"/>
      <c r="B6" s="13" t="s">
        <v>178</v>
      </c>
      <c r="C6" s="174" t="str">
        <f>B17</f>
        <v>Mari / Shahar</v>
      </c>
      <c r="D6" s="116"/>
      <c r="E6" s="116"/>
      <c r="F6" s="63"/>
      <c r="G6" s="63"/>
      <c r="H6" s="63"/>
      <c r="I6" s="63"/>
      <c r="J6" s="63"/>
      <c r="K6" s="63"/>
      <c r="L6" s="16" t="str">
        <f>B19</f>
        <v>Stephanie / Andrew</v>
      </c>
      <c r="M6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6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6" s="13" t="str">
        <f>IF(Table4101317251247545298684173134187[[#This Row],[SCORE 1]]="","",Table4101317251247545298684173134187[[#This Row],[SCORE 1]])</f>
        <v/>
      </c>
      <c r="P6" s="13" t="str">
        <f>IF(Table4101317251247545298684173134187[[#This Row],[SCORE 2]]="","",Table4101317251247545298684173134187[[#This Row],[SCORE 2]])</f>
        <v/>
      </c>
      <c r="Q6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6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  <c r="T6" s="190" t="str">
        <f>IFERROR(_xlfn.XLOOKUP(Table15202832506072101714577137190[[#This Row],[Rank]],#REF!,$M$34:$R$34),"")</f>
        <v/>
      </c>
      <c r="U6" s="191" t="s">
        <v>28</v>
      </c>
    </row>
    <row r="7" spans="1:21">
      <c r="A7" s="551"/>
      <c r="B7" s="13" t="s">
        <v>180</v>
      </c>
      <c r="C7" s="174" t="str">
        <f>B23</f>
        <v>Piu / Carol</v>
      </c>
      <c r="D7" s="116"/>
      <c r="E7" s="116"/>
      <c r="F7" s="63"/>
      <c r="G7" s="63"/>
      <c r="H7" s="63"/>
      <c r="I7" s="63"/>
      <c r="J7" s="63"/>
      <c r="K7" s="63"/>
      <c r="L7" s="16" t="str">
        <f>B25</f>
        <v>Natalie / Marcos</v>
      </c>
      <c r="M7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7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7" s="13" t="str">
        <f>IF(Table4101317251247545298684173134187[[#This Row],[SCORE 1]]="","",Table4101317251247545298684173134187[[#This Row],[SCORE 1]])</f>
        <v/>
      </c>
      <c r="P7" s="13" t="str">
        <f>IF(Table4101317251247545298684173134187[[#This Row],[SCORE 2]]="","",Table4101317251247545298684173134187[[#This Row],[SCORE 2]])</f>
        <v/>
      </c>
      <c r="Q7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7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  <c r="T7" s="190"/>
      <c r="U7" s="191" t="s">
        <v>31</v>
      </c>
    </row>
    <row r="8" spans="1:21">
      <c r="A8" s="551"/>
      <c r="B8" s="13" t="s">
        <v>178</v>
      </c>
      <c r="C8" s="174" t="str">
        <f>B18</f>
        <v>Huçana / Bo</v>
      </c>
      <c r="D8" s="116"/>
      <c r="E8" s="116"/>
      <c r="F8" s="63"/>
      <c r="G8" s="63"/>
      <c r="H8" s="63"/>
      <c r="I8" s="63"/>
      <c r="J8" s="63"/>
      <c r="K8" s="63"/>
      <c r="L8" s="16" t="str">
        <f>B20</f>
        <v>Mari M. / Ricardo</v>
      </c>
      <c r="M8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8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8" s="13" t="str">
        <f>IF(Table4101317251247545298684173134187[[#This Row],[SCORE 1]]="","",Table4101317251247545298684173134187[[#This Row],[SCORE 1]])</f>
        <v/>
      </c>
      <c r="P8" s="13" t="str">
        <f>IF(Table4101317251247545298684173134187[[#This Row],[SCORE 2]]="","",Table4101317251247545298684173134187[[#This Row],[SCORE 2]])</f>
        <v/>
      </c>
      <c r="Q8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8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  <c r="T8" s="190"/>
      <c r="U8" s="191" t="s">
        <v>34</v>
      </c>
    </row>
    <row r="9" spans="1:21">
      <c r="A9" s="551"/>
      <c r="B9" s="13" t="s">
        <v>180</v>
      </c>
      <c r="C9" s="174" t="str">
        <f>B24</f>
        <v>Ana / Alex</v>
      </c>
      <c r="D9" s="116"/>
      <c r="E9" s="116"/>
      <c r="F9" s="63"/>
      <c r="G9" s="63"/>
      <c r="H9" s="63"/>
      <c r="I9" s="63"/>
      <c r="J9" s="63"/>
      <c r="K9" s="63"/>
      <c r="L9" s="16" t="str">
        <f>B26</f>
        <v>Bia / Evan</v>
      </c>
      <c r="M9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9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9" s="13" t="str">
        <f>IF(Table4101317251247545298684173134187[[#This Row],[SCORE 1]]="","",Table4101317251247545298684173134187[[#This Row],[SCORE 1]])</f>
        <v/>
      </c>
      <c r="P9" s="13" t="str">
        <f>IF(Table4101317251247545298684173134187[[#This Row],[SCORE 2]]="","",Table4101317251247545298684173134187[[#This Row],[SCORE 2]])</f>
        <v/>
      </c>
      <c r="Q9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9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  <c r="T9" s="190"/>
      <c r="U9" s="191" t="s">
        <v>37</v>
      </c>
    </row>
    <row r="10" spans="1:21" ht="15.95" thickBot="1">
      <c r="A10" s="551"/>
      <c r="B10" s="13" t="s">
        <v>178</v>
      </c>
      <c r="C10" s="174" t="str">
        <f>B17</f>
        <v>Mari / Shahar</v>
      </c>
      <c r="D10" s="116"/>
      <c r="E10" s="116"/>
      <c r="F10" s="63"/>
      <c r="G10" s="63"/>
      <c r="H10" s="63"/>
      <c r="I10" s="63"/>
      <c r="J10" s="63"/>
      <c r="K10" s="63"/>
      <c r="L10" s="16" t="str">
        <f>B20</f>
        <v>Mari M. / Ricardo</v>
      </c>
      <c r="M10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10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10" s="13" t="str">
        <f>IF(Table4101317251247545298684173134187[[#This Row],[SCORE 1]]="","",Table4101317251247545298684173134187[[#This Row],[SCORE 1]])</f>
        <v/>
      </c>
      <c r="P10" s="13" t="str">
        <f>IF(Table4101317251247545298684173134187[[#This Row],[SCORE 2]]="","",Table4101317251247545298684173134187[[#This Row],[SCORE 2]])</f>
        <v/>
      </c>
      <c r="Q10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10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  <c r="T10" s="192"/>
      <c r="U10" s="193" t="s">
        <v>41</v>
      </c>
    </row>
    <row r="11" spans="1:21" ht="15.95" thickTop="1">
      <c r="A11" s="551"/>
      <c r="B11" s="13" t="s">
        <v>180</v>
      </c>
      <c r="C11" s="174" t="str">
        <f>B23</f>
        <v>Piu / Carol</v>
      </c>
      <c r="D11" s="116"/>
      <c r="E11" s="116"/>
      <c r="F11" s="63"/>
      <c r="G11" s="63"/>
      <c r="H11" s="63"/>
      <c r="I11" s="63"/>
      <c r="J11" s="63"/>
      <c r="K11" s="63"/>
      <c r="L11" s="16" t="str">
        <f>B26</f>
        <v>Bia / Evan</v>
      </c>
      <c r="M11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11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11" s="13" t="str">
        <f>IF(Table4101317251247545298684173134187[[#This Row],[SCORE 1]]="","",Table4101317251247545298684173134187[[#This Row],[SCORE 1]])</f>
        <v/>
      </c>
      <c r="P11" s="13" t="str">
        <f>IF(Table4101317251247545298684173134187[[#This Row],[SCORE 2]]="","",Table4101317251247545298684173134187[[#This Row],[SCORE 2]])</f>
        <v/>
      </c>
      <c r="Q11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11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  <c r="T11" s="17" t="s">
        <v>295</v>
      </c>
    </row>
    <row r="12" spans="1:21">
      <c r="A12" s="551"/>
      <c r="B12" s="13" t="s">
        <v>178</v>
      </c>
      <c r="C12" s="174" t="str">
        <f>B18</f>
        <v>Huçana / Bo</v>
      </c>
      <c r="D12" s="116"/>
      <c r="E12" s="116"/>
      <c r="F12" s="63"/>
      <c r="G12" s="63"/>
      <c r="H12" s="63"/>
      <c r="I12" s="63"/>
      <c r="J12" s="63"/>
      <c r="K12" s="63"/>
      <c r="L12" s="16" t="str">
        <f>B19</f>
        <v>Stephanie / Andrew</v>
      </c>
      <c r="M12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12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12" s="13" t="str">
        <f>IF(Table4101317251247545298684173134187[[#This Row],[SCORE 1]]="","",Table4101317251247545298684173134187[[#This Row],[SCORE 1]])</f>
        <v/>
      </c>
      <c r="P12" s="13" t="str">
        <f>IF(Table4101317251247545298684173134187[[#This Row],[SCORE 2]]="","",Table4101317251247545298684173134187[[#This Row],[SCORE 2]])</f>
        <v/>
      </c>
      <c r="Q12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12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</row>
    <row r="13" spans="1:21">
      <c r="A13" s="551"/>
      <c r="B13" s="13" t="s">
        <v>180</v>
      </c>
      <c r="C13" s="174" t="str">
        <f>B24</f>
        <v>Ana / Alex</v>
      </c>
      <c r="D13" s="116"/>
      <c r="E13" s="116"/>
      <c r="F13" s="63"/>
      <c r="G13" s="63"/>
      <c r="H13" s="63"/>
      <c r="I13" s="63"/>
      <c r="J13" s="63"/>
      <c r="K13" s="63"/>
      <c r="L13" s="16" t="str">
        <f>B25</f>
        <v>Natalie / Marcos</v>
      </c>
      <c r="M13" s="13" t="str">
        <f>IF(OR(Table4101317251247545298684173134187[[#This Row],[SCORE 1]]="",Table4101317251247545298684173134187[[#This Row],[SCORE 2]]=""),"",Table4101317251247545298684173134187[[#This Row],[SCORE 1]]-Table4101317251247545298684173134187[[#This Row],[SCORE 2]])</f>
        <v/>
      </c>
      <c r="N13" s="13" t="str">
        <f>IF(OR(Table4101317251247545298684173134187[[#This Row],[SCORE 1]]="",Table4101317251247545298684173134187[[#This Row],[SCORE 2]]=""),"",Table4101317251247545298684173134187[[#This Row],[SCORE 2]]-Table4101317251247545298684173134187[[#This Row],[SCORE 1]])</f>
        <v/>
      </c>
      <c r="O13" s="13" t="str">
        <f>IF(Table4101317251247545298684173134187[[#This Row],[SCORE 1]]="","",Table4101317251247545298684173134187[[#This Row],[SCORE 1]])</f>
        <v/>
      </c>
      <c r="P13" s="13" t="str">
        <f>IF(Table4101317251247545298684173134187[[#This Row],[SCORE 2]]="","",Table4101317251247545298684173134187[[#This Row],[SCORE 2]])</f>
        <v/>
      </c>
      <c r="Q13" s="13" t="str">
        <f>IF(OR(Table4101317251247545298684173134187[[#This Row],[SCORE 1]]="",Table4101317251247545298684173134187[[#This Row],[SCORE 2]]=""),"",IF(Table4101317251247545298684173134187[[#This Row],[SALDO 12]]&gt;0, "WIN","LOSE"))</f>
        <v/>
      </c>
      <c r="R13" s="13" t="str">
        <f>IF(OR(Table4101317251247545298684173134187[[#This Row],[SCORE 1]]="",Table4101317251247545298684173134187[[#This Row],[SCORE 2]]=""),"",IF(Table4101317251247545298684173134187[[#This Row],[SALDO 34]]&gt;0, "WIN","LOSE"))</f>
        <v/>
      </c>
    </row>
    <row r="14" spans="1:21" ht="30" customHeight="1" thickBot="1"/>
    <row r="15" spans="1:21" ht="30" customHeight="1">
      <c r="A15" s="546" t="s">
        <v>182</v>
      </c>
      <c r="B15" s="547"/>
      <c r="C15" s="547"/>
      <c r="D15" s="547"/>
      <c r="E15" s="547"/>
      <c r="F15" s="547"/>
      <c r="G15" s="547"/>
      <c r="H15" s="420"/>
      <c r="I15" s="420"/>
      <c r="J15" s="420"/>
      <c r="K15" s="420"/>
      <c r="M15" s="560" t="s">
        <v>183</v>
      </c>
      <c r="N15" s="561"/>
      <c r="O15" s="561"/>
      <c r="P15" s="561"/>
      <c r="Q15" s="561"/>
      <c r="R15" s="562"/>
    </row>
    <row r="16" spans="1:21" ht="15.95">
      <c r="A16" s="6" t="s">
        <v>184</v>
      </c>
      <c r="B16" s="7" t="s">
        <v>296</v>
      </c>
      <c r="C16" s="7" t="s">
        <v>186</v>
      </c>
      <c r="D16" s="7" t="s">
        <v>187</v>
      </c>
      <c r="E16" s="7" t="s">
        <v>188</v>
      </c>
      <c r="F16" s="7" t="s">
        <v>189</v>
      </c>
      <c r="G16" s="7" t="s">
        <v>8</v>
      </c>
      <c r="H16" s="80" t="s">
        <v>204</v>
      </c>
      <c r="I16" s="20" t="s">
        <v>191</v>
      </c>
      <c r="J16" s="20" t="s">
        <v>192</v>
      </c>
      <c r="K16" s="20" t="s">
        <v>1</v>
      </c>
      <c r="L16" s="20" t="s">
        <v>192</v>
      </c>
      <c r="M16" s="601" t="s">
        <v>297</v>
      </c>
      <c r="N16" s="553"/>
      <c r="O16" s="179" t="s">
        <v>195</v>
      </c>
      <c r="P16" s="180"/>
      <c r="Q16" s="552" t="s">
        <v>298</v>
      </c>
      <c r="R16" s="602"/>
    </row>
    <row r="17" spans="1:25">
      <c r="A17" s="4" t="s">
        <v>205</v>
      </c>
      <c r="B17" s="171" t="s">
        <v>369</v>
      </c>
      <c r="C17" s="14">
        <f>SUM(COUNTIFS(Table4101317251247545298684173134187[ATHLETE 2],Table36111418263048555399694375135188[[#This Row],[Team]],Table4101317251247545298684173134187[RESULT 12],Table36111418263048555399694375135188[[#Headers],[WIN]]),COUNTIFS(Table4101317251247545298684173134187[ATHLETE 4],Table36111418263048555399694375135188[[#This Row],[Team]],Table4101317251247545298684173134187[RESULT 34],Table36111418263048555399694375135188[[#Headers],[WIN]]))</f>
        <v>0</v>
      </c>
      <c r="D17" s="14">
        <f>SUM(COUNTIFS(Table4101317251247545298684173134187[ATHLETE 2],Table36111418263048555399694375135188[[#This Row],[Team]],Table4101317251247545298684173134187[RESULT 12],Table36111418263048555399694375135188[[#Headers],[LOSE]]),COUNTIFS(Table4101317251247545298684173134187[ATHLETE 4],Table36111418263048555399694375135188[[#This Row],[Team]],Table4101317251247545298684173134187[RESULT 34],Table36111418263048555399694375135188[[#Headers],[LOSE]]))</f>
        <v>0</v>
      </c>
      <c r="E17" s="19">
        <f>SUM(SUMIF(Table4101317251247545298684173134187[ATHLETE 2],Table36111418263048555399694375135188[[#This Row],[Team]],Table4101317251247545298684173134187[SALDO 12]),SUMIF(Table4101317251247545298684173134187[ATHLETE 4],Table36111418263048555399694375135188[[#This Row],[Team]],Table4101317251247545298684173134187[SALDO 34]))</f>
        <v>0</v>
      </c>
      <c r="F17" s="19">
        <f>SUM(SUMIF(Table4101317251247545298684173134187[ATHLETE 2],Table36111418263048555399694375135188[[#This Row],[Team]],Table4101317251247545298684173134187[PM 12]),SUMIF(Table4101317251247545298684173134187[ATHLETE 4],Table36111418263048555399694375135188[[#This Row],[Team]],Table4101317251247545298684173134187[PM 34]))</f>
        <v>0</v>
      </c>
      <c r="G17" s="14" t="str">
        <f>IF(COUNTBLANK(Table4101317251247545298684173134187[[SCORE 1]:[SCORE 2]])=0,IF(RANK(H17,$H$17:$H$20)=1,RANK(H17,$H$17:$H$20)&amp;"st",IF(RANK(H17,$H$17:$H$20)=2,RANK(H17,$H$17:$H$20)&amp;"nd",RANK(H17,$H$17:$H$20)&amp;"th")),"")</f>
        <v/>
      </c>
      <c r="H17" s="51">
        <f>Table36111418263048555399694375135188[[#This Row],[WIN]]*1000000+Table36111418263048555399694375135188[[#This Row],[Saldo]]*1000+Table36111418263048555399694375135188[[#This Row],[PM]]</f>
        <v>0</v>
      </c>
      <c r="I17" s="2">
        <f>H17</f>
        <v>0</v>
      </c>
      <c r="J17" s="2" t="str">
        <f>IF(COUNTBLANK(Table4101317251247545298684173134187[[SCORE 1]:[SCORE 2]])=0,IF(RANK(I17,$I$17:$I$28)=1,RANK(I17,$I$17:$I$28)&amp;"st",IF(RANK(I17,$I$17:$I$28)=2,RANK(I17,$I$17:$I$28)&amp;"nd",IF(RANK(I17,$I$17:$I$28)=3,RANK(I17,$I$17:$I$28)&amp;"rd",RANK(I17,$I$17:$I$28)&amp;"th"))),"")</f>
        <v/>
      </c>
      <c r="K17" s="38" t="str">
        <f>Table36111418263048555399694375135188[[#This Row],[Team]]</f>
        <v>Mari / Shahar</v>
      </c>
      <c r="L17" s="2" t="str">
        <f>J17</f>
        <v/>
      </c>
      <c r="M17" s="588" t="str" cm="1">
        <f t="array" ref="M17">_xlfn.TEXTJOIN(", ", TRUE, _xlfn._xlws.FILTER($K$17:$K$24, $J$17:$J$24=$U$3, ""))</f>
        <v/>
      </c>
      <c r="N17" s="589"/>
      <c r="O17" s="119"/>
      <c r="P17" s="119"/>
      <c r="Q17" s="590" t="str" cm="1">
        <f t="array" ref="Q17">_xlfn.TEXTJOIN(", ", TRUE, _xlfn._xlws.FILTER($K$17:$K$24, $J$17:$J$24=$U$10, ""))</f>
        <v/>
      </c>
      <c r="R17" s="591"/>
    </row>
    <row r="18" spans="1:25">
      <c r="A18" s="3" t="s">
        <v>206</v>
      </c>
      <c r="B18" s="171" t="s">
        <v>370</v>
      </c>
      <c r="C18" s="14">
        <f>SUM(COUNTIFS(Table4101317251247545298684173134187[ATHLETE 2],Table36111418263048555399694375135188[[#This Row],[Team]],Table4101317251247545298684173134187[RESULT 12],Table36111418263048555399694375135188[[#Headers],[WIN]]),COUNTIFS(Table4101317251247545298684173134187[ATHLETE 4],Table36111418263048555399694375135188[[#This Row],[Team]],Table4101317251247545298684173134187[RESULT 34],Table36111418263048555399694375135188[[#Headers],[WIN]]))</f>
        <v>0</v>
      </c>
      <c r="D18" s="14">
        <f>SUM(COUNTIFS(Table4101317251247545298684173134187[ATHLETE 2],Table36111418263048555399694375135188[[#This Row],[Team]],Table4101317251247545298684173134187[RESULT 12],Table36111418263048555399694375135188[[#Headers],[LOSE]]),COUNTIFS(Table4101317251247545298684173134187[ATHLETE 4],Table36111418263048555399694375135188[[#This Row],[Team]],Table4101317251247545298684173134187[RESULT 34],Table36111418263048555399694375135188[[#Headers],[LOSE]]))</f>
        <v>0</v>
      </c>
      <c r="E18" s="19">
        <f>SUM(SUMIF(Table4101317251247545298684173134187[ATHLETE 2],Table36111418263048555399694375135188[[#This Row],[Team]],Table4101317251247545298684173134187[SALDO 12]),SUMIF(Table4101317251247545298684173134187[ATHLETE 4],Table36111418263048555399694375135188[[#This Row],[Team]],Table4101317251247545298684173134187[SALDO 34]))</f>
        <v>0</v>
      </c>
      <c r="F18" s="19">
        <f>SUM(SUMIF(Table4101317251247545298684173134187[ATHLETE 2],Table36111418263048555399694375135188[[#This Row],[Team]],Table4101317251247545298684173134187[PM 12]),SUMIF(Table4101317251247545298684173134187[ATHLETE 4],Table36111418263048555399694375135188[[#This Row],[Team]],Table4101317251247545298684173134187[PM 34]))</f>
        <v>0</v>
      </c>
      <c r="G18" s="14" t="str">
        <f>IF(COUNTBLANK(Table4101317251247545298684173134187[[SCORE 1]:[SCORE 2]])=0,IF(RANK(H18,$H$17:$H$20)=1,RANK(H18,$H$17:$H$20)&amp;"st",IF(RANK(H18,$H$17:$H$20)=2,RANK(H18,$H$17:$H$20)&amp;"nd",RANK(H18,$H$17:$H$20)&amp;"th")),"")</f>
        <v/>
      </c>
      <c r="H18" s="51">
        <f>Table36111418263048555399694375135188[[#This Row],[WIN]]*1000000+Table36111418263048555399694375135188[[#This Row],[Saldo]]*1000+Table36111418263048555399694375135188[[#This Row],[PM]]</f>
        <v>0</v>
      </c>
      <c r="I18" s="2">
        <f t="shared" ref="I18:I20" si="0">H18</f>
        <v>0</v>
      </c>
      <c r="J18" s="2" t="str">
        <f>IF(COUNTBLANK(Table4101317251247545298684173134187[[SCORE 1]:[SCORE 2]])=0,IF(RANK(I18,$I$17:$I$28)=1,RANK(I18,$I$17:$I$28)&amp;"st",IF(RANK(I18,$I$17:$I$28)=2,RANK(I18,$I$17:$I$28)&amp;"nd",IF(RANK(I18,$I$17:$I$28)=3,RANK(I18,$I$17:$I$28)&amp;"rd",RANK(I18,$I$17:$I$28)&amp;"th"))),"")</f>
        <v/>
      </c>
      <c r="K18" s="38" t="str">
        <f>Table36111418263048555399694375135188[[#This Row],[Team]]</f>
        <v>Huçana / Bo</v>
      </c>
      <c r="L18" s="2" t="str">
        <f t="shared" ref="L18:L20" si="1">J18</f>
        <v/>
      </c>
      <c r="M18" s="592" t="str">
        <f>IF(COUNTBLANK($O$17:$P$30)=0,IF($O$18="lose",$U$7,""),"")</f>
        <v/>
      </c>
      <c r="N18" s="593"/>
      <c r="O18" s="2" t="str">
        <f>IF(OR(O17="",P17=""),"",IF((O17&gt;P17),"WIN","LOSE"))</f>
        <v/>
      </c>
      <c r="P18" s="2" t="str">
        <f>IF(OR(O17="",P17=""),"",IF((O17&lt;P17),"WIN","LOSE"))</f>
        <v/>
      </c>
      <c r="Q18" s="593" t="str">
        <f>IF(COUNTBLANK($O$17:$P$30)=0,IF($P$18="lose",$U$10,""),"")</f>
        <v/>
      </c>
      <c r="R18" s="594"/>
      <c r="S18" s="17"/>
    </row>
    <row r="19" spans="1:25">
      <c r="A19" s="3" t="s">
        <v>207</v>
      </c>
      <c r="B19" s="171" t="s">
        <v>371</v>
      </c>
      <c r="C19" s="14">
        <f>SUM(COUNTIFS(Table4101317251247545298684173134187[ATHLETE 2],Table36111418263048555399694375135188[[#This Row],[Team]],Table4101317251247545298684173134187[RESULT 12],Table36111418263048555399694375135188[[#Headers],[WIN]]),COUNTIFS(Table4101317251247545298684173134187[ATHLETE 4],Table36111418263048555399694375135188[[#This Row],[Team]],Table4101317251247545298684173134187[RESULT 34],Table36111418263048555399694375135188[[#Headers],[WIN]]))</f>
        <v>0</v>
      </c>
      <c r="D19" s="14">
        <f>SUM(COUNTIFS(Table4101317251247545298684173134187[ATHLETE 2],Table36111418263048555399694375135188[[#This Row],[Team]],Table4101317251247545298684173134187[RESULT 12],Table36111418263048555399694375135188[[#Headers],[LOSE]]),COUNTIFS(Table4101317251247545298684173134187[ATHLETE 4],Table36111418263048555399694375135188[[#This Row],[Team]],Table4101317251247545298684173134187[RESULT 34],Table36111418263048555399694375135188[[#Headers],[LOSE]]))</f>
        <v>0</v>
      </c>
      <c r="E19" s="19">
        <f>SUM(SUMIF(Table4101317251247545298684173134187[ATHLETE 2],Table36111418263048555399694375135188[[#This Row],[Team]],Table4101317251247545298684173134187[SALDO 12]),SUMIF(Table4101317251247545298684173134187[ATHLETE 4],Table36111418263048555399694375135188[[#This Row],[Team]],Table4101317251247545298684173134187[SALDO 34]))</f>
        <v>0</v>
      </c>
      <c r="F19" s="19">
        <f>SUM(SUMIF(Table4101317251247545298684173134187[ATHLETE 2],Table36111418263048555399694375135188[[#This Row],[Team]],Table4101317251247545298684173134187[PM 12]),SUMIF(Table4101317251247545298684173134187[ATHLETE 4],Table36111418263048555399694375135188[[#This Row],[Team]],Table4101317251247545298684173134187[PM 34]))</f>
        <v>0</v>
      </c>
      <c r="G19" s="14" t="str">
        <f>IF(COUNTBLANK(Table4101317251247545298684173134187[[SCORE 1]:[SCORE 2]])=0,IF(RANK(H19,$H$17:$H$20)=1,RANK(H19,$H$17:$H$20)&amp;"st",IF(RANK(H19,$H$17:$H$20)=2,RANK(H19,$H$17:$H$20)&amp;"nd",RANK(H19,$H$17:$H$20)&amp;"th")),"")</f>
        <v/>
      </c>
      <c r="H19" s="51">
        <f>Table36111418263048555399694375135188[[#This Row],[WIN]]*1000000+Table36111418263048555399694375135188[[#This Row],[Saldo]]*1000+Table36111418263048555399694375135188[[#This Row],[PM]]</f>
        <v>0</v>
      </c>
      <c r="I19" s="2">
        <f t="shared" si="0"/>
        <v>0</v>
      </c>
      <c r="J19" s="2" t="str">
        <f>IF(COUNTBLANK(Table4101317251247545298684173134187[[SCORE 1]:[SCORE 2]])=0,IF(RANK(I19,$I$17:$I$28)=1,RANK(I19,$I$17:$I$28)&amp;"st",IF(RANK(I19,$I$17:$I$28)=2,RANK(I19,$I$17:$I$28)&amp;"nd",IF(RANK(I19,$I$17:$I$28)=3,RANK(I19,$I$17:$I$28)&amp;"rd",RANK(I19,$I$17:$I$28)&amp;"th"))),"")</f>
        <v/>
      </c>
      <c r="K19" s="38" t="str">
        <f>Table36111418263048555399694375135188[[#This Row],[Team]]</f>
        <v>Stephanie / Andrew</v>
      </c>
      <c r="L19" s="2" t="str">
        <f t="shared" si="1"/>
        <v/>
      </c>
      <c r="M19" s="598">
        <v>1</v>
      </c>
      <c r="N19" s="599"/>
      <c r="O19" s="183" t="s">
        <v>302</v>
      </c>
      <c r="P19" s="183" t="s">
        <v>302</v>
      </c>
      <c r="Q19" s="599">
        <v>8</v>
      </c>
      <c r="R19" s="600"/>
      <c r="V19" s="66"/>
      <c r="W19" s="66"/>
      <c r="X19" s="66"/>
      <c r="Y19" s="66"/>
    </row>
    <row r="20" spans="1:25" ht="15.95">
      <c r="A20" s="5" t="s">
        <v>208</v>
      </c>
      <c r="B20" s="171" t="s">
        <v>372</v>
      </c>
      <c r="C20" s="14">
        <f>SUM(COUNTIFS(Table4101317251247545298684173134187[ATHLETE 2],Table36111418263048555399694375135188[[#This Row],[Team]],Table4101317251247545298684173134187[RESULT 12],Table36111418263048555399694375135188[[#Headers],[WIN]]),COUNTIFS(Table4101317251247545298684173134187[ATHLETE 4],Table36111418263048555399694375135188[[#This Row],[Team]],Table4101317251247545298684173134187[RESULT 34],Table36111418263048555399694375135188[[#Headers],[WIN]]))</f>
        <v>0</v>
      </c>
      <c r="D20" s="14">
        <f>SUM(COUNTIFS(Table4101317251247545298684173134187[ATHLETE 2],Table36111418263048555399694375135188[[#This Row],[Team]],Table4101317251247545298684173134187[RESULT 12],Table36111418263048555399694375135188[[#Headers],[LOSE]]),COUNTIFS(Table4101317251247545298684173134187[ATHLETE 4],Table36111418263048555399694375135188[[#This Row],[Team]],Table4101317251247545298684173134187[RESULT 34],Table36111418263048555399694375135188[[#Headers],[LOSE]]))</f>
        <v>0</v>
      </c>
      <c r="E20" s="19">
        <f>SUM(SUMIF(Table4101317251247545298684173134187[ATHLETE 2],Table36111418263048555399694375135188[[#This Row],[Team]],Table4101317251247545298684173134187[SALDO 12]),SUMIF(Table4101317251247545298684173134187[ATHLETE 4],Table36111418263048555399694375135188[[#This Row],[Team]],Table4101317251247545298684173134187[SALDO 34]))</f>
        <v>0</v>
      </c>
      <c r="F20" s="19">
        <f>SUM(SUMIF(Table4101317251247545298684173134187[ATHLETE 2],Table36111418263048555399694375135188[[#This Row],[Team]],Table4101317251247545298684173134187[PM 12]),SUMIF(Table4101317251247545298684173134187[ATHLETE 4],Table36111418263048555399694375135188[[#This Row],[Team]],Table4101317251247545298684173134187[PM 34]))</f>
        <v>0</v>
      </c>
      <c r="G20" s="14" t="str">
        <f>IF(COUNTBLANK(Table4101317251247545298684173134187[[SCORE 1]:[SCORE 2]])=0,IF(RANK(H20,$H$17:$H$20)=1,RANK(H20,$H$17:$H$20)&amp;"st",IF(RANK(H20,$H$17:$H$20)=2,RANK(H20,$H$17:$H$20)&amp;"nd",RANK(H20,$H$17:$H$20)&amp;"th")),"")</f>
        <v/>
      </c>
      <c r="H20" s="51">
        <f>Table36111418263048555399694375135188[[#This Row],[WIN]]*1000000+Table36111418263048555399694375135188[[#This Row],[Saldo]]*1000+Table36111418263048555399694375135188[[#This Row],[PM]]</f>
        <v>0</v>
      </c>
      <c r="I20" s="2">
        <f t="shared" si="0"/>
        <v>0</v>
      </c>
      <c r="J20" s="2" t="str">
        <f>IF(COUNTBLANK(Table4101317251247545298684173134187[[SCORE 1]:[SCORE 2]])=0,IF(RANK(I20,$I$17:$I$28)=1,RANK(I20,$I$17:$I$28)&amp;"st",IF(RANK(I20,$I$17:$I$28)=2,RANK(I20,$I$17:$I$28)&amp;"nd",IF(RANK(I20,$I$17:$I$28)=3,RANK(I20,$I$17:$I$28)&amp;"rd",RANK(I20,$I$17:$I$28)&amp;"th"))),"")</f>
        <v/>
      </c>
      <c r="K20" s="38" t="str">
        <f>Table36111418263048555399694375135188[[#This Row],[Team]]</f>
        <v>Mari M. / Ricardo</v>
      </c>
      <c r="L20" s="2" t="str">
        <f t="shared" si="1"/>
        <v/>
      </c>
      <c r="M20" s="601" t="s">
        <v>297</v>
      </c>
      <c r="N20" s="553"/>
      <c r="O20" s="179" t="s">
        <v>195</v>
      </c>
      <c r="P20" s="181" t="s">
        <v>302</v>
      </c>
      <c r="Q20" s="552" t="s">
        <v>298</v>
      </c>
      <c r="R20" s="602"/>
      <c r="V20" s="66"/>
      <c r="W20" s="66"/>
      <c r="X20" s="66"/>
      <c r="Y20" s="66"/>
    </row>
    <row r="21" spans="1:25">
      <c r="I21" s="2">
        <f>H23</f>
        <v>0</v>
      </c>
      <c r="J21" s="2" t="str">
        <f>IF(COUNTBLANK(Table4101317251247545298684173134187[[SCORE 1]:[SCORE 2]])=0,IF(RANK(I21,$I$17:$I$28)=1,RANK(I21,$I$17:$I$28)&amp;"st",IF(RANK(I21,$I$17:$I$28)=2,RANK(I21,$I$17:$I$28)&amp;"nd",IF(RANK(I21,$I$17:$I$28)=3,RANK(I21,$I$17:$I$28)&amp;"rd",RANK(I21,$I$17:$I$28)&amp;"th"))),"")</f>
        <v/>
      </c>
      <c r="K21" s="38" t="str">
        <f>B23</f>
        <v>Piu / Carol</v>
      </c>
      <c r="L21" s="2"/>
      <c r="M21" s="588" t="str" cm="1">
        <f t="array" ref="M21">_xlfn.TEXTJOIN(", ", TRUE, _xlfn._xlws.FILTER($K$17:$K$24, $J$17:$J$24=$U$4, ""))</f>
        <v/>
      </c>
      <c r="N21" s="589"/>
      <c r="O21" s="119"/>
      <c r="P21" s="119"/>
      <c r="Q21" s="590" t="str" cm="1">
        <f t="array" ref="Q21">_xlfn.TEXTJOIN(", ", TRUE, _xlfn._xlws.FILTER($K$17:$K$24, $J$17:$J$24=$U$9, ""))</f>
        <v/>
      </c>
      <c r="R21" s="591"/>
      <c r="V21" s="66"/>
      <c r="W21" s="66"/>
      <c r="X21" s="66"/>
      <c r="Y21" s="66"/>
    </row>
    <row r="22" spans="1:25" s="44" customFormat="1" ht="28.5" customHeight="1">
      <c r="A22" s="9" t="s">
        <v>184</v>
      </c>
      <c r="B22" s="48" t="s">
        <v>296</v>
      </c>
      <c r="C22" s="48" t="s">
        <v>186</v>
      </c>
      <c r="D22" s="48" t="s">
        <v>187</v>
      </c>
      <c r="E22" s="48" t="s">
        <v>188</v>
      </c>
      <c r="F22" s="48" t="s">
        <v>189</v>
      </c>
      <c r="G22" s="43" t="s">
        <v>8</v>
      </c>
      <c r="H22" s="79" t="s">
        <v>204</v>
      </c>
      <c r="I22" s="2">
        <f>H24</f>
        <v>0</v>
      </c>
      <c r="J22" s="2" t="str">
        <f>IF(COUNTBLANK(Table4101317251247545298684173134187[[SCORE 1]:[SCORE 2]])=0,IF(RANK(I22,$I$17:$I$28)=1,RANK(I22,$I$17:$I$28)&amp;"st",IF(RANK(I22,$I$17:$I$28)=2,RANK(I22,$I$17:$I$28)&amp;"nd",IF(RANK(I22,$I$17:$I$28)=3,RANK(I22,$I$17:$I$28)&amp;"rd",RANK(I22,$I$17:$I$28)&amp;"th"))),"")</f>
        <v/>
      </c>
      <c r="K22" s="38" t="str">
        <f>B24</f>
        <v>Ana / Alex</v>
      </c>
      <c r="L22" s="419" t="s">
        <v>192</v>
      </c>
      <c r="M22" s="592" t="str">
        <f>IF(COUNTBLANK($O$17:$P$30)=0,IF(O22="lose",IF(O18="win",$U$7,U8),""),"")</f>
        <v/>
      </c>
      <c r="N22" s="593"/>
      <c r="O22" s="2" t="str">
        <f>IF(OR(O21="",P21=""),"",IF((O21&gt;P21),"WIN","LOSE"))</f>
        <v/>
      </c>
      <c r="P22" s="2" t="str">
        <f>IF(OR(O21="",P21=""),"",IF((O21&lt;P21),"WIN","LOSE"))</f>
        <v/>
      </c>
      <c r="Q22" s="593" t="str">
        <f>IF(COUNTBLANK($O$17:$P$30)=0,IF(P22="lose",IF(P18="win",$U$10,U9),""),"")</f>
        <v/>
      </c>
      <c r="R22" s="594"/>
      <c r="V22" s="92"/>
      <c r="W22" s="92"/>
      <c r="X22" s="92"/>
      <c r="Y22" s="92"/>
    </row>
    <row r="23" spans="1:25">
      <c r="A23" s="430" t="s">
        <v>209</v>
      </c>
      <c r="B23" s="171" t="s">
        <v>373</v>
      </c>
      <c r="C23" s="14">
        <f>SUM(COUNTIFS(Table4101317251247545298684173134187[ATHLETE 2],Table61215192731495671100704476136189[[#This Row],[Team]],Table4101317251247545298684173134187[RESULT 12],Table36111418263048555399694375135188[[#Headers],[WIN]]),COUNTIFS(Table4101317251247545298684173134187[ATHLETE 4],Table61215192731495671100704476136189[[#This Row],[Team]],Table4101317251247545298684173134187[RESULT 34],Table36111418263048555399694375135188[[#Headers],[WIN]]))</f>
        <v>0</v>
      </c>
      <c r="D23" s="14">
        <f>SUM(COUNTIFS(Table4101317251247545298684173134187[ATHLETE 2],Table61215192731495671100704476136189[[#This Row],[Team]],Table4101317251247545298684173134187[RESULT 12],Table36111418263048555399694375135188[[#Headers],[LOSE]]),COUNTIFS(Table4101317251247545298684173134187[ATHLETE 4],Table61215192731495671100704476136189[[#This Row],[Team]],Table4101317251247545298684173134187[RESULT 34],Table36111418263048555399694375135188[[#Headers],[LOSE]]))</f>
        <v>0</v>
      </c>
      <c r="E23" s="19">
        <f>SUM(SUMIF(Table4101317251247545298684173134187[ATHLETE 2],Table61215192731495671100704476136189[[#This Row],[Team]],Table4101317251247545298684173134187[SALDO 12]),SUMIF(Table4101317251247545298684173134187[ATHLETE 4],Table61215192731495671100704476136189[[#This Row],[Team]],Table4101317251247545298684173134187[SALDO 34]))</f>
        <v>0</v>
      </c>
      <c r="F23" s="19">
        <f>SUM(SUMIF(Table4101317251247545298684173134187[ATHLETE 2],Table61215192731495671100704476136189[[#This Row],[Team]],Table4101317251247545298684173134187[PM 12]),SUMIF(Table4101317251247545298684173134187[ATHLETE 4],Table61215192731495671100704476136189[[#This Row],[Team]],Table4101317251247545298684173134187[PM 34]))</f>
        <v>0</v>
      </c>
      <c r="G23" s="14" t="str">
        <f>IF(COUNTBLANK(Table4101317251247545298684173134187[[SCORE 1]:[SCORE 2]])=0,IF(RANK(H23,$H$23:$H$26)=1,RANK(H23,$H$23:$H$26)&amp;"st",IF(RANK(H23,$H$23:$H$26)=2,RANK(H23,$H$23:$H$26)&amp;"nd",RANK(H23,$H$23:$H$26)&amp;"th")),"")</f>
        <v/>
      </c>
      <c r="H23" s="51">
        <f>Table61215192731495671100704476136189[[#This Row],[WIN]]*1000000+Table61215192731495671100704476136189[[#This Row],[Saldo]]*1000+Table61215192731495671100704476136189[[#This Row],[PM]]</f>
        <v>0</v>
      </c>
      <c r="I23" s="2">
        <f>H25</f>
        <v>0</v>
      </c>
      <c r="J23" s="2" t="str">
        <f>IF(COUNTBLANK(Table4101317251247545298684173134187[[SCORE 1]:[SCORE 2]])=0,IF(RANK(I23,$I$17:$I$28)=1,RANK(I23,$I$17:$I$28)&amp;"st",IF(RANK(I23,$I$17:$I$28)=2,RANK(I23,$I$17:$I$28)&amp;"nd",IF(RANK(I23,$I$17:$I$28)=3,RANK(I23,$I$17:$I$28)&amp;"rd",RANK(I23,$I$17:$I$28)&amp;"th"))),"")</f>
        <v/>
      </c>
      <c r="K23" s="38" t="str">
        <f>B25</f>
        <v>Natalie / Marcos</v>
      </c>
      <c r="L23" s="2" t="str">
        <f>J21</f>
        <v/>
      </c>
      <c r="M23" s="598">
        <v>2</v>
      </c>
      <c r="N23" s="599"/>
      <c r="O23" s="183" t="s">
        <v>302</v>
      </c>
      <c r="P23" s="183" t="s">
        <v>302</v>
      </c>
      <c r="Q23" s="599">
        <v>7</v>
      </c>
      <c r="R23" s="600"/>
      <c r="V23" s="66"/>
      <c r="W23" s="66"/>
      <c r="X23" s="66"/>
      <c r="Y23" s="66"/>
    </row>
    <row r="24" spans="1:25">
      <c r="A24" s="430" t="s">
        <v>210</v>
      </c>
      <c r="B24" s="171" t="s">
        <v>374</v>
      </c>
      <c r="C24" s="14">
        <f>SUM(COUNTIFS(Table4101317251247545298684173134187[ATHLETE 2],Table61215192731495671100704476136189[[#This Row],[Team]],Table4101317251247545298684173134187[RESULT 12],Table36111418263048555399694375135188[[#Headers],[WIN]]),COUNTIFS(Table4101317251247545298684173134187[ATHLETE 4],Table61215192731495671100704476136189[[#This Row],[Team]],Table4101317251247545298684173134187[RESULT 34],Table36111418263048555399694375135188[[#Headers],[WIN]]))</f>
        <v>0</v>
      </c>
      <c r="D24" s="14">
        <f>SUM(COUNTIFS(Table4101317251247545298684173134187[ATHLETE 2],Table61215192731495671100704476136189[[#This Row],[Team]],Table4101317251247545298684173134187[RESULT 12],Table36111418263048555399694375135188[[#Headers],[LOSE]]),COUNTIFS(Table4101317251247545298684173134187[ATHLETE 4],Table61215192731495671100704476136189[[#This Row],[Team]],Table4101317251247545298684173134187[RESULT 34],Table36111418263048555399694375135188[[#Headers],[LOSE]]))</f>
        <v>0</v>
      </c>
      <c r="E24" s="19">
        <f>SUM(SUMIF(Table4101317251247545298684173134187[ATHLETE 2],Table61215192731495671100704476136189[[#This Row],[Team]],Table4101317251247545298684173134187[SALDO 12]),SUMIF(Table4101317251247545298684173134187[ATHLETE 4],Table61215192731495671100704476136189[[#This Row],[Team]],Table4101317251247545298684173134187[SALDO 34]))</f>
        <v>0</v>
      </c>
      <c r="F24" s="19">
        <f>SUM(SUMIF(Table4101317251247545298684173134187[ATHLETE 2],Table61215192731495671100704476136189[[#This Row],[Team]],Table4101317251247545298684173134187[PM 12]),SUMIF(Table4101317251247545298684173134187[ATHLETE 4],Table61215192731495671100704476136189[[#This Row],[Team]],Table4101317251247545298684173134187[PM 34]))</f>
        <v>0</v>
      </c>
      <c r="G24" s="14" t="str">
        <f>IF(COUNTBLANK(Table4101317251247545298684173134187[[SCORE 1]:[SCORE 2]])=0,IF(RANK(H24,$H$23:$H$26)=1,RANK(H24,$H$23:$H$26)&amp;"st",IF(RANK(H24,$H$23:$H$26)=2,RANK(H24,$H$23:$H$26)&amp;"nd",RANK(H24,$H$23:$H$26)&amp;"th")),"")</f>
        <v/>
      </c>
      <c r="H24" s="51">
        <f>Table61215192731495671100704476136189[[#This Row],[WIN]]*1000000+Table61215192731495671100704476136189[[#This Row],[Saldo]]*1000+Table61215192731495671100704476136189[[#This Row],[PM]]</f>
        <v>0</v>
      </c>
      <c r="I24" s="2">
        <f>H26</f>
        <v>0</v>
      </c>
      <c r="J24" s="2" t="str">
        <f>IF(COUNTBLANK(Table4101317251247545298684173134187[[SCORE 1]:[SCORE 2]])=0,IF(RANK(I24,$I$17:$I$28)=1,RANK(I24,$I$17:$I$28)&amp;"st",IF(RANK(I24,$I$17:$I$28)=2,RANK(I24,$I$17:$I$28)&amp;"nd",IF(RANK(I24,$I$17:$I$28)=3,RANK(I24,$I$17:$I$28)&amp;"rd",RANK(I24,$I$17:$I$28)&amp;"th"))),"")</f>
        <v/>
      </c>
      <c r="K24" s="38" t="str">
        <f>B26</f>
        <v>Bia / Evan</v>
      </c>
      <c r="L24" s="2" t="str">
        <f t="shared" ref="L24:L26" si="2">J22</f>
        <v/>
      </c>
      <c r="M24" s="601" t="s">
        <v>297</v>
      </c>
      <c r="N24" s="553"/>
      <c r="O24" s="179" t="s">
        <v>195</v>
      </c>
      <c r="P24" s="181" t="s">
        <v>302</v>
      </c>
      <c r="Q24" s="552" t="s">
        <v>298</v>
      </c>
      <c r="R24" s="602"/>
      <c r="V24" s="66"/>
      <c r="W24" s="66"/>
      <c r="X24" s="66"/>
      <c r="Y24" s="66"/>
    </row>
    <row r="25" spans="1:25">
      <c r="A25" s="430" t="s">
        <v>211</v>
      </c>
      <c r="B25" s="171" t="s">
        <v>375</v>
      </c>
      <c r="C25" s="14">
        <f>SUM(COUNTIFS(Table4101317251247545298684173134187[ATHLETE 2],Table61215192731495671100704476136189[[#This Row],[Team]],Table4101317251247545298684173134187[RESULT 12],Table36111418263048555399694375135188[[#Headers],[WIN]]),COUNTIFS(Table4101317251247545298684173134187[ATHLETE 4],Table61215192731495671100704476136189[[#This Row],[Team]],Table4101317251247545298684173134187[RESULT 34],Table36111418263048555399694375135188[[#Headers],[WIN]]))</f>
        <v>0</v>
      </c>
      <c r="D25" s="14">
        <f>SUM(COUNTIFS(Table4101317251247545298684173134187[ATHLETE 2],Table61215192731495671100704476136189[[#This Row],[Team]],Table4101317251247545298684173134187[RESULT 12],Table36111418263048555399694375135188[[#Headers],[LOSE]]),COUNTIFS(Table4101317251247545298684173134187[ATHLETE 4],Table61215192731495671100704476136189[[#This Row],[Team]],Table4101317251247545298684173134187[RESULT 34],Table36111418263048555399694375135188[[#Headers],[LOSE]]))</f>
        <v>0</v>
      </c>
      <c r="E25" s="19">
        <f>SUM(SUMIF(Table4101317251247545298684173134187[ATHLETE 2],Table61215192731495671100704476136189[[#This Row],[Team]],Table4101317251247545298684173134187[SALDO 12]),SUMIF(Table4101317251247545298684173134187[ATHLETE 4],Table61215192731495671100704476136189[[#This Row],[Team]],Table4101317251247545298684173134187[SALDO 34]))</f>
        <v>0</v>
      </c>
      <c r="F25" s="19">
        <f>SUM(SUMIF(Table4101317251247545298684173134187[ATHLETE 2],Table61215192731495671100704476136189[[#This Row],[Team]],Table4101317251247545298684173134187[PM 12]),SUMIF(Table4101317251247545298684173134187[ATHLETE 4],Table61215192731495671100704476136189[[#This Row],[Team]],Table4101317251247545298684173134187[PM 34]))</f>
        <v>0</v>
      </c>
      <c r="G25" s="14" t="str">
        <f>IF(COUNTBLANK(Table4101317251247545298684173134187[[SCORE 1]:[SCORE 2]])=0,IF(RANK(H25,$H$23:$H$26)=1,RANK(H25,$H$23:$H$26)&amp;"st",IF(RANK(H25,$H$23:$H$26)=2,RANK(H25,$H$23:$H$26)&amp;"nd",RANK(H25,$H$23:$H$26)&amp;"th")),"")</f>
        <v/>
      </c>
      <c r="H25" s="51">
        <f>Table61215192731495671100704476136189[[#This Row],[WIN]]*1000000+Table61215192731495671100704476136189[[#This Row],[Saldo]]*1000+Table61215192731495671100704476136189[[#This Row],[PM]]</f>
        <v>0</v>
      </c>
      <c r="L25" s="2" t="str">
        <f t="shared" si="2"/>
        <v/>
      </c>
      <c r="M25" s="588" t="str" cm="1">
        <f t="array" ref="M25">_xlfn.TEXTJOIN(", ", TRUE, _xlfn._xlws.FILTER($K$17:$K$24, $J$17:$J$24=$U$5, ""))</f>
        <v/>
      </c>
      <c r="N25" s="589"/>
      <c r="O25" s="119"/>
      <c r="P25" s="119"/>
      <c r="Q25" s="590" t="str" cm="1">
        <f t="array" ref="Q25">_xlfn.TEXTJOIN(", ", TRUE, _xlfn._xlws.FILTER($K$17:$K$24, $J$17:$J$24=$U$8, ""))</f>
        <v/>
      </c>
      <c r="R25" s="591"/>
      <c r="V25" s="66"/>
      <c r="W25" s="66"/>
      <c r="X25" s="66"/>
      <c r="Y25" s="66"/>
    </row>
    <row r="26" spans="1:25">
      <c r="A26" s="430" t="s">
        <v>212</v>
      </c>
      <c r="B26" s="105" t="s">
        <v>376</v>
      </c>
      <c r="C26" s="14">
        <f>SUM(COUNTIFS(Table4101317251247545298684173134187[ATHLETE 2],Table61215192731495671100704476136189[[#This Row],[Team]],Table4101317251247545298684173134187[RESULT 12],Table36111418263048555399694375135188[[#Headers],[WIN]]),COUNTIFS(Table4101317251247545298684173134187[ATHLETE 4],Table61215192731495671100704476136189[[#This Row],[Team]],Table4101317251247545298684173134187[RESULT 34],Table36111418263048555399694375135188[[#Headers],[WIN]]))</f>
        <v>0</v>
      </c>
      <c r="D26" s="14">
        <f>SUM(COUNTIFS(Table4101317251247545298684173134187[ATHLETE 2],Table61215192731495671100704476136189[[#This Row],[Team]],Table4101317251247545298684173134187[RESULT 12],Table36111418263048555399694375135188[[#Headers],[LOSE]]),COUNTIFS(Table4101317251247545298684173134187[ATHLETE 4],Table61215192731495671100704476136189[[#This Row],[Team]],Table4101317251247545298684173134187[RESULT 34],Table36111418263048555399694375135188[[#Headers],[LOSE]]))</f>
        <v>0</v>
      </c>
      <c r="E26" s="19">
        <f>SUM(SUMIF(Table4101317251247545298684173134187[ATHLETE 2],Table61215192731495671100704476136189[[#This Row],[Team]],Table4101317251247545298684173134187[SALDO 12]),SUMIF(Table4101317251247545298684173134187[ATHLETE 4],Table61215192731495671100704476136189[[#This Row],[Team]],Table4101317251247545298684173134187[SALDO 34]))</f>
        <v>0</v>
      </c>
      <c r="F26" s="19">
        <f>SUM(SUMIF(Table4101317251247545298684173134187[ATHLETE 2],Table61215192731495671100704476136189[[#This Row],[Team]],Table4101317251247545298684173134187[PM 12]),SUMIF(Table4101317251247545298684173134187[ATHLETE 4],Table61215192731495671100704476136189[[#This Row],[Team]],Table4101317251247545298684173134187[PM 34]))</f>
        <v>0</v>
      </c>
      <c r="G26" s="14" t="str">
        <f>IF(COUNTBLANK(Table4101317251247545298684173134187[[SCORE 1]:[SCORE 2]])=0,IF(RANK(H26,$H$23:$H$26)=1,RANK(H26,$H$23:$H$26)&amp;"st",IF(RANK(H26,$H$23:$H$26)=2,RANK(H26,$H$23:$H$26)&amp;"nd",RANK(H26,$H$23:$H$26)&amp;"th")),"")</f>
        <v/>
      </c>
      <c r="H26" s="51">
        <f>Table61215192731495671100704476136189[[#This Row],[WIN]]*1000000+Table61215192731495671100704476136189[[#This Row],[Saldo]]*1000+Table61215192731495671100704476136189[[#This Row],[PM]]</f>
        <v>0</v>
      </c>
      <c r="L26" s="2" t="str">
        <f t="shared" si="2"/>
        <v/>
      </c>
      <c r="M26" s="592" t="str">
        <f>IF(COUNTBLANK($O$17:$P$30)=0,IF(O26="lose",IF(AND($O$18="lose",$O$22="lose"),$U$9,IF(OR($O$18="lose",$O$22="lose"),$U$8,$U$7)),""),"")</f>
        <v/>
      </c>
      <c r="N26" s="593"/>
      <c r="O26" s="2" t="str">
        <f>IF(OR(O25="",P25=""),"",IF((O25&gt;P25),"WIN","LOSE"))</f>
        <v/>
      </c>
      <c r="P26" s="2" t="str">
        <f>IF(OR(O25="",P25=""),"",IF((O25&lt;P25),"WIN","LOSE"))</f>
        <v/>
      </c>
      <c r="Q26" s="593" t="str">
        <f>IF(COUNTBLANK($O$17:$P$30)=0,IF(P26="lose",IF(AND($P$18="lose",$P$22="lose"),$U$7,IF(OR($P$18="lose",$P$22="lose"),$U$8,$U$9)),""),"")</f>
        <v/>
      </c>
      <c r="R26" s="594"/>
      <c r="V26" s="66"/>
      <c r="W26" s="66"/>
      <c r="X26" s="66"/>
      <c r="Y26" s="66"/>
    </row>
    <row r="27" spans="1:25">
      <c r="L27" s="2"/>
      <c r="M27" s="598">
        <v>3</v>
      </c>
      <c r="N27" s="599"/>
      <c r="O27" s="183" t="s">
        <v>302</v>
      </c>
      <c r="P27" s="183" t="s">
        <v>302</v>
      </c>
      <c r="Q27" s="599">
        <v>6</v>
      </c>
      <c r="R27" s="600"/>
      <c r="V27" s="66"/>
      <c r="W27" s="66"/>
      <c r="X27" s="66"/>
      <c r="Y27" s="66"/>
    </row>
    <row r="28" spans="1:25">
      <c r="M28" s="601" t="s">
        <v>297</v>
      </c>
      <c r="N28" s="553"/>
      <c r="O28" s="179" t="s">
        <v>195</v>
      </c>
      <c r="P28" s="181" t="s">
        <v>302</v>
      </c>
      <c r="Q28" s="552" t="s">
        <v>298</v>
      </c>
      <c r="R28" s="602"/>
      <c r="V28" s="66"/>
      <c r="W28" s="66"/>
      <c r="X28" s="66"/>
      <c r="Y28" s="66"/>
    </row>
    <row r="29" spans="1:25">
      <c r="I29" s="2"/>
      <c r="J29" s="2"/>
      <c r="K29" s="2"/>
      <c r="M29" s="588" t="str" cm="1">
        <f t="array" ref="M29">_xlfn.TEXTJOIN(", ", TRUE, _xlfn._xlws.FILTER($K$17:$K$24, $J$17:$J$24=$U$6, ""))</f>
        <v/>
      </c>
      <c r="N29" s="589"/>
      <c r="O29" s="119"/>
      <c r="P29" s="119"/>
      <c r="Q29" s="590" t="str" cm="1">
        <f t="array" ref="Q29">_xlfn.TEXTJOIN(", ", TRUE, _xlfn._xlws.FILTER($K$17:$K$24, $J$17:$J$24=$U$7, ""))</f>
        <v/>
      </c>
      <c r="R29" s="591"/>
      <c r="V29" s="66"/>
      <c r="W29" s="66"/>
      <c r="X29" s="66"/>
      <c r="Y29" s="66"/>
    </row>
    <row r="30" spans="1:25">
      <c r="I30" s="2"/>
      <c r="J30" s="2"/>
      <c r="K30" s="2"/>
      <c r="M30" s="592" t="str">
        <f>IF(COUNTBLANK($O$17:$P$30)=0,IF(O30="lose",IF(COUNTIF(O18:O26,"lose")=3,$U$10,IF(COUNTIF(O18:O26,"lose")=2,U9,IF(COUNTIF(O18:O26,"lose")=1,U8,U7))),""),"")</f>
        <v/>
      </c>
      <c r="N30" s="593"/>
      <c r="O30" s="2" t="str">
        <f>IF(OR(O29="",P29=""),"",IF((O29&gt;P29),"WIN","LOSE"))</f>
        <v/>
      </c>
      <c r="P30" s="2" t="str">
        <f>IF(OR(O29="",P29=""),"",IF((O29&lt;P29),"WIN","LOSE"))</f>
        <v/>
      </c>
      <c r="Q30" s="593" t="str">
        <f>IF(COUNTBLANK($O$17:$P$30)=0,IF(P30="lose",IF(COUNTIF(O18:O26,"lose")=3,$U$10,IF(COUNTIF(O18:O26,"lose")=2,U9,IF(COUNTIF(O18:O26,"lose")=1,U8,U7))),""),"")</f>
        <v/>
      </c>
      <c r="R30" s="594"/>
      <c r="U30">
        <f>COUNTIF(O17:O26,"lose")</f>
        <v>0</v>
      </c>
      <c r="V30" s="66"/>
      <c r="W30" s="66"/>
      <c r="X30" s="66"/>
      <c r="Y30" s="66"/>
    </row>
    <row r="31" spans="1:25" ht="15.95" thickBot="1">
      <c r="I31" s="2"/>
      <c r="J31" s="2"/>
      <c r="K31" s="2"/>
      <c r="M31" s="595">
        <v>4</v>
      </c>
      <c r="N31" s="596"/>
      <c r="O31" s="184" t="s">
        <v>302</v>
      </c>
      <c r="P31" s="184" t="s">
        <v>302</v>
      </c>
      <c r="Q31" s="596">
        <v>5</v>
      </c>
      <c r="R31" s="597"/>
      <c r="V31" s="66"/>
      <c r="W31" s="66"/>
      <c r="X31" s="66"/>
      <c r="Y31" s="66"/>
    </row>
    <row r="32" spans="1:25" ht="29.1">
      <c r="I32" s="2"/>
      <c r="J32" s="2"/>
      <c r="K32" s="2"/>
      <c r="M32" s="560" t="s">
        <v>199</v>
      </c>
      <c r="N32" s="561"/>
      <c r="O32" s="561"/>
      <c r="P32" s="561"/>
      <c r="Q32" s="561"/>
      <c r="R32" s="562"/>
      <c r="V32" s="66"/>
      <c r="W32" s="66"/>
      <c r="X32" s="66"/>
      <c r="Y32" s="66"/>
    </row>
    <row r="33" spans="1:25" ht="15.95" thickBot="1">
      <c r="M33" s="563" t="s">
        <v>193</v>
      </c>
      <c r="N33" s="543"/>
      <c r="O33" s="177" t="s">
        <v>195</v>
      </c>
      <c r="P33" s="182" t="s">
        <v>302</v>
      </c>
      <c r="Q33" s="542" t="s">
        <v>196</v>
      </c>
      <c r="R33" s="564"/>
      <c r="T33" s="66"/>
      <c r="U33" s="66"/>
      <c r="V33" s="66"/>
      <c r="W33" s="66"/>
      <c r="X33" s="66"/>
      <c r="Y33" s="66"/>
    </row>
    <row r="34" spans="1:25" ht="15.95" thickBot="1">
      <c r="A34" s="123" t="s">
        <v>218</v>
      </c>
      <c r="B34" s="124">
        <v>45814</v>
      </c>
      <c r="M34" s="581" t="str">
        <f>IF(COUNTBLANK($O$17:$P$30)&lt;&gt;0,"",IF($O$18="win",M17,Q17))</f>
        <v/>
      </c>
      <c r="N34" s="582"/>
      <c r="O34" s="149"/>
      <c r="P34" s="150"/>
      <c r="Q34" s="583" t="str">
        <f>IF(COUNTBLANK($O$17:$P$30)&lt;&gt;0,"",IF($O$30="win",M29,Q29))</f>
        <v/>
      </c>
      <c r="R34" s="584"/>
      <c r="T34" s="66"/>
      <c r="U34" s="66"/>
      <c r="V34" s="66"/>
      <c r="W34" s="66"/>
      <c r="X34" s="66"/>
      <c r="Y34" s="66"/>
    </row>
    <row r="35" spans="1:25">
      <c r="M35" s="572"/>
      <c r="N35" s="573"/>
      <c r="O35" s="2" t="str">
        <f>IF(OR(O34="",P34=""),"",IF((O34&gt;P34),"WIN","LOSE"))</f>
        <v/>
      </c>
      <c r="P35" s="2" t="str">
        <f>IF(OR(O34="",P34=""),"",IF((O34&lt;P34),"WIN","LOSE"))</f>
        <v/>
      </c>
      <c r="Q35" s="573"/>
      <c r="R35" s="574"/>
      <c r="T35" s="66"/>
      <c r="U35" s="66"/>
      <c r="V35" s="66"/>
      <c r="W35" s="66"/>
      <c r="X35" s="66"/>
      <c r="Y35" s="66"/>
    </row>
    <row r="36" spans="1:25">
      <c r="M36" s="578">
        <v>18</v>
      </c>
      <c r="N36" s="579"/>
      <c r="O36" s="185" t="s">
        <v>302</v>
      </c>
      <c r="P36" s="185" t="s">
        <v>302</v>
      </c>
      <c r="Q36" s="579">
        <v>45</v>
      </c>
      <c r="R36" s="580"/>
      <c r="T36" s="66"/>
      <c r="U36" s="66"/>
      <c r="V36" s="66"/>
      <c r="W36" s="66"/>
      <c r="X36" s="66"/>
      <c r="Y36" s="66"/>
    </row>
    <row r="37" spans="1:25">
      <c r="M37" s="563" t="s">
        <v>193</v>
      </c>
      <c r="N37" s="543"/>
      <c r="O37" s="177" t="s">
        <v>195</v>
      </c>
      <c r="P37" s="178" t="s">
        <v>302</v>
      </c>
      <c r="Q37" s="542" t="s">
        <v>196</v>
      </c>
      <c r="R37" s="564"/>
      <c r="T37" s="66"/>
      <c r="U37" s="66"/>
      <c r="V37" s="66"/>
      <c r="W37" s="66"/>
      <c r="X37" s="66"/>
      <c r="Y37" s="66"/>
    </row>
    <row r="38" spans="1:25">
      <c r="M38" s="581" t="str">
        <f>IF(COUNTBLANK($O$17:$P$30)&lt;&gt;0,"",IF($O$22="win",M21,Q21))</f>
        <v/>
      </c>
      <c r="N38" s="582"/>
      <c r="O38" s="149"/>
      <c r="P38" s="150"/>
      <c r="Q38" s="583" t="str">
        <f>IF(COUNTBLANK($O$17:$P$30)&lt;&gt;0,"",IF($O$26="win",M25,Q25))</f>
        <v/>
      </c>
      <c r="R38" s="584"/>
      <c r="T38" s="66"/>
      <c r="U38" s="66"/>
      <c r="V38" s="66"/>
      <c r="W38" s="66"/>
      <c r="X38" s="66"/>
    </row>
    <row r="39" spans="1:25">
      <c r="M39" s="572"/>
      <c r="N39" s="573"/>
      <c r="O39" s="2" t="str">
        <f>IF(OR(O38="",P38=""),"",IF((O38&gt;P38),"WIN","LOSE"))</f>
        <v/>
      </c>
      <c r="P39" s="2" t="str">
        <f>IF(OR(O38="",P38=""),"",IF((O38&lt;P38),"WIN","LOSE"))</f>
        <v/>
      </c>
      <c r="Q39" s="573"/>
      <c r="R39" s="574"/>
    </row>
    <row r="40" spans="1:25" ht="15.95" thickBot="1">
      <c r="M40" s="585">
        <v>27</v>
      </c>
      <c r="N40" s="586"/>
      <c r="O40" s="186" t="s">
        <v>302</v>
      </c>
      <c r="P40" s="186" t="s">
        <v>302</v>
      </c>
      <c r="Q40" s="586">
        <v>36</v>
      </c>
      <c r="R40" s="587"/>
    </row>
    <row r="41" spans="1:25" ht="29.1" customHeight="1">
      <c r="M41" s="560" t="s">
        <v>308</v>
      </c>
      <c r="N41" s="561"/>
      <c r="O41" s="561"/>
      <c r="P41" s="561"/>
      <c r="Q41" s="561"/>
      <c r="R41" s="562"/>
    </row>
    <row r="42" spans="1:25">
      <c r="M42" s="563" t="s">
        <v>193</v>
      </c>
      <c r="N42" s="543"/>
      <c r="O42" s="417" t="s">
        <v>195</v>
      </c>
      <c r="P42" s="418"/>
      <c r="Q42" s="542" t="s">
        <v>196</v>
      </c>
      <c r="R42" s="564"/>
    </row>
    <row r="43" spans="1:25">
      <c r="M43" s="565" t="str">
        <f>IF(COUNTBLANK($O$34:$P$40)&lt;&gt;0,"",IF($O$35="lose",M34,Q34))</f>
        <v/>
      </c>
      <c r="N43" s="566"/>
      <c r="O43" s="149"/>
      <c r="P43" s="149"/>
      <c r="Q43" s="567" t="str">
        <f>IF(COUNTBLANK($O$34:$P$40)&lt;&gt;0,"",IF($O$39="lose",M38,Q38))</f>
        <v/>
      </c>
      <c r="R43" s="568"/>
    </row>
    <row r="44" spans="1:25">
      <c r="M44" s="572" t="str">
        <f>IF(COUNTBLANK(O43:P43)&lt;&gt;0,"",IF($O$44="lose",$U$6,$U$5))</f>
        <v/>
      </c>
      <c r="N44" s="573"/>
      <c r="O44" s="2" t="str">
        <f>IF(OR(O43="",P43=""),"",IF((O43&gt;P43),"WIN","LOSE"))</f>
        <v/>
      </c>
      <c r="P44" s="2" t="str">
        <f>IF(OR(O43="",P43=""),"",IF((O43&lt;P43),"WIN","LOSE"))</f>
        <v/>
      </c>
      <c r="Q44" s="573" t="str">
        <f>IF(COUNTBLANK(O43:P43)&lt;&gt;0,"",IF($P$44="lose",$U$6,$U$5))</f>
        <v/>
      </c>
      <c r="R44" s="574"/>
    </row>
    <row r="45" spans="1:25" ht="15.95" thickBot="1">
      <c r="M45" s="575"/>
      <c r="N45" s="576"/>
      <c r="O45" s="186" t="s">
        <v>302</v>
      </c>
      <c r="P45" s="186" t="s">
        <v>302</v>
      </c>
      <c r="Q45" s="576"/>
      <c r="R45" s="577"/>
    </row>
    <row r="46" spans="1:25" ht="30" customHeight="1">
      <c r="M46" s="560" t="s">
        <v>200</v>
      </c>
      <c r="N46" s="561"/>
      <c r="O46" s="561"/>
      <c r="P46" s="561"/>
      <c r="Q46" s="561"/>
      <c r="R46" s="562"/>
    </row>
    <row r="47" spans="1:25">
      <c r="M47" s="563" t="s">
        <v>193</v>
      </c>
      <c r="N47" s="543"/>
      <c r="O47" s="417" t="s">
        <v>195</v>
      </c>
      <c r="P47" s="418"/>
      <c r="Q47" s="542" t="s">
        <v>196</v>
      </c>
      <c r="R47" s="564"/>
    </row>
    <row r="48" spans="1:25">
      <c r="M48" s="565" t="str">
        <f>IF(COUNTBLANK($O$34:$P$40)&lt;&gt;0,"",IF($O$35="win",M34,Q34))</f>
        <v/>
      </c>
      <c r="N48" s="566"/>
      <c r="O48" s="149"/>
      <c r="P48" s="149"/>
      <c r="Q48" s="567" t="str">
        <f>IF(COUNTBLANK($O$34:$P$40)&lt;&gt;0,"",IF($O$39="win",M38,Q38))</f>
        <v/>
      </c>
      <c r="R48" s="568"/>
    </row>
    <row r="49" spans="13:18" ht="15.95" thickBot="1">
      <c r="M49" s="569" t="str">
        <f>IF(COUNTBLANK(O48:P48)&lt;&gt;0,"",IF($O$49="lose",$U$4,$U$3))</f>
        <v/>
      </c>
      <c r="N49" s="570"/>
      <c r="O49" s="187" t="str">
        <f>IF(OR(O48="",P48=""),"",IF((O48&gt;P48),"WIN","LOSE"))</f>
        <v/>
      </c>
      <c r="P49" s="187" t="str">
        <f>IF(OR(O48="",P48=""),"",IF((O48&lt;P48),"WIN","LOSE"))</f>
        <v/>
      </c>
      <c r="Q49" s="570" t="str">
        <f>IF(COUNTBLANK(O48:P48)&lt;&gt;0,"",IF($P$49="lose",$U$4,$U$3))</f>
        <v/>
      </c>
      <c r="R49" s="571"/>
    </row>
    <row r="50" spans="13:18">
      <c r="M50" s="559"/>
      <c r="N50" s="559"/>
      <c r="Q50" s="559"/>
      <c r="R50" s="559"/>
    </row>
  </sheetData>
  <sheetProtection algorithmName="SHA-512" hashValue="c68L2Di6wl/84XOhk/j3WfC23OENqCaLS8BriVyI2ETSEIyQPL5IeoZDIh3W+BcRYO+c+//ODBSLMcSPMNQ8ag==" saltValue="ZAwoHCGWrFHuybb1PUWn4Q==" spinCount="100000" sheet="1" objects="1" scenarios="1"/>
  <mergeCells count="71">
    <mergeCell ref="A1:A13"/>
    <mergeCell ref="T1:U1"/>
    <mergeCell ref="A15:G15"/>
    <mergeCell ref="M15:R15"/>
    <mergeCell ref="M16:N16"/>
    <mergeCell ref="Q16:R16"/>
    <mergeCell ref="M17:N17"/>
    <mergeCell ref="Q17:R17"/>
    <mergeCell ref="M18:N18"/>
    <mergeCell ref="Q18:R18"/>
    <mergeCell ref="M19:N19"/>
    <mergeCell ref="Q19:R19"/>
    <mergeCell ref="M20:N20"/>
    <mergeCell ref="Q20:R20"/>
    <mergeCell ref="M21:N21"/>
    <mergeCell ref="Q21:R21"/>
    <mergeCell ref="M22:N22"/>
    <mergeCell ref="Q22:R22"/>
    <mergeCell ref="M23:N23"/>
    <mergeCell ref="Q23:R23"/>
    <mergeCell ref="M24:N24"/>
    <mergeCell ref="Q24:R24"/>
    <mergeCell ref="M25:N25"/>
    <mergeCell ref="Q25:R25"/>
    <mergeCell ref="M26:N26"/>
    <mergeCell ref="Q26:R26"/>
    <mergeCell ref="M27:N27"/>
    <mergeCell ref="Q27:R27"/>
    <mergeCell ref="M28:N28"/>
    <mergeCell ref="Q28:R28"/>
    <mergeCell ref="M35:N35"/>
    <mergeCell ref="Q35:R35"/>
    <mergeCell ref="M29:N29"/>
    <mergeCell ref="Q29:R29"/>
    <mergeCell ref="M30:N30"/>
    <mergeCell ref="Q30:R30"/>
    <mergeCell ref="M31:N31"/>
    <mergeCell ref="Q31:R31"/>
    <mergeCell ref="M32:R32"/>
    <mergeCell ref="M33:N33"/>
    <mergeCell ref="Q33:R33"/>
    <mergeCell ref="M34:N34"/>
    <mergeCell ref="Q34:R34"/>
    <mergeCell ref="M42:N42"/>
    <mergeCell ref="Q42:R42"/>
    <mergeCell ref="M36:N36"/>
    <mergeCell ref="Q36:R36"/>
    <mergeCell ref="M37:N37"/>
    <mergeCell ref="Q37:R37"/>
    <mergeCell ref="M38:N38"/>
    <mergeCell ref="Q38:R38"/>
    <mergeCell ref="M39:N39"/>
    <mergeCell ref="Q39:R39"/>
    <mergeCell ref="M40:N40"/>
    <mergeCell ref="Q40:R40"/>
    <mergeCell ref="M41:R41"/>
    <mergeCell ref="M43:N43"/>
    <mergeCell ref="Q43:R43"/>
    <mergeCell ref="M44:N44"/>
    <mergeCell ref="Q44:R44"/>
    <mergeCell ref="M45:N45"/>
    <mergeCell ref="Q45:R45"/>
    <mergeCell ref="M50:N50"/>
    <mergeCell ref="Q50:R50"/>
    <mergeCell ref="M46:R46"/>
    <mergeCell ref="M47:N47"/>
    <mergeCell ref="Q47:R47"/>
    <mergeCell ref="M48:N48"/>
    <mergeCell ref="Q48:R48"/>
    <mergeCell ref="M49:N49"/>
    <mergeCell ref="Q49:R49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AF32-565D-8448-AC10-2B0557D7B7D9}">
  <sheetPr codeName="Sheet33">
    <pageSetUpPr fitToPage="1"/>
  </sheetPr>
  <dimension ref="A1:I27"/>
  <sheetViews>
    <sheetView view="pageLayout" zoomScaleNormal="66" workbookViewId="0">
      <selection activeCell="H13" sqref="H13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50" style="34" customWidth="1"/>
    <col min="9" max="9" width="41.710937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05" t="s">
        <v>377</v>
      </c>
      <c r="B1" s="606"/>
      <c r="C1" s="606"/>
      <c r="D1" s="606"/>
      <c r="E1" s="606"/>
      <c r="F1" s="606"/>
      <c r="G1" s="606"/>
      <c r="H1" s="606"/>
      <c r="I1" s="607"/>
    </row>
    <row r="2" spans="1:9" ht="39.950000000000003" customHeight="1">
      <c r="A2" s="493" t="s">
        <v>378</v>
      </c>
      <c r="B2" s="494" t="s">
        <v>379</v>
      </c>
      <c r="C2" s="494" t="s">
        <v>380</v>
      </c>
      <c r="D2" s="494" t="s">
        <v>381</v>
      </c>
      <c r="E2" s="494" t="s">
        <v>161</v>
      </c>
      <c r="F2" s="494" t="s">
        <v>382</v>
      </c>
      <c r="G2" s="494" t="s">
        <v>195</v>
      </c>
      <c r="H2" s="494" t="s">
        <v>383</v>
      </c>
      <c r="I2" s="495" t="s">
        <v>384</v>
      </c>
    </row>
    <row r="3" spans="1:9" ht="38.1" customHeight="1">
      <c r="A3" s="448" t="s">
        <v>385</v>
      </c>
      <c r="B3" s="449">
        <v>1</v>
      </c>
      <c r="C3" s="450">
        <v>0.375</v>
      </c>
      <c r="D3" s="403"/>
      <c r="E3" s="451" t="s">
        <v>178</v>
      </c>
      <c r="F3" s="452" t="str">
        <f>'MDS-1'!C2&amp;"  "&amp;'MDS-1'!D2</f>
        <v xml:space="preserve">Mari / Shahar  </v>
      </c>
      <c r="G3" s="245"/>
      <c r="H3" s="453" t="str">
        <f>'MDS-1'!G2 &amp; "  " &amp; 'MDS-1'!L2</f>
        <v xml:space="preserve">  Huçana / Bo</v>
      </c>
      <c r="I3" s="269" t="s">
        <v>386</v>
      </c>
    </row>
    <row r="4" spans="1:9" ht="38.1" customHeight="1">
      <c r="A4" s="448" t="s">
        <v>385</v>
      </c>
      <c r="B4" s="449">
        <v>2</v>
      </c>
      <c r="C4" s="450">
        <v>0.38888888888888901</v>
      </c>
      <c r="D4" s="403"/>
      <c r="E4" s="451" t="s">
        <v>178</v>
      </c>
      <c r="F4" s="452" t="str">
        <f>'MDS-1'!C4&amp;"  "&amp;'MDS-1'!D4</f>
        <v xml:space="preserve">Stephanie / Andrew  </v>
      </c>
      <c r="G4" s="245"/>
      <c r="H4" s="453" t="str">
        <f>'MDS-1'!G4 &amp; "  " &amp; 'MDS-1'!L4</f>
        <v xml:space="preserve">  Mari M. / Ricardo</v>
      </c>
      <c r="I4" s="269" t="s">
        <v>386</v>
      </c>
    </row>
    <row r="5" spans="1:9" ht="38.1" customHeight="1">
      <c r="A5" s="448" t="s">
        <v>385</v>
      </c>
      <c r="B5" s="449">
        <v>3</v>
      </c>
      <c r="C5" s="450">
        <v>0.40277777777777801</v>
      </c>
      <c r="D5" s="403"/>
      <c r="E5" s="451" t="s">
        <v>180</v>
      </c>
      <c r="F5" s="452" t="str">
        <f>'MDS-1'!C7&amp;"  "&amp;'MDS-1'!D7</f>
        <v xml:space="preserve">Piu / Carol  </v>
      </c>
      <c r="G5" s="245"/>
      <c r="H5" s="453" t="str">
        <f>'MDS-1'!G7 &amp; "  " &amp; 'MDS-1'!L7</f>
        <v xml:space="preserve">  Natalie / Marcos</v>
      </c>
      <c r="I5" s="269" t="s">
        <v>386</v>
      </c>
    </row>
    <row r="6" spans="1:9" ht="38.1" customHeight="1">
      <c r="A6" s="448" t="s">
        <v>385</v>
      </c>
      <c r="B6" s="449">
        <v>4</v>
      </c>
      <c r="C6" s="450">
        <v>0.41666666666666702</v>
      </c>
      <c r="D6" s="403"/>
      <c r="E6" s="451" t="s">
        <v>180</v>
      </c>
      <c r="F6" s="452" t="str">
        <f>'MDS-1'!C9&amp;" "&amp;'MDS-1'!D9</f>
        <v xml:space="preserve">Ana / Alex </v>
      </c>
      <c r="G6" s="245"/>
      <c r="H6" s="453" t="str">
        <f>'MDS-1'!G9 &amp; "  " &amp; 'MDS-1'!L9</f>
        <v xml:space="preserve">  Bia / Evan</v>
      </c>
      <c r="I6" s="269" t="s">
        <v>386</v>
      </c>
    </row>
    <row r="7" spans="1:9" ht="38.1" customHeight="1">
      <c r="A7" s="442" t="s">
        <v>387</v>
      </c>
      <c r="B7" s="443">
        <v>5</v>
      </c>
      <c r="C7" s="444">
        <v>0.43055555555555602</v>
      </c>
      <c r="D7" s="403"/>
      <c r="E7" s="445" t="s">
        <v>178</v>
      </c>
      <c r="F7" s="446" t="str">
        <f>'Male A-3'!C2&amp;"  / "&amp;'Male A-3'!D2</f>
        <v>Renan Guiot  / Thyago Henrique</v>
      </c>
      <c r="G7" s="245"/>
      <c r="H7" s="447" t="str">
        <f>'Male A-3'!G2 &amp; " / " &amp; 'Male A-3'!L2</f>
        <v>Gabriel Velloso / Thomas Zahn</v>
      </c>
      <c r="I7" s="454" t="s">
        <v>386</v>
      </c>
    </row>
    <row r="8" spans="1:9" ht="38.1" customHeight="1">
      <c r="A8" s="227" t="s">
        <v>388</v>
      </c>
      <c r="B8" s="198">
        <v>6</v>
      </c>
      <c r="C8" s="456">
        <v>0.44444444444444497</v>
      </c>
      <c r="D8" s="403"/>
      <c r="E8" s="457" t="s">
        <v>181</v>
      </c>
      <c r="F8" s="458" t="str">
        <f>'Male B-3'!C7&amp;" / "&amp;'Male B-3'!D7</f>
        <v>Felipe R. / Zuna</v>
      </c>
      <c r="G8" s="245"/>
      <c r="H8" s="459" t="str">
        <f>'Male B-3'!G7 &amp; " / " &amp; 'Male B-3'!L7</f>
        <v>Bebeto / Harrinho</v>
      </c>
      <c r="I8" s="269" t="s">
        <v>386</v>
      </c>
    </row>
    <row r="9" spans="1:9" ht="38.1" customHeight="1">
      <c r="A9" s="227" t="s">
        <v>388</v>
      </c>
      <c r="B9" s="198">
        <v>7</v>
      </c>
      <c r="C9" s="456">
        <v>0.45833333333333398</v>
      </c>
      <c r="D9" s="403"/>
      <c r="E9" s="457" t="s">
        <v>225</v>
      </c>
      <c r="F9" s="458" t="str">
        <f>'Male B-3'!C8&amp;" / "&amp;'Male B-3'!D8</f>
        <v>Tizoc / Marcelo</v>
      </c>
      <c r="G9" s="245"/>
      <c r="H9" s="459" t="str">
        <f>'Male B-3'!G8 &amp; " / " &amp; 'Male B-3'!L8</f>
        <v>Pedro It. / Caua</v>
      </c>
      <c r="I9" s="269" t="s">
        <v>386</v>
      </c>
    </row>
    <row r="10" spans="1:9" ht="38.1" customHeight="1">
      <c r="A10" s="227" t="s">
        <v>388</v>
      </c>
      <c r="B10" s="198">
        <v>8</v>
      </c>
      <c r="C10" s="456">
        <v>0.47222222222222299</v>
      </c>
      <c r="D10" s="403"/>
      <c r="E10" s="457" t="s">
        <v>178</v>
      </c>
      <c r="F10" s="458" t="str">
        <f>'Male B-3'!C9&amp;" / "&amp;'Male B-3'!D9</f>
        <v>Andrew / Rafa</v>
      </c>
      <c r="G10" s="245"/>
      <c r="H10" s="459" t="str">
        <f>'Male B-3'!G9 &amp; " / " &amp; 'Male B-3'!L9</f>
        <v>Joao / Jerry Ruiz</v>
      </c>
      <c r="I10" s="269" t="s">
        <v>386</v>
      </c>
    </row>
    <row r="11" spans="1:9" ht="38.1" customHeight="1">
      <c r="A11" s="227" t="s">
        <v>388</v>
      </c>
      <c r="B11" s="198">
        <v>9</v>
      </c>
      <c r="C11" s="456">
        <v>0.48611111111111199</v>
      </c>
      <c r="D11" s="403"/>
      <c r="E11" s="457" t="s">
        <v>180</v>
      </c>
      <c r="F11" s="458" t="str">
        <f>'Male B-3'!C10&amp;" / "&amp;'Male B-3'!D10</f>
        <v>Bruno C. / Lucas</v>
      </c>
      <c r="G11" s="245"/>
      <c r="H11" s="459" t="str">
        <f>'Male B-3'!G10 &amp; " / " &amp; 'Male B-3'!L10</f>
        <v>Matheus L. / Luiz</v>
      </c>
      <c r="I11" s="269" t="s">
        <v>386</v>
      </c>
    </row>
    <row r="12" spans="1:9" ht="38.1" customHeight="1">
      <c r="A12" s="213" t="s">
        <v>389</v>
      </c>
      <c r="B12" s="208">
        <v>10</v>
      </c>
      <c r="C12" s="209">
        <v>0.500000000000001</v>
      </c>
      <c r="D12" s="210" t="s">
        <v>390</v>
      </c>
      <c r="E12" s="207"/>
      <c r="F12" s="207"/>
      <c r="G12" s="207"/>
      <c r="H12" s="207"/>
      <c r="I12" s="212"/>
    </row>
    <row r="13" spans="1:9" ht="38.1" customHeight="1">
      <c r="A13" s="460" t="s">
        <v>391</v>
      </c>
      <c r="B13" s="461">
        <v>11</v>
      </c>
      <c r="C13" s="462">
        <v>0.51388888888888995</v>
      </c>
      <c r="D13" s="403"/>
      <c r="E13" s="463" t="s">
        <v>180</v>
      </c>
      <c r="F13" s="464" t="str">
        <f>'Female A-3'!C9&amp;" / "&amp;'Female A-3'!D9</f>
        <v>Gabi Silva / Gabi Cordeiro</v>
      </c>
      <c r="G13" s="245"/>
      <c r="H13" s="465" t="str">
        <f>'Female A-3'!G9 &amp; " / " &amp; 'Female A-3'!L9</f>
        <v>Roberta G. / Jessica</v>
      </c>
      <c r="I13" s="269" t="s">
        <v>386</v>
      </c>
    </row>
    <row r="14" spans="1:9" ht="38.1" customHeight="1">
      <c r="A14" s="460" t="s">
        <v>391</v>
      </c>
      <c r="B14" s="461">
        <v>12</v>
      </c>
      <c r="C14" s="462">
        <v>0.52777777777777901</v>
      </c>
      <c r="D14" s="403"/>
      <c r="E14" s="463" t="s">
        <v>178</v>
      </c>
      <c r="F14" s="464" t="str">
        <f>'Female A-3'!C10&amp;" / "&amp;'Female A-3'!D10</f>
        <v>Priscila / Fiorella</v>
      </c>
      <c r="G14" s="245"/>
      <c r="H14" s="465" t="str">
        <f>'Female A-3'!G10 &amp; " / " &amp; 'Female A-3'!L10</f>
        <v>Julia / Juliane</v>
      </c>
      <c r="I14" s="269" t="s">
        <v>386</v>
      </c>
    </row>
    <row r="15" spans="1:9" ht="38.1" customHeight="1">
      <c r="A15" s="442" t="s">
        <v>387</v>
      </c>
      <c r="B15" s="443">
        <v>13</v>
      </c>
      <c r="C15" s="444">
        <v>0.54166666666666796</v>
      </c>
      <c r="D15" s="403"/>
      <c r="E15" s="445" t="s">
        <v>180</v>
      </c>
      <c r="F15" s="446" t="str">
        <f>'Male A-3'!C11&amp;"  / "&amp;'Male A-3'!D11</f>
        <v>Gerardo Torres  / Bruno Soares</v>
      </c>
      <c r="G15" s="245"/>
      <c r="H15" s="447" t="str">
        <f>'Male A-3'!G11 &amp; " / " &amp; 'Male A-3'!L11</f>
        <v>Bernardo Trotta / Arthur Minota</v>
      </c>
      <c r="I15" s="455" t="s">
        <v>386</v>
      </c>
    </row>
    <row r="16" spans="1:9" ht="38.1" customHeight="1">
      <c r="A16" s="227" t="s">
        <v>392</v>
      </c>
      <c r="B16" s="198">
        <v>14</v>
      </c>
      <c r="C16" s="456">
        <v>0.55555555555555702</v>
      </c>
      <c r="D16" s="486"/>
      <c r="E16" s="457"/>
      <c r="F16" s="490"/>
      <c r="G16" s="487"/>
      <c r="H16" s="437"/>
      <c r="I16" s="489" t="s">
        <v>386</v>
      </c>
    </row>
    <row r="17" spans="1:9" ht="38.1" customHeight="1">
      <c r="A17" s="442" t="s">
        <v>393</v>
      </c>
      <c r="B17" s="443">
        <v>15</v>
      </c>
      <c r="C17" s="444">
        <v>0.56944444444444597</v>
      </c>
      <c r="D17" s="486"/>
      <c r="E17" s="445"/>
      <c r="F17" s="490"/>
      <c r="G17" s="487"/>
      <c r="H17" s="437"/>
      <c r="I17" s="489" t="s">
        <v>386</v>
      </c>
    </row>
    <row r="18" spans="1:9" ht="38.1" customHeight="1">
      <c r="A18" s="227" t="s">
        <v>394</v>
      </c>
      <c r="B18" s="198">
        <v>16</v>
      </c>
      <c r="C18" s="456">
        <v>0.58333333333333504</v>
      </c>
      <c r="D18" s="486"/>
      <c r="E18" s="457"/>
      <c r="F18" s="490"/>
      <c r="G18" s="487"/>
      <c r="H18" s="437"/>
      <c r="I18" s="489" t="s">
        <v>386</v>
      </c>
    </row>
    <row r="19" spans="1:9" ht="38.1" customHeight="1">
      <c r="A19" s="442" t="s">
        <v>395</v>
      </c>
      <c r="B19" s="483">
        <v>17</v>
      </c>
      <c r="C19" s="484">
        <v>0.59722222222222399</v>
      </c>
      <c r="D19" s="441"/>
      <c r="E19" s="485"/>
      <c r="F19" s="491"/>
      <c r="G19" s="440"/>
      <c r="H19" s="492"/>
      <c r="I19" s="440" t="s">
        <v>386</v>
      </c>
    </row>
    <row r="20" spans="1:9" ht="38.1" customHeight="1">
      <c r="A20" s="460" t="s">
        <v>396</v>
      </c>
      <c r="B20" s="461">
        <v>18</v>
      </c>
      <c r="C20" s="462">
        <v>0.61111111111111305</v>
      </c>
      <c r="D20" s="486"/>
      <c r="E20" s="463"/>
      <c r="F20" s="490"/>
      <c r="G20" s="487"/>
      <c r="H20" s="437"/>
      <c r="I20" s="489" t="s">
        <v>386</v>
      </c>
    </row>
    <row r="21" spans="1:9" ht="38.1" customHeight="1">
      <c r="A21" s="466" t="s">
        <v>397</v>
      </c>
      <c r="B21" s="449">
        <v>19</v>
      </c>
      <c r="C21" s="450">
        <v>0.625000000000002</v>
      </c>
      <c r="D21" s="486"/>
      <c r="E21" s="451"/>
      <c r="F21" s="490"/>
      <c r="G21" s="487"/>
      <c r="H21" s="437"/>
      <c r="I21" s="489" t="s">
        <v>386</v>
      </c>
    </row>
    <row r="22" spans="1:9" ht="38.1" customHeight="1">
      <c r="A22" s="469" t="s">
        <v>398</v>
      </c>
      <c r="B22" s="198">
        <v>20</v>
      </c>
      <c r="C22" s="456">
        <v>0.63888888888889095</v>
      </c>
      <c r="D22" s="435"/>
      <c r="E22" s="470"/>
      <c r="F22" s="436"/>
      <c r="G22" s="488"/>
      <c r="H22" s="437"/>
      <c r="I22" s="489" t="s">
        <v>386</v>
      </c>
    </row>
    <row r="23" spans="1:9" ht="38.1" customHeight="1">
      <c r="A23" s="473" t="s">
        <v>399</v>
      </c>
      <c r="B23" s="461">
        <v>21</v>
      </c>
      <c r="C23" s="462">
        <v>0.65277777777778001</v>
      </c>
      <c r="D23" s="435"/>
      <c r="E23" s="475"/>
      <c r="F23" s="436"/>
      <c r="G23" s="488"/>
      <c r="H23" s="437"/>
      <c r="I23" s="489" t="s">
        <v>386</v>
      </c>
    </row>
    <row r="24" spans="1:9" ht="38.1" customHeight="1">
      <c r="A24" s="478" t="s">
        <v>400</v>
      </c>
      <c r="B24" s="443">
        <v>22</v>
      </c>
      <c r="C24" s="444">
        <v>0.66666666666666896</v>
      </c>
      <c r="D24" s="435"/>
      <c r="E24" s="480"/>
      <c r="F24" s="436"/>
      <c r="G24" s="488"/>
      <c r="H24" s="437"/>
      <c r="I24" s="489" t="s">
        <v>386</v>
      </c>
    </row>
    <row r="25" spans="1:9" ht="38.1" customHeight="1">
      <c r="A25"/>
      <c r="B25"/>
      <c r="C25"/>
      <c r="D25"/>
      <c r="E25"/>
      <c r="F25"/>
      <c r="G25"/>
      <c r="H25"/>
      <c r="I25"/>
    </row>
    <row r="26" spans="1:9" ht="39.950000000000003" customHeight="1">
      <c r="A26" s="130"/>
      <c r="B26" s="204"/>
      <c r="C26" s="204"/>
      <c r="D26" s="204"/>
      <c r="E26" s="130"/>
      <c r="F26" s="205"/>
      <c r="G26" s="130"/>
      <c r="H26" s="206"/>
      <c r="I26" s="130"/>
    </row>
    <row r="27" spans="1:9" ht="39.950000000000003" customHeight="1">
      <c r="H27" s="361" t="s">
        <v>401</v>
      </c>
      <c r="I27" s="362" t="s">
        <v>402</v>
      </c>
    </row>
  </sheetData>
  <mergeCells count="1">
    <mergeCell ref="A1:I1"/>
  </mergeCells>
  <phoneticPr fontId="1" type="noConversion"/>
  <pageMargins left="0.25" right="0.25" top="0.75" bottom="0.75" header="0.3" footer="0.3"/>
  <pageSetup scale="52" orientation="landscape" r:id="rId1"/>
  <headerFooter>
    <oddHeader>&amp;L&amp;"Aptos Narrow (Body),Regular"&amp;22Sunday, October 26th, 2025 - Stage 3&amp;C&amp;"System Font,Regular"&amp;20&amp;K000000SAN DIEGO FOOTVOLLEY&amp;R&amp;"Aptos Narrow (Body),Regular"&amp;24COURT 1</oddHeader>
  </headerFooter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BF07-3D7B-1A4F-ACB2-2FE64154F2C7}">
  <sheetPr codeName="Sheet34">
    <pageSetUpPr fitToPage="1"/>
  </sheetPr>
  <dimension ref="A1:I27"/>
  <sheetViews>
    <sheetView view="pageLayout" topLeftCell="C1" zoomScaleNormal="100" workbookViewId="0">
      <selection activeCell="H13" sqref="H13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49.85546875" style="34" customWidth="1"/>
    <col min="9" max="9" width="41.4257812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08" t="s">
        <v>403</v>
      </c>
      <c r="B1" s="609"/>
      <c r="C1" s="609"/>
      <c r="D1" s="609"/>
      <c r="E1" s="609"/>
      <c r="F1" s="609"/>
      <c r="G1" s="609"/>
      <c r="H1" s="609"/>
      <c r="I1" s="610"/>
    </row>
    <row r="2" spans="1:9" ht="39.950000000000003" customHeight="1">
      <c r="A2" s="366" t="s">
        <v>378</v>
      </c>
      <c r="B2" s="367" t="s">
        <v>379</v>
      </c>
      <c r="C2" s="367" t="s">
        <v>380</v>
      </c>
      <c r="D2" s="367" t="s">
        <v>381</v>
      </c>
      <c r="E2" s="367" t="s">
        <v>161</v>
      </c>
      <c r="F2" s="367" t="s">
        <v>382</v>
      </c>
      <c r="G2" s="367" t="s">
        <v>195</v>
      </c>
      <c r="H2" s="367" t="s">
        <v>383</v>
      </c>
      <c r="I2" s="368" t="s">
        <v>384</v>
      </c>
    </row>
    <row r="3" spans="1:9" ht="38.1" customHeight="1">
      <c r="A3" s="509" t="s">
        <v>385</v>
      </c>
      <c r="B3" s="510">
        <v>1</v>
      </c>
      <c r="C3" s="511">
        <v>0.375</v>
      </c>
      <c r="D3" s="411"/>
      <c r="E3" s="512" t="s">
        <v>180</v>
      </c>
      <c r="F3" s="513" t="str">
        <f>'MDS-1'!C3&amp;"  "&amp;'MDS-1'!D3</f>
        <v xml:space="preserve">Piu / Carol  </v>
      </c>
      <c r="G3" s="245"/>
      <c r="H3" s="514" t="str">
        <f>'MDS-1'!G3 &amp; "  " &amp; 'MDS-1'!L3</f>
        <v xml:space="preserve">  Ana / Alex</v>
      </c>
      <c r="I3" s="415" t="s">
        <v>386</v>
      </c>
    </row>
    <row r="4" spans="1:9" ht="38.1" customHeight="1">
      <c r="A4" s="509" t="s">
        <v>385</v>
      </c>
      <c r="B4" s="510">
        <v>2</v>
      </c>
      <c r="C4" s="511">
        <v>0.38888888888888901</v>
      </c>
      <c r="D4" s="411"/>
      <c r="E4" s="512" t="s">
        <v>180</v>
      </c>
      <c r="F4" s="513" t="str">
        <f>'MDS-1'!C5&amp;"  "&amp;'MDS-1'!D5</f>
        <v xml:space="preserve">Natalie / Marcos  </v>
      </c>
      <c r="G4" s="245"/>
      <c r="H4" s="514" t="str">
        <f>'MDS-1'!G5 &amp; "  " &amp; 'MDS-1'!L5</f>
        <v xml:space="preserve">  Bia / Evan</v>
      </c>
      <c r="I4" s="415" t="s">
        <v>386</v>
      </c>
    </row>
    <row r="5" spans="1:9" ht="38.1" customHeight="1">
      <c r="A5" s="509" t="s">
        <v>385</v>
      </c>
      <c r="B5" s="510">
        <v>3</v>
      </c>
      <c r="C5" s="511">
        <v>0.40277777777777801</v>
      </c>
      <c r="D5" s="411"/>
      <c r="E5" s="512" t="s">
        <v>178</v>
      </c>
      <c r="F5" s="513" t="str">
        <f>'MDS-1'!C6&amp;"  "&amp;'MDS-1'!D6</f>
        <v xml:space="preserve">Mari / Shahar  </v>
      </c>
      <c r="G5" s="245"/>
      <c r="H5" s="514" t="str">
        <f>'MDS-1'!G6 &amp; "  " &amp; 'MDS-1'!L6</f>
        <v xml:space="preserve">  Stephanie / Andrew</v>
      </c>
      <c r="I5" s="415" t="s">
        <v>386</v>
      </c>
    </row>
    <row r="6" spans="1:9" ht="38.1" customHeight="1">
      <c r="A6" s="509" t="s">
        <v>385</v>
      </c>
      <c r="B6" s="510">
        <v>4</v>
      </c>
      <c r="C6" s="511">
        <v>0.41666666666666702</v>
      </c>
      <c r="D6" s="411"/>
      <c r="E6" s="512" t="s">
        <v>178</v>
      </c>
      <c r="F6" s="513" t="str">
        <f>'MDS-1'!C8&amp;"  "&amp;'MDS-1'!D8</f>
        <v xml:space="preserve">Huçana / Bo  </v>
      </c>
      <c r="G6" s="245"/>
      <c r="H6" s="514" t="str">
        <f>'MDS-1'!G8 &amp; "  " &amp; 'MDS-1'!L8</f>
        <v xml:space="preserve">  Mari M. / Ricardo</v>
      </c>
      <c r="I6" s="415" t="s">
        <v>386</v>
      </c>
    </row>
    <row r="7" spans="1:9" ht="38.1" customHeight="1">
      <c r="A7" s="509" t="s">
        <v>385</v>
      </c>
      <c r="B7" s="510">
        <v>5</v>
      </c>
      <c r="C7" s="511">
        <v>0.43055555555555602</v>
      </c>
      <c r="D7" s="411"/>
      <c r="E7" s="512" t="s">
        <v>178</v>
      </c>
      <c r="F7" s="513" t="str">
        <f>'MDS-1'!C10&amp;"  "&amp;'MDS-1'!D10</f>
        <v xml:space="preserve">Mari / Shahar  </v>
      </c>
      <c r="G7" s="245"/>
      <c r="H7" s="514" t="str">
        <f>'MDS-1'!G10 &amp; "  " &amp; 'MDS-1'!L10</f>
        <v xml:space="preserve">  Mari M. / Ricardo</v>
      </c>
      <c r="I7" s="415" t="s">
        <v>386</v>
      </c>
    </row>
    <row r="8" spans="1:9" ht="38.1" customHeight="1">
      <c r="A8" s="509" t="s">
        <v>385</v>
      </c>
      <c r="B8" s="510">
        <v>6</v>
      </c>
      <c r="C8" s="511">
        <v>0.44444444444444497</v>
      </c>
      <c r="D8" s="411"/>
      <c r="E8" s="512" t="s">
        <v>180</v>
      </c>
      <c r="F8" s="513" t="str">
        <f>'MDS-1'!C11&amp;"  "&amp;'MDS-1'!D11</f>
        <v xml:space="preserve">Piu / Carol  </v>
      </c>
      <c r="G8" s="245"/>
      <c r="H8" s="514" t="str">
        <f>'MDS-1'!G11 &amp; "  " &amp; 'MDS-1'!L11</f>
        <v xml:space="preserve">  Bia / Evan</v>
      </c>
      <c r="I8" s="415" t="s">
        <v>386</v>
      </c>
    </row>
    <row r="9" spans="1:9" ht="38.1" customHeight="1">
      <c r="A9" s="509" t="s">
        <v>385</v>
      </c>
      <c r="B9" s="510">
        <v>7</v>
      </c>
      <c r="C9" s="511">
        <v>0.45833333333333398</v>
      </c>
      <c r="D9" s="411"/>
      <c r="E9" s="512" t="s">
        <v>178</v>
      </c>
      <c r="F9" s="513" t="str">
        <f>'MDS-1'!C12&amp;"  "&amp;'MDS-1'!D12</f>
        <v xml:space="preserve">Huçana / Bo  </v>
      </c>
      <c r="G9" s="245"/>
      <c r="H9" s="514" t="str">
        <f>'MDS-1'!G12 &amp; "  " &amp; 'MDS-1'!L12</f>
        <v xml:space="preserve">  Stephanie / Andrew</v>
      </c>
      <c r="I9" s="415" t="s">
        <v>386</v>
      </c>
    </row>
    <row r="10" spans="1:9" ht="38.1" customHeight="1">
      <c r="A10" s="509" t="s">
        <v>385</v>
      </c>
      <c r="B10" s="510">
        <v>8</v>
      </c>
      <c r="C10" s="511">
        <v>0.47222222222222299</v>
      </c>
      <c r="D10" s="411"/>
      <c r="E10" s="512" t="s">
        <v>180</v>
      </c>
      <c r="F10" s="513" t="str">
        <f>'MDS-1'!C13&amp;"  "&amp;'MDS-1'!D13</f>
        <v xml:space="preserve">Ana / Alex  </v>
      </c>
      <c r="G10" s="245"/>
      <c r="H10" s="514" t="str">
        <f>'MDS-1'!G13 &amp; "  " &amp; 'MDS-1'!L13</f>
        <v xml:space="preserve">  Natalie / Marcos</v>
      </c>
      <c r="I10" s="415" t="s">
        <v>386</v>
      </c>
    </row>
    <row r="11" spans="1:9" ht="38.1" customHeight="1">
      <c r="A11" s="515" t="s">
        <v>387</v>
      </c>
      <c r="B11" s="516">
        <v>9</v>
      </c>
      <c r="C11" s="517">
        <v>0.48611111111111199</v>
      </c>
      <c r="D11" s="411"/>
      <c r="E11" s="518" t="s">
        <v>180</v>
      </c>
      <c r="F11" s="519" t="str">
        <f>'Male A-3'!C7&amp;"  / "&amp;'Male A-3'!D7</f>
        <v>Guilherme Nascimento  / Bernardo Trotta</v>
      </c>
      <c r="G11" s="245"/>
      <c r="H11" s="520" t="str">
        <f>'Male A-3'!G7 &amp; " / " &amp; 'Male A-3'!L7</f>
        <v>Arthur Minota / Bruno Soares</v>
      </c>
      <c r="I11" s="415" t="s">
        <v>386</v>
      </c>
    </row>
    <row r="12" spans="1:9" ht="38.1" customHeight="1">
      <c r="A12" s="213" t="s">
        <v>389</v>
      </c>
      <c r="B12" s="208">
        <v>10</v>
      </c>
      <c r="C12" s="209">
        <v>0.500000000000001</v>
      </c>
      <c r="D12" s="210" t="s">
        <v>390</v>
      </c>
      <c r="E12" s="207"/>
      <c r="F12" s="207"/>
      <c r="G12" s="207"/>
      <c r="H12" s="207"/>
      <c r="I12" s="207"/>
    </row>
    <row r="13" spans="1:9" ht="38.1" customHeight="1">
      <c r="A13" s="515" t="s">
        <v>387</v>
      </c>
      <c r="B13" s="516">
        <v>11</v>
      </c>
      <c r="C13" s="517">
        <v>0.51388888888888995</v>
      </c>
      <c r="D13" s="411"/>
      <c r="E13" s="518" t="s">
        <v>180</v>
      </c>
      <c r="F13" s="519" t="str">
        <f>'Male A-3'!C9&amp;"  / "&amp;'Male A-3'!D9</f>
        <v>Guilherme Nascimento  / Bruno Soares</v>
      </c>
      <c r="G13" s="245"/>
      <c r="H13" s="520" t="str">
        <f>'Male A-3'!G9 &amp; " / " &amp; 'Male A-3'!L9</f>
        <v>Gerardo Torres / Arthur Minota</v>
      </c>
      <c r="I13" s="415" t="s">
        <v>386</v>
      </c>
    </row>
    <row r="14" spans="1:9" ht="38.1" customHeight="1">
      <c r="A14" s="521" t="s">
        <v>388</v>
      </c>
      <c r="B14" s="522">
        <v>12</v>
      </c>
      <c r="C14" s="523">
        <v>0.52777777777777901</v>
      </c>
      <c r="D14" s="411"/>
      <c r="E14" s="524" t="s">
        <v>181</v>
      </c>
      <c r="F14" s="525" t="str">
        <f>'Male B-3'!C12&amp;" / "&amp;'Male B-3'!D12</f>
        <v>Tizoc / Caua</v>
      </c>
      <c r="G14" s="245"/>
      <c r="H14" s="526" t="str">
        <f>'Male B-3'!G12 &amp; " / " &amp; 'Male B-3'!L12</f>
        <v>Marcelo / Pedro It.</v>
      </c>
      <c r="I14" s="415" t="s">
        <v>386</v>
      </c>
    </row>
    <row r="15" spans="1:9" ht="38.1" customHeight="1">
      <c r="A15" s="448" t="s">
        <v>404</v>
      </c>
      <c r="B15" s="510">
        <v>13</v>
      </c>
      <c r="C15" s="511">
        <v>0.54166666666666796</v>
      </c>
      <c r="D15" s="411"/>
      <c r="E15" s="412"/>
      <c r="F15" s="413"/>
      <c r="G15" s="245"/>
      <c r="H15" s="414"/>
      <c r="I15" s="415" t="s">
        <v>386</v>
      </c>
    </row>
    <row r="16" spans="1:9" ht="38.1" customHeight="1">
      <c r="A16" s="227" t="s">
        <v>392</v>
      </c>
      <c r="B16" s="522">
        <v>14</v>
      </c>
      <c r="C16" s="523">
        <v>0.55555555555555702</v>
      </c>
      <c r="D16" s="411"/>
      <c r="E16" s="412"/>
      <c r="F16" s="413"/>
      <c r="G16" s="245"/>
      <c r="H16" s="414"/>
      <c r="I16" s="238" t="s">
        <v>386</v>
      </c>
    </row>
    <row r="17" spans="1:9" ht="38.1" customHeight="1">
      <c r="A17" s="442" t="s">
        <v>393</v>
      </c>
      <c r="B17" s="443">
        <v>15</v>
      </c>
      <c r="C17" s="444">
        <v>0.56944444444444597</v>
      </c>
      <c r="D17" s="403"/>
      <c r="E17" s="244"/>
      <c r="F17" s="416"/>
      <c r="G17" s="245"/>
      <c r="H17" s="405"/>
      <c r="I17" s="415" t="s">
        <v>386</v>
      </c>
    </row>
    <row r="18" spans="1:9" ht="38.1" customHeight="1">
      <c r="A18" s="448" t="s">
        <v>405</v>
      </c>
      <c r="B18" s="449">
        <v>16</v>
      </c>
      <c r="C18" s="450">
        <v>0.58333333333333504</v>
      </c>
      <c r="D18" s="403"/>
      <c r="E18" s="244"/>
      <c r="F18" s="405"/>
      <c r="G18" s="245"/>
      <c r="H18" s="405"/>
      <c r="I18" s="415" t="s">
        <v>386</v>
      </c>
    </row>
    <row r="19" spans="1:9" ht="38.1" customHeight="1">
      <c r="A19" s="500" t="s">
        <v>406</v>
      </c>
      <c r="B19" s="501">
        <v>17</v>
      </c>
      <c r="C19" s="502">
        <v>0.59722222222222399</v>
      </c>
      <c r="D19" s="502"/>
      <c r="E19" s="503"/>
      <c r="F19" s="504"/>
      <c r="G19" s="505"/>
      <c r="H19" s="504"/>
      <c r="I19" s="506" t="s">
        <v>386</v>
      </c>
    </row>
    <row r="20" spans="1:9" ht="38.1" customHeight="1">
      <c r="A20" s="500" t="s">
        <v>406</v>
      </c>
      <c r="B20" s="507">
        <v>18</v>
      </c>
      <c r="C20" s="486">
        <v>0.61111111111111305</v>
      </c>
      <c r="D20" s="486"/>
      <c r="E20" s="508"/>
      <c r="F20" s="439"/>
      <c r="G20" s="487"/>
      <c r="H20" s="439"/>
      <c r="I20" s="506"/>
    </row>
    <row r="21" spans="1:9" ht="38.1" customHeight="1">
      <c r="A21" s="466" t="s">
        <v>397</v>
      </c>
      <c r="B21" s="449">
        <v>19</v>
      </c>
      <c r="C21" s="450">
        <v>0.625000000000002</v>
      </c>
      <c r="D21" s="450"/>
      <c r="E21" s="451"/>
      <c r="F21" s="496" t="s">
        <v>407</v>
      </c>
      <c r="G21" s="467"/>
      <c r="H21" s="453"/>
      <c r="I21" s="468"/>
    </row>
    <row r="22" spans="1:9" ht="38.1" customHeight="1">
      <c r="A22" s="469" t="s">
        <v>398</v>
      </c>
      <c r="B22" s="198">
        <v>20</v>
      </c>
      <c r="C22" s="456">
        <v>0.63888888888889095</v>
      </c>
      <c r="D22" s="199"/>
      <c r="E22" s="470"/>
      <c r="F22" s="497" t="s">
        <v>407</v>
      </c>
      <c r="G22" s="471"/>
      <c r="H22" s="459"/>
      <c r="I22" s="472"/>
    </row>
    <row r="23" spans="1:9" ht="38.1" customHeight="1">
      <c r="A23" s="473" t="s">
        <v>399</v>
      </c>
      <c r="B23" s="461">
        <v>21</v>
      </c>
      <c r="C23" s="462">
        <v>0.65277777777778001</v>
      </c>
      <c r="D23" s="474"/>
      <c r="E23" s="475"/>
      <c r="F23" s="498" t="s">
        <v>407</v>
      </c>
      <c r="G23" s="476"/>
      <c r="H23" s="465"/>
      <c r="I23" s="477"/>
    </row>
    <row r="24" spans="1:9" ht="38.1" customHeight="1">
      <c r="A24" s="478" t="s">
        <v>400</v>
      </c>
      <c r="B24" s="443">
        <v>22</v>
      </c>
      <c r="C24" s="444">
        <v>0.66666666666666896</v>
      </c>
      <c r="D24" s="479"/>
      <c r="E24" s="480"/>
      <c r="F24" s="499" t="s">
        <v>407</v>
      </c>
      <c r="G24" s="481"/>
      <c r="H24" s="447"/>
      <c r="I24" s="482"/>
    </row>
    <row r="25" spans="1:9" ht="38.1" customHeight="1">
      <c r="A25"/>
      <c r="B25"/>
      <c r="C25"/>
      <c r="D25"/>
      <c r="E25"/>
      <c r="F25"/>
      <c r="G25"/>
      <c r="H25"/>
      <c r="I25"/>
    </row>
    <row r="26" spans="1:9" ht="39.950000000000003" customHeight="1">
      <c r="A26" s="130"/>
      <c r="B26" s="204"/>
      <c r="C26" s="204"/>
      <c r="D26" s="204"/>
      <c r="E26" s="130"/>
      <c r="F26" s="215"/>
      <c r="G26" s="130"/>
      <c r="H26" s="81"/>
      <c r="I26" s="130"/>
    </row>
    <row r="27" spans="1:9" ht="39.950000000000003" customHeight="1">
      <c r="H27" s="361" t="s">
        <v>401</v>
      </c>
      <c r="I27" s="363" t="s">
        <v>408</v>
      </c>
    </row>
  </sheetData>
  <mergeCells count="1">
    <mergeCell ref="A1:I1"/>
  </mergeCells>
  <phoneticPr fontId="1" type="noConversion"/>
  <pageMargins left="0.25" right="0.25" top="0.75" bottom="0.75" header="0.3" footer="0.3"/>
  <pageSetup scale="52" orientation="landscape" r:id="rId1"/>
  <headerFooter>
    <oddHeader>&amp;L&amp;"Aptos Narrow (Body),Regular"&amp;22Sunday, October 26th, 2025 - Stage 3&amp;C&amp;"System Font,Regular"&amp;20&amp;K000000SAN DIEGO FOOTVOLLEY&amp;R&amp;"Aptos Narrow (Body),Regular"&amp;24COURT 2.1</oddHeader>
  </headerFooter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FDBA-A8AD-8A44-9662-49401F3D72EF}">
  <sheetPr codeName="Sheet35">
    <pageSetUpPr fitToPage="1"/>
  </sheetPr>
  <dimension ref="A1:I27"/>
  <sheetViews>
    <sheetView view="pageLayout" zoomScaleNormal="100" workbookViewId="0">
      <selection activeCell="H13" sqref="H13"/>
    </sheetView>
    <sheetView topLeftCell="B1"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50" style="34" customWidth="1"/>
    <col min="9" max="9" width="41.710937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11" t="s">
        <v>409</v>
      </c>
      <c r="B1" s="612"/>
      <c r="C1" s="612"/>
      <c r="D1" s="612"/>
      <c r="E1" s="612"/>
      <c r="F1" s="612"/>
      <c r="G1" s="612"/>
      <c r="H1" s="612"/>
      <c r="I1" s="613"/>
    </row>
    <row r="2" spans="1:9" ht="39.950000000000003" customHeight="1">
      <c r="A2" s="369" t="s">
        <v>378</v>
      </c>
      <c r="B2" s="370" t="s">
        <v>379</v>
      </c>
      <c r="C2" s="370" t="s">
        <v>380</v>
      </c>
      <c r="D2" s="370" t="s">
        <v>381</v>
      </c>
      <c r="E2" s="370" t="s">
        <v>161</v>
      </c>
      <c r="F2" s="370" t="s">
        <v>382</v>
      </c>
      <c r="G2" s="370" t="s">
        <v>195</v>
      </c>
      <c r="H2" s="370" t="s">
        <v>383</v>
      </c>
      <c r="I2" s="371" t="s">
        <v>384</v>
      </c>
    </row>
    <row r="3" spans="1:9" ht="38.1" customHeight="1">
      <c r="A3" s="227" t="s">
        <v>388</v>
      </c>
      <c r="B3" s="198">
        <v>1</v>
      </c>
      <c r="C3" s="456">
        <v>0.375</v>
      </c>
      <c r="D3" s="403"/>
      <c r="E3" s="457" t="s">
        <v>178</v>
      </c>
      <c r="F3" s="458" t="str">
        <f>'Male B-3'!C2&amp;" / "&amp;'Male B-3'!D2</f>
        <v>Bruno C. / Luiz</v>
      </c>
      <c r="G3" s="245"/>
      <c r="H3" s="459" t="str">
        <f>'Male B-3'!G2 &amp; " / " &amp; 'Male B-3'!L2</f>
        <v>Lucas / Matheus L.</v>
      </c>
      <c r="I3" s="269" t="s">
        <v>386</v>
      </c>
    </row>
    <row r="4" spans="1:9" ht="38.1" customHeight="1">
      <c r="A4" s="227" t="s">
        <v>388</v>
      </c>
      <c r="B4" s="198">
        <v>2</v>
      </c>
      <c r="C4" s="456">
        <v>0.38888888888888901</v>
      </c>
      <c r="D4" s="403"/>
      <c r="E4" s="457" t="s">
        <v>180</v>
      </c>
      <c r="F4" s="458" t="str">
        <f>'Male B-3'!C3&amp;" / "&amp;'Male B-3'!D3</f>
        <v>Felipe R. / Bebeto</v>
      </c>
      <c r="G4" s="245"/>
      <c r="H4" s="459" t="str">
        <f>'Male B-3'!G3 &amp; " / " &amp; 'Male B-3'!L3</f>
        <v>Harrinho / Zuna</v>
      </c>
      <c r="I4" s="269" t="s">
        <v>386</v>
      </c>
    </row>
    <row r="5" spans="1:9" ht="38.1" customHeight="1">
      <c r="A5" s="227" t="s">
        <v>388</v>
      </c>
      <c r="B5" s="198">
        <v>3</v>
      </c>
      <c r="C5" s="456">
        <v>0.40277777777777801</v>
      </c>
      <c r="D5" s="403"/>
      <c r="E5" s="457" t="s">
        <v>181</v>
      </c>
      <c r="F5" s="458" t="str">
        <f>'Male B-3'!C4&amp;" / "&amp;'Male B-3'!D4</f>
        <v>Tizoc / Pedro It.</v>
      </c>
      <c r="G5" s="245"/>
      <c r="H5" s="459" t="str">
        <f>'Male B-3'!G4 &amp; " / " &amp; 'Male B-3'!L4</f>
        <v>Caua / Marcelo</v>
      </c>
      <c r="I5" s="269" t="s">
        <v>386</v>
      </c>
    </row>
    <row r="6" spans="1:9" ht="38.1" customHeight="1">
      <c r="A6" s="227" t="s">
        <v>388</v>
      </c>
      <c r="B6" s="198">
        <v>4</v>
      </c>
      <c r="C6" s="456">
        <v>0.41666666666666702</v>
      </c>
      <c r="D6" s="403"/>
      <c r="E6" s="457" t="s">
        <v>225</v>
      </c>
      <c r="F6" s="458" t="str">
        <f>'Male B-3'!C5&amp;" / "&amp;'Male B-3'!D5</f>
        <v>Andrew / Joao</v>
      </c>
      <c r="G6" s="245"/>
      <c r="H6" s="459" t="str">
        <f>'Male B-3'!G5 &amp; " / " &amp; 'Male B-3'!L5</f>
        <v>Jerry Ruiz / Rafa</v>
      </c>
      <c r="I6" s="269" t="s">
        <v>386</v>
      </c>
    </row>
    <row r="7" spans="1:9" ht="38.1" customHeight="1">
      <c r="A7" s="227" t="s">
        <v>388</v>
      </c>
      <c r="B7" s="198">
        <v>5</v>
      </c>
      <c r="C7" s="456">
        <v>0.43055555555555602</v>
      </c>
      <c r="D7" s="403"/>
      <c r="E7" s="457" t="s">
        <v>178</v>
      </c>
      <c r="F7" s="458" t="str">
        <f>'Male B-3'!C6&amp;" / "&amp;'Male B-3'!D6</f>
        <v>Bruno C. / Matheus L.</v>
      </c>
      <c r="G7" s="245"/>
      <c r="H7" s="459" t="str">
        <f>'Male B-3'!G6 &amp; " / " &amp; 'Male B-3'!L6</f>
        <v>Luiz / Lucas</v>
      </c>
      <c r="I7" s="269" t="s">
        <v>386</v>
      </c>
    </row>
    <row r="8" spans="1:9" ht="38.1" customHeight="1">
      <c r="A8" s="442" t="s">
        <v>387</v>
      </c>
      <c r="B8" s="443">
        <v>6</v>
      </c>
      <c r="C8" s="444">
        <v>0.44444444444444398</v>
      </c>
      <c r="D8" s="403"/>
      <c r="E8" s="445" t="s">
        <v>180</v>
      </c>
      <c r="F8" s="446" t="str">
        <f>'Male A-3'!C3&amp;"  / "&amp;'Male A-3'!D3</f>
        <v>Guilherme Nascimento  / Arthur Minota</v>
      </c>
      <c r="G8" s="245"/>
      <c r="H8" s="447" t="str">
        <f>'Male A-3'!G3 &amp; " / " &amp; 'Male A-3'!L3</f>
        <v>Bernardo Trotta / Gerardo Torres</v>
      </c>
      <c r="I8" s="269" t="s">
        <v>386</v>
      </c>
    </row>
    <row r="9" spans="1:9" ht="38.1" customHeight="1">
      <c r="A9" s="442" t="s">
        <v>387</v>
      </c>
      <c r="B9" s="443">
        <v>7</v>
      </c>
      <c r="C9" s="444">
        <v>0.45833333333333398</v>
      </c>
      <c r="D9" s="403"/>
      <c r="E9" s="445" t="s">
        <v>178</v>
      </c>
      <c r="F9" s="446" t="str">
        <f>'Male A-3'!C4&amp;"  / "&amp;'Male A-3'!D4</f>
        <v>Renan Guiot  / Thomas Zahn</v>
      </c>
      <c r="G9" s="245"/>
      <c r="H9" s="447" t="str">
        <f>'Male A-3'!G4 &amp; " / " &amp; 'Male A-3'!L4</f>
        <v>Gabriel Velloso / João Barreto</v>
      </c>
      <c r="I9" s="269" t="s">
        <v>386</v>
      </c>
    </row>
    <row r="10" spans="1:9" ht="38.1" customHeight="1">
      <c r="A10" s="442" t="s">
        <v>387</v>
      </c>
      <c r="B10" s="443">
        <v>8</v>
      </c>
      <c r="C10" s="444">
        <v>0.47222222222222299</v>
      </c>
      <c r="D10" s="403"/>
      <c r="E10" s="445" t="s">
        <v>180</v>
      </c>
      <c r="F10" s="446" t="str">
        <f>'Male A-3'!C5&amp;"  / "&amp;'Male A-3'!D5</f>
        <v>Guilherme Nascimento  / Gerardo Torres</v>
      </c>
      <c r="G10" s="245"/>
      <c r="H10" s="447" t="str">
        <f>'Male A-3'!G5 &amp; " / " &amp; 'Male A-3'!L5</f>
        <v>Bernardo Trotta / Bruno Soares</v>
      </c>
      <c r="I10" s="269" t="s">
        <v>386</v>
      </c>
    </row>
    <row r="11" spans="1:9" ht="38.1" customHeight="1">
      <c r="A11" s="442" t="s">
        <v>387</v>
      </c>
      <c r="B11" s="443">
        <v>9</v>
      </c>
      <c r="C11" s="444">
        <v>0.48611111111111199</v>
      </c>
      <c r="D11" s="403"/>
      <c r="E11" s="445" t="s">
        <v>178</v>
      </c>
      <c r="F11" s="446" t="str">
        <f>'Male A-3'!C6&amp;"  / "&amp;'Male A-3'!D6</f>
        <v>Renan Guiot  / Gabriel Velloso</v>
      </c>
      <c r="G11" s="245"/>
      <c r="H11" s="447" t="str">
        <f>'Male A-3'!G6 &amp; " / " &amp; 'Male A-3'!L6</f>
        <v>Thyago Henrique / João Barreto</v>
      </c>
      <c r="I11" s="269" t="s">
        <v>386</v>
      </c>
    </row>
    <row r="12" spans="1:9" ht="38.1" customHeight="1">
      <c r="A12" s="213" t="s">
        <v>389</v>
      </c>
      <c r="B12" s="208">
        <v>10</v>
      </c>
      <c r="C12" s="209">
        <v>0.500000000000001</v>
      </c>
      <c r="D12" s="210" t="s">
        <v>390</v>
      </c>
      <c r="E12" s="207"/>
      <c r="F12" s="207"/>
      <c r="G12" s="207"/>
      <c r="H12" s="207"/>
      <c r="I12" s="212"/>
    </row>
    <row r="13" spans="1:9" ht="38.1" customHeight="1">
      <c r="A13" s="227" t="s">
        <v>388</v>
      </c>
      <c r="B13" s="198">
        <v>11</v>
      </c>
      <c r="C13" s="456">
        <v>0.51388888888888995</v>
      </c>
      <c r="D13" s="403"/>
      <c r="E13" s="457" t="s">
        <v>180</v>
      </c>
      <c r="F13" s="458" t="str">
        <f>'Male B-3'!C11&amp;" / "&amp;'Male B-3'!D11</f>
        <v>Felipe R. / Harrinho</v>
      </c>
      <c r="G13" s="245"/>
      <c r="H13" s="459" t="str">
        <f>'Male B-3'!G11 &amp; " / " &amp; 'Male B-3'!L11</f>
        <v>Zuna / Bebeto</v>
      </c>
      <c r="I13" s="246" t="s">
        <v>386</v>
      </c>
    </row>
    <row r="14" spans="1:9" ht="38.1" customHeight="1">
      <c r="A14" s="227" t="s">
        <v>388</v>
      </c>
      <c r="B14" s="198">
        <v>12</v>
      </c>
      <c r="C14" s="456">
        <v>0.52777777777777901</v>
      </c>
      <c r="D14" s="403"/>
      <c r="E14" s="457" t="s">
        <v>225</v>
      </c>
      <c r="F14" s="458" t="str">
        <f>'Male B-3'!C13&amp;" / "&amp;'Male B-3'!D13</f>
        <v>Andrew / Jerry Ruiz</v>
      </c>
      <c r="G14" s="245"/>
      <c r="H14" s="459" t="str">
        <f>'Male B-3'!G13 &amp; " / " &amp; 'Male B-3'!L13</f>
        <v>Rafa / Joao</v>
      </c>
      <c r="I14" s="246" t="s">
        <v>386</v>
      </c>
    </row>
    <row r="15" spans="1:9" ht="38.1" customHeight="1">
      <c r="A15" s="448" t="s">
        <v>404</v>
      </c>
      <c r="B15" s="449">
        <v>13</v>
      </c>
      <c r="C15" s="450">
        <v>0.54166666666666796</v>
      </c>
      <c r="D15" s="403"/>
      <c r="E15" s="244"/>
      <c r="F15" s="409"/>
      <c r="G15" s="245"/>
      <c r="H15" s="404"/>
      <c r="I15" s="246" t="s">
        <v>386</v>
      </c>
    </row>
    <row r="16" spans="1:9" ht="38.1" customHeight="1">
      <c r="A16" s="448" t="s">
        <v>410</v>
      </c>
      <c r="B16" s="449">
        <v>14</v>
      </c>
      <c r="C16" s="450">
        <v>0.55555555555555702</v>
      </c>
      <c r="D16" s="403"/>
      <c r="E16" s="244"/>
      <c r="F16" s="409"/>
      <c r="G16" s="245"/>
      <c r="H16" s="404"/>
      <c r="I16" s="238" t="s">
        <v>386</v>
      </c>
    </row>
    <row r="17" spans="1:9" ht="38.1" customHeight="1">
      <c r="A17" s="448" t="s">
        <v>410</v>
      </c>
      <c r="B17" s="449">
        <v>15</v>
      </c>
      <c r="C17" s="450">
        <v>0.56944444444444597</v>
      </c>
      <c r="D17" s="403"/>
      <c r="E17" s="244"/>
      <c r="F17" s="405"/>
      <c r="G17" s="245"/>
      <c r="H17" s="405"/>
      <c r="I17" s="246" t="s">
        <v>386</v>
      </c>
    </row>
    <row r="18" spans="1:9" ht="38.1" customHeight="1">
      <c r="A18" s="402" t="s">
        <v>406</v>
      </c>
      <c r="B18" s="242">
        <v>16</v>
      </c>
      <c r="C18" s="403">
        <v>0.58333333333333504</v>
      </c>
      <c r="D18" s="403"/>
      <c r="E18" s="244"/>
      <c r="F18" s="405"/>
      <c r="G18" s="245"/>
      <c r="H18" s="405"/>
      <c r="I18" s="246" t="s">
        <v>386</v>
      </c>
    </row>
    <row r="19" spans="1:9" ht="38.1" customHeight="1">
      <c r="A19" s="402" t="s">
        <v>406</v>
      </c>
      <c r="B19" s="242">
        <v>17</v>
      </c>
      <c r="C19" s="403">
        <v>0.59722222222222399</v>
      </c>
      <c r="D19" s="403"/>
      <c r="E19" s="244"/>
      <c r="F19" s="405"/>
      <c r="G19" s="245"/>
      <c r="H19" s="405"/>
      <c r="I19" s="246" t="s">
        <v>386</v>
      </c>
    </row>
    <row r="20" spans="1:9" ht="38.1" customHeight="1">
      <c r="A20" s="402" t="s">
        <v>406</v>
      </c>
      <c r="B20" s="242">
        <v>18</v>
      </c>
      <c r="C20" s="403">
        <v>0.61111111111111305</v>
      </c>
      <c r="D20" s="406"/>
      <c r="E20" s="407"/>
      <c r="F20" s="408"/>
      <c r="G20" s="408"/>
      <c r="H20" s="408"/>
      <c r="I20" s="410"/>
    </row>
    <row r="21" spans="1:9" ht="38.1" customHeight="1">
      <c r="A21" s="466" t="s">
        <v>397</v>
      </c>
      <c r="B21" s="449">
        <v>19</v>
      </c>
      <c r="C21" s="450">
        <v>0.625000000000002</v>
      </c>
      <c r="D21" s="450"/>
      <c r="E21" s="451"/>
      <c r="F21" s="496" t="s">
        <v>407</v>
      </c>
      <c r="G21" s="467"/>
      <c r="H21" s="453"/>
      <c r="I21" s="468"/>
    </row>
    <row r="22" spans="1:9" ht="38.1" customHeight="1">
      <c r="A22" s="469" t="s">
        <v>398</v>
      </c>
      <c r="B22" s="198">
        <v>20</v>
      </c>
      <c r="C22" s="456">
        <v>0.63888888888889095</v>
      </c>
      <c r="D22" s="199"/>
      <c r="E22" s="470"/>
      <c r="F22" s="497" t="s">
        <v>407</v>
      </c>
      <c r="G22" s="471"/>
      <c r="H22" s="459"/>
      <c r="I22" s="472"/>
    </row>
    <row r="23" spans="1:9" ht="38.1" customHeight="1">
      <c r="A23" s="473" t="s">
        <v>399</v>
      </c>
      <c r="B23" s="461">
        <v>21</v>
      </c>
      <c r="C23" s="462">
        <v>0.65277777777778001</v>
      </c>
      <c r="D23" s="474"/>
      <c r="E23" s="475"/>
      <c r="F23" s="498" t="s">
        <v>407</v>
      </c>
      <c r="G23" s="476"/>
      <c r="H23" s="465"/>
      <c r="I23" s="477"/>
    </row>
    <row r="24" spans="1:9" ht="38.1" customHeight="1">
      <c r="A24" s="478" t="s">
        <v>400</v>
      </c>
      <c r="B24" s="443">
        <v>22</v>
      </c>
      <c r="C24" s="444">
        <v>0.66666666666666896</v>
      </c>
      <c r="D24" s="479"/>
      <c r="E24" s="480"/>
      <c r="F24" s="499" t="s">
        <v>407</v>
      </c>
      <c r="G24" s="481"/>
      <c r="H24" s="447"/>
      <c r="I24" s="482"/>
    </row>
    <row r="25" spans="1:9" ht="38.1" customHeight="1">
      <c r="A25"/>
      <c r="B25"/>
      <c r="C25"/>
      <c r="D25"/>
      <c r="E25"/>
      <c r="F25"/>
      <c r="G25"/>
      <c r="H25"/>
      <c r="I25"/>
    </row>
    <row r="27" spans="1:9" ht="39.950000000000003" customHeight="1">
      <c r="H27" s="361" t="s">
        <v>401</v>
      </c>
      <c r="I27" s="363" t="s">
        <v>411</v>
      </c>
    </row>
  </sheetData>
  <mergeCells count="1">
    <mergeCell ref="A1:I1"/>
  </mergeCells>
  <pageMargins left="0.25" right="0.25" top="0.75" bottom="0.75" header="0.3" footer="0.3"/>
  <pageSetup scale="52" orientation="landscape" r:id="rId1"/>
  <headerFooter>
    <oddHeader>&amp;L&amp;"Aptos Narrow (Body),Regular"&amp;22Sunday, October 26th, 2025 - Stage 3&amp;C&amp;"System Font,Regular"&amp;20&amp;K000000SAN DIEGO FOOTVOLLEY&amp;R&amp;"Aptos Narrow (Body),Regular"&amp;24COURT 2.2</oddHeader>
  </headerFooter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6349-8957-AB43-9FE7-FC7AE6B89D5A}">
  <sheetPr codeName="Sheet36">
    <pageSetUpPr fitToPage="1"/>
  </sheetPr>
  <dimension ref="A1:I27"/>
  <sheetViews>
    <sheetView view="pageLayout" zoomScaleNormal="100" workbookViewId="0">
      <selection activeCell="H13" sqref="H13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50" style="34" customWidth="1"/>
    <col min="9" max="9" width="41.710937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14" t="s">
        <v>412</v>
      </c>
      <c r="B1" s="615"/>
      <c r="C1" s="615"/>
      <c r="D1" s="615"/>
      <c r="E1" s="615"/>
      <c r="F1" s="615"/>
      <c r="G1" s="615"/>
      <c r="H1" s="615"/>
      <c r="I1" s="616"/>
    </row>
    <row r="2" spans="1:9" ht="39.950000000000003" customHeight="1">
      <c r="A2" s="219" t="s">
        <v>378</v>
      </c>
      <c r="B2" s="216" t="s">
        <v>379</v>
      </c>
      <c r="C2" s="216" t="s">
        <v>380</v>
      </c>
      <c r="D2" s="216" t="s">
        <v>381</v>
      </c>
      <c r="E2" s="216" t="s">
        <v>161</v>
      </c>
      <c r="F2" s="216" t="s">
        <v>382</v>
      </c>
      <c r="G2" s="216" t="s">
        <v>195</v>
      </c>
      <c r="H2" s="216" t="s">
        <v>383</v>
      </c>
      <c r="I2" s="220" t="s">
        <v>384</v>
      </c>
    </row>
    <row r="3" spans="1:9" ht="38.1" customHeight="1">
      <c r="A3" s="527" t="s">
        <v>413</v>
      </c>
      <c r="B3" s="528">
        <v>1</v>
      </c>
      <c r="C3" s="243">
        <v>0.375</v>
      </c>
      <c r="D3" s="400"/>
      <c r="E3" s="265"/>
      <c r="F3" s="531" t="str">
        <f>'Female C-3'!C2&amp;" / "&amp;'Female C-3'!D2</f>
        <v>H1 / Melissa</v>
      </c>
      <c r="G3" s="339"/>
      <c r="H3" s="533" t="str">
        <f>'Female C-3'!G2 &amp; " / " &amp; 'Female C-3'!L2</f>
        <v>H2 / Fabiola</v>
      </c>
      <c r="I3" s="273" t="s">
        <v>386</v>
      </c>
    </row>
    <row r="4" spans="1:9" ht="38.1" customHeight="1">
      <c r="A4" s="527" t="s">
        <v>413</v>
      </c>
      <c r="B4" s="194">
        <v>2</v>
      </c>
      <c r="C4" s="195">
        <v>0.38888888888888901</v>
      </c>
      <c r="D4" s="403"/>
      <c r="E4" s="532"/>
      <c r="F4" s="531" t="str">
        <f>'Female C-3'!C4&amp;" / "&amp;'Female C-3'!D4</f>
        <v>H1 / Michele</v>
      </c>
      <c r="G4" s="245"/>
      <c r="H4" s="533" t="str">
        <f>'Female C-3'!G4 &amp; " / " &amp; 'Female C-3'!L4</f>
        <v>H2 / Luiza</v>
      </c>
      <c r="I4" s="273" t="s">
        <v>386</v>
      </c>
    </row>
    <row r="5" spans="1:9" ht="38.1" customHeight="1">
      <c r="A5" s="527" t="s">
        <v>413</v>
      </c>
      <c r="B5" s="194">
        <v>3</v>
      </c>
      <c r="C5" s="195">
        <v>0.40277777777777801</v>
      </c>
      <c r="D5" s="403"/>
      <c r="E5" s="532"/>
      <c r="F5" s="531" t="str">
        <f>'Female C-3'!C6&amp;" / "&amp;'Female C-3'!D6</f>
        <v>H1 / Fabiola</v>
      </c>
      <c r="G5" s="245"/>
      <c r="H5" s="533" t="str">
        <f>'Female C-3'!G6 &amp; " / " &amp; 'Female C-3'!L6</f>
        <v>H2 / Michele</v>
      </c>
      <c r="I5" s="273" t="s">
        <v>386</v>
      </c>
    </row>
    <row r="6" spans="1:9" ht="38.1" customHeight="1">
      <c r="A6" s="527" t="s">
        <v>413</v>
      </c>
      <c r="B6" s="194">
        <v>4</v>
      </c>
      <c r="C6" s="195">
        <v>0.41666666666666702</v>
      </c>
      <c r="D6" s="403"/>
      <c r="E6" s="532"/>
      <c r="F6" s="531" t="str">
        <f>'Female C-3'!C8&amp;" / "&amp;'Female C-3'!D8</f>
        <v>H1 / Fabiola</v>
      </c>
      <c r="G6" s="245"/>
      <c r="H6" s="533" t="str">
        <f>'Female C-3'!G8 &amp; " / " &amp; 'Female C-3'!L8</f>
        <v>H2 / Bia</v>
      </c>
      <c r="I6" s="273" t="s">
        <v>386</v>
      </c>
    </row>
    <row r="7" spans="1:9" ht="38.1" customHeight="1">
      <c r="A7" s="460" t="s">
        <v>391</v>
      </c>
      <c r="B7" s="461">
        <v>5</v>
      </c>
      <c r="C7" s="462">
        <v>0.43055555555555602</v>
      </c>
      <c r="D7" s="403"/>
      <c r="E7" s="463"/>
      <c r="F7" s="529" t="str">
        <f>'Female A-3'!C2&amp;" / "&amp;'Female A-3'!D2</f>
        <v>Malu / Juliane</v>
      </c>
      <c r="G7" s="245"/>
      <c r="H7" s="530" t="str">
        <f>'Female A-3'!G2 &amp; " / " &amp; 'Female A-3'!L2</f>
        <v>Julia / Priscila</v>
      </c>
      <c r="I7" s="273" t="s">
        <v>386</v>
      </c>
    </row>
    <row r="8" spans="1:9" ht="38.1" customHeight="1">
      <c r="A8" s="460" t="s">
        <v>391</v>
      </c>
      <c r="B8" s="461">
        <v>6</v>
      </c>
      <c r="C8" s="462">
        <v>0.44444444444444497</v>
      </c>
      <c r="D8" s="403"/>
      <c r="E8" s="463"/>
      <c r="F8" s="529" t="str">
        <f>'Female A-3'!C3&amp;" / "&amp;'Female A-3'!D3</f>
        <v>Gabi Silva / Jessica</v>
      </c>
      <c r="G8" s="245"/>
      <c r="H8" s="530" t="str">
        <f>'Female A-3'!G3 &amp; " / " &amp; 'Female A-3'!L3</f>
        <v>Giovana / Roberta G.</v>
      </c>
      <c r="I8" s="273" t="s">
        <v>386</v>
      </c>
    </row>
    <row r="9" spans="1:9" ht="38.1" customHeight="1">
      <c r="A9" s="460" t="s">
        <v>391</v>
      </c>
      <c r="B9" s="461">
        <v>7</v>
      </c>
      <c r="C9" s="462">
        <v>0.45833333333333398</v>
      </c>
      <c r="D9" s="403"/>
      <c r="E9" s="463"/>
      <c r="F9" s="529" t="str">
        <f>'Female A-3'!C5&amp;" / "&amp;'Female A-3'!D5</f>
        <v>Gabi Silva / Roberta G.</v>
      </c>
      <c r="G9" s="245"/>
      <c r="H9" s="530" t="str">
        <f>'Female A-3'!G5 &amp; " / " &amp; 'Female A-3'!L5</f>
        <v>Giovana / Gabi Cordeiro</v>
      </c>
      <c r="I9" s="273" t="s">
        <v>386</v>
      </c>
    </row>
    <row r="10" spans="1:9" ht="38.1" customHeight="1">
      <c r="A10" s="460" t="s">
        <v>391</v>
      </c>
      <c r="B10" s="461">
        <v>8</v>
      </c>
      <c r="C10" s="462">
        <v>0.47222222222222299</v>
      </c>
      <c r="D10" s="403"/>
      <c r="E10" s="463"/>
      <c r="F10" s="529" t="str">
        <f>'Female A-3'!C6&amp;" / "&amp;'Female A-3'!D6</f>
        <v>Malu / Julia</v>
      </c>
      <c r="G10" s="245"/>
      <c r="H10" s="530" t="str">
        <f>'Female A-3'!G6 &amp; " / " &amp; 'Female A-3'!L6</f>
        <v>Juliane / Fiorella</v>
      </c>
      <c r="I10" s="273" t="s">
        <v>386</v>
      </c>
    </row>
    <row r="11" spans="1:9" ht="38.1" customHeight="1">
      <c r="A11" s="460" t="s">
        <v>391</v>
      </c>
      <c r="B11" s="461">
        <v>9</v>
      </c>
      <c r="C11" s="462">
        <v>0.48611111111111199</v>
      </c>
      <c r="D11" s="403"/>
      <c r="E11" s="463"/>
      <c r="F11" s="529" t="str">
        <f>'Female A-3'!C8&amp;" / "&amp;'Female A-3'!D8</f>
        <v>Malu / Fiorella</v>
      </c>
      <c r="G11" s="245"/>
      <c r="H11" s="530" t="str">
        <f>'Female A-3'!G8 &amp; " / " &amp; 'Female A-3'!L8</f>
        <v>Priscila / Juliane</v>
      </c>
      <c r="I11" s="273" t="s">
        <v>386</v>
      </c>
    </row>
    <row r="12" spans="1:9" ht="38.1" customHeight="1">
      <c r="A12" s="213" t="s">
        <v>389</v>
      </c>
      <c r="B12" s="208">
        <v>10</v>
      </c>
      <c r="C12" s="209">
        <v>0.500000000000001</v>
      </c>
      <c r="D12" s="210" t="s">
        <v>390</v>
      </c>
      <c r="E12" s="207"/>
      <c r="F12" s="207"/>
      <c r="G12" s="207"/>
      <c r="H12" s="207"/>
      <c r="I12" s="207"/>
    </row>
    <row r="13" spans="1:9" ht="38.1" customHeight="1">
      <c r="A13" s="442" t="s">
        <v>387</v>
      </c>
      <c r="B13" s="443">
        <v>11</v>
      </c>
      <c r="C13" s="444">
        <v>0.51388888888888995</v>
      </c>
      <c r="D13" s="403"/>
      <c r="E13" s="445"/>
      <c r="F13" s="534" t="str">
        <f>'Male A-3'!C8&amp;"  / "&amp;'Male A-3'!D8</f>
        <v>Renan Guiot  / João Barreto</v>
      </c>
      <c r="G13" s="245"/>
      <c r="H13" s="535" t="str">
        <f>'Male A-3'!G8 &amp; " / " &amp; 'Male A-3'!L8</f>
        <v>Thomas Zahn / Thyago Henrique</v>
      </c>
      <c r="I13" s="273" t="s">
        <v>386</v>
      </c>
    </row>
    <row r="14" spans="1:9" ht="38.1" customHeight="1">
      <c r="A14" s="442" t="s">
        <v>387</v>
      </c>
      <c r="B14" s="443">
        <v>12</v>
      </c>
      <c r="C14" s="444">
        <v>0.52777777777777901</v>
      </c>
      <c r="D14" s="403"/>
      <c r="E14" s="445"/>
      <c r="F14" s="534" t="str">
        <f>'Male A-3'!C10&amp;"  / "&amp;'Male A-3'!D10</f>
        <v>Thomas Zahn  / João Barreto</v>
      </c>
      <c r="G14" s="245"/>
      <c r="H14" s="535" t="str">
        <f>'Male A-3'!G10 &amp; " / " &amp; 'Male A-3'!L10</f>
        <v>Gabriel Velloso / Thyago Henrique</v>
      </c>
      <c r="I14" s="273" t="s">
        <v>386</v>
      </c>
    </row>
    <row r="15" spans="1:9" ht="38.1" customHeight="1">
      <c r="A15" s="460" t="s">
        <v>391</v>
      </c>
      <c r="B15" s="461">
        <v>13</v>
      </c>
      <c r="C15" s="462">
        <v>0.54166666666666796</v>
      </c>
      <c r="D15" s="403"/>
      <c r="E15" s="463"/>
      <c r="F15" s="529" t="str">
        <f>'Female A-3'!C11&amp;" / "&amp;'Female A-3'!D11</f>
        <v>Roberta G. / Gabi Cordeiro</v>
      </c>
      <c r="G15" s="245"/>
      <c r="H15" s="465" t="str">
        <f>'Female A-3'!G11 &amp; " / " &amp; 'Female A-3'!L11</f>
        <v>Giovana / Jessica</v>
      </c>
      <c r="I15" s="273" t="s">
        <v>386</v>
      </c>
    </row>
    <row r="16" spans="1:9" ht="38.1" customHeight="1">
      <c r="A16" s="460" t="s">
        <v>414</v>
      </c>
      <c r="B16" s="461">
        <v>14</v>
      </c>
      <c r="C16" s="462">
        <v>0.55555555555555702</v>
      </c>
      <c r="D16" s="403"/>
      <c r="E16" s="244"/>
      <c r="F16" s="401"/>
      <c r="G16" s="245"/>
      <c r="H16" s="404"/>
      <c r="I16" s="273" t="s">
        <v>386</v>
      </c>
    </row>
    <row r="17" spans="1:9" ht="38.1" customHeight="1">
      <c r="A17" s="460" t="s">
        <v>414</v>
      </c>
      <c r="B17" s="461">
        <v>15</v>
      </c>
      <c r="C17" s="462">
        <v>0.56944444444444597</v>
      </c>
      <c r="D17" s="403"/>
      <c r="E17" s="244"/>
      <c r="F17" s="401"/>
      <c r="G17" s="245"/>
      <c r="H17" s="404"/>
      <c r="I17" s="273" t="s">
        <v>386</v>
      </c>
    </row>
    <row r="18" spans="1:9" ht="38.1" customHeight="1">
      <c r="A18" s="402" t="s">
        <v>406</v>
      </c>
      <c r="B18" s="242">
        <v>16</v>
      </c>
      <c r="C18" s="403">
        <v>0.58333333333333504</v>
      </c>
      <c r="D18" s="403"/>
      <c r="E18" s="244"/>
      <c r="F18" s="401"/>
      <c r="G18" s="245"/>
      <c r="H18" s="404"/>
      <c r="I18" s="238" t="s">
        <v>386</v>
      </c>
    </row>
    <row r="19" spans="1:9" ht="38.1" customHeight="1">
      <c r="A19" s="402" t="s">
        <v>406</v>
      </c>
      <c r="B19" s="242">
        <v>17</v>
      </c>
      <c r="C19" s="403">
        <v>0.59722222222222399</v>
      </c>
      <c r="D19" s="403"/>
      <c r="E19" s="244"/>
      <c r="F19" s="405"/>
      <c r="G19" s="245"/>
      <c r="H19" s="405"/>
      <c r="I19" s="273" t="s">
        <v>386</v>
      </c>
    </row>
    <row r="20" spans="1:9" ht="38.1" customHeight="1">
      <c r="A20" s="402" t="s">
        <v>406</v>
      </c>
      <c r="B20" s="242">
        <v>18</v>
      </c>
      <c r="C20" s="403">
        <v>0.61111111111111305</v>
      </c>
      <c r="D20" s="406"/>
      <c r="E20" s="407"/>
      <c r="F20" s="408"/>
      <c r="G20" s="408"/>
      <c r="H20" s="408"/>
      <c r="I20" s="408"/>
    </row>
    <row r="21" spans="1:9" ht="38.1" customHeight="1">
      <c r="A21" s="466" t="s">
        <v>397</v>
      </c>
      <c r="B21" s="449">
        <v>19</v>
      </c>
      <c r="C21" s="450">
        <v>0.625000000000002</v>
      </c>
      <c r="D21" s="450"/>
      <c r="E21" s="451"/>
      <c r="F21" s="496" t="s">
        <v>407</v>
      </c>
      <c r="G21" s="467"/>
      <c r="H21" s="453"/>
      <c r="I21" s="468"/>
    </row>
    <row r="22" spans="1:9" ht="38.1" customHeight="1">
      <c r="A22" s="469" t="s">
        <v>398</v>
      </c>
      <c r="B22" s="198">
        <v>20</v>
      </c>
      <c r="C22" s="456">
        <v>0.63888888888889095</v>
      </c>
      <c r="D22" s="199"/>
      <c r="E22" s="470"/>
      <c r="F22" s="497" t="s">
        <v>407</v>
      </c>
      <c r="G22" s="471"/>
      <c r="H22" s="459"/>
      <c r="I22" s="472"/>
    </row>
    <row r="23" spans="1:9" ht="38.1" customHeight="1">
      <c r="A23" s="473" t="s">
        <v>399</v>
      </c>
      <c r="B23" s="461">
        <v>21</v>
      </c>
      <c r="C23" s="462">
        <v>0.65277777777778001</v>
      </c>
      <c r="D23" s="474"/>
      <c r="E23" s="475"/>
      <c r="F23" s="498" t="s">
        <v>407</v>
      </c>
      <c r="G23" s="476"/>
      <c r="H23" s="465"/>
      <c r="I23" s="477"/>
    </row>
    <row r="24" spans="1:9" ht="38.1" customHeight="1">
      <c r="A24" s="478" t="s">
        <v>400</v>
      </c>
      <c r="B24" s="443">
        <v>22</v>
      </c>
      <c r="C24" s="444">
        <v>0.66666666666666896</v>
      </c>
      <c r="D24" s="479"/>
      <c r="E24" s="480"/>
      <c r="F24" s="499" t="s">
        <v>407</v>
      </c>
      <c r="G24" s="481"/>
      <c r="H24" s="447"/>
      <c r="I24" s="482"/>
    </row>
    <row r="25" spans="1:9" ht="38.1" customHeight="1">
      <c r="A25"/>
      <c r="B25"/>
      <c r="C25"/>
      <c r="D25"/>
      <c r="E25"/>
      <c r="F25"/>
      <c r="G25"/>
      <c r="H25"/>
      <c r="I25"/>
    </row>
    <row r="27" spans="1:9" ht="39.950000000000003" customHeight="1">
      <c r="H27" s="361" t="s">
        <v>401</v>
      </c>
      <c r="I27" s="363" t="s">
        <v>415</v>
      </c>
    </row>
  </sheetData>
  <mergeCells count="1">
    <mergeCell ref="A1:I1"/>
  </mergeCells>
  <pageMargins left="0.25" right="0.25" top="0.75" bottom="0.75" header="0.3" footer="0.3"/>
  <pageSetup scale="52" orientation="landscape" r:id="rId1"/>
  <headerFooter>
    <oddHeader>&amp;L&amp;"Aptos Narrow (Body),Regular"&amp;22Sunday, October 26th, 2025 - Stage 3&amp;C&amp;"System Font,Regular"&amp;20&amp;K000000SAN DIEGO FOOTVOLLEY&amp;R&amp;"Aptos Narrow (Body),Regular"&amp;24COURT 3</oddHeader>
  </headerFooter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3FAB-22AE-0842-A13D-519EF39CB9DB}">
  <sheetPr>
    <pageSetUpPr fitToPage="1"/>
  </sheetPr>
  <dimension ref="A1:I27"/>
  <sheetViews>
    <sheetView view="pageLayout" zoomScaleNormal="100" workbookViewId="0">
      <selection activeCell="H13" sqref="H13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50" style="34" customWidth="1"/>
    <col min="9" max="9" width="41.710937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17" t="s">
        <v>416</v>
      </c>
      <c r="B1" s="618"/>
      <c r="C1" s="618"/>
      <c r="D1" s="618"/>
      <c r="E1" s="618"/>
      <c r="F1" s="618"/>
      <c r="G1" s="618"/>
      <c r="H1" s="618"/>
      <c r="I1" s="619"/>
    </row>
    <row r="2" spans="1:9" ht="39.950000000000003" customHeight="1">
      <c r="A2" s="397" t="s">
        <v>378</v>
      </c>
      <c r="B2" s="398" t="s">
        <v>379</v>
      </c>
      <c r="C2" s="398" t="s">
        <v>380</v>
      </c>
      <c r="D2" s="398" t="s">
        <v>381</v>
      </c>
      <c r="E2" s="398" t="s">
        <v>161</v>
      </c>
      <c r="F2" s="398" t="s">
        <v>382</v>
      </c>
      <c r="G2" s="398" t="s">
        <v>195</v>
      </c>
      <c r="H2" s="398" t="s">
        <v>383</v>
      </c>
      <c r="I2" s="399" t="s">
        <v>384</v>
      </c>
    </row>
    <row r="3" spans="1:9" ht="38.1" customHeight="1">
      <c r="A3" s="527" t="s">
        <v>413</v>
      </c>
      <c r="B3" s="528">
        <v>1</v>
      </c>
      <c r="C3" s="243">
        <v>0.375</v>
      </c>
      <c r="D3" s="400"/>
      <c r="E3" s="265"/>
      <c r="F3" s="531" t="str">
        <f>'Female C-3'!C3&amp;" / "&amp;'Female C-3'!D3</f>
        <v>H1 / Ana</v>
      </c>
      <c r="G3" s="339"/>
      <c r="H3" s="533" t="str">
        <f>'Female C-3'!G3 &amp; " / " &amp; 'Female C-3'!L3</f>
        <v>H2 / Bia</v>
      </c>
      <c r="I3" s="273" t="s">
        <v>386</v>
      </c>
    </row>
    <row r="4" spans="1:9" ht="38.1" customHeight="1">
      <c r="A4" s="527" t="s">
        <v>413</v>
      </c>
      <c r="B4" s="194">
        <v>2</v>
      </c>
      <c r="C4" s="195">
        <v>0.38888888888888901</v>
      </c>
      <c r="D4" s="403"/>
      <c r="E4" s="532"/>
      <c r="F4" s="531" t="str">
        <f>'Female C-3'!C5&amp;" / "&amp;'Female C-3'!D5</f>
        <v>H1 / Melissa</v>
      </c>
      <c r="G4" s="245"/>
      <c r="H4" s="533" t="str">
        <f>'Female C-3'!G5 &amp; " / " &amp; 'Female C-3'!L5</f>
        <v>H2 / Bia</v>
      </c>
      <c r="I4" s="273" t="s">
        <v>386</v>
      </c>
    </row>
    <row r="5" spans="1:9" ht="38.1" customHeight="1">
      <c r="A5" s="527" t="s">
        <v>413</v>
      </c>
      <c r="B5" s="194">
        <v>3</v>
      </c>
      <c r="C5" s="195">
        <v>0.40277777777777801</v>
      </c>
      <c r="D5" s="403"/>
      <c r="E5" s="532"/>
      <c r="F5" s="531" t="str">
        <f>'Female C-3'!C7&amp;" / "&amp;'Female C-3'!D7</f>
        <v>H1 / Ana</v>
      </c>
      <c r="G5" s="245"/>
      <c r="H5" s="533" t="str">
        <f>'Female C-3'!G7 &amp; " / " &amp; 'Female C-3'!L7</f>
        <v>H2 / Luiza</v>
      </c>
      <c r="I5" s="273" t="s">
        <v>386</v>
      </c>
    </row>
    <row r="6" spans="1:9" ht="38.1" customHeight="1">
      <c r="A6" s="527" t="s">
        <v>413</v>
      </c>
      <c r="B6" s="194">
        <v>4</v>
      </c>
      <c r="C6" s="195">
        <v>0.41666666666666702</v>
      </c>
      <c r="D6" s="403"/>
      <c r="E6" s="532"/>
      <c r="F6" s="531" t="str">
        <f>'Female C-3'!C9&amp;" / "&amp;'Female C-3'!D9</f>
        <v>H1 / Melissa</v>
      </c>
      <c r="G6" s="245"/>
      <c r="H6" s="533" t="str">
        <f>'Female C-3'!G9 &amp; " / " &amp; 'Female C-3'!L9</f>
        <v>H2 / Luiza</v>
      </c>
      <c r="I6" s="273" t="s">
        <v>386</v>
      </c>
    </row>
    <row r="7" spans="1:9" ht="38.1" customHeight="1">
      <c r="A7" s="527" t="s">
        <v>413</v>
      </c>
      <c r="B7" s="194">
        <v>5</v>
      </c>
      <c r="C7" s="195">
        <v>0.43055555555555602</v>
      </c>
      <c r="D7" s="403"/>
      <c r="E7" s="532"/>
      <c r="F7" s="531" t="str">
        <f>'Female C-3'!C10&amp;" / "&amp;'Female C-3'!D10</f>
        <v>H1 / Ana</v>
      </c>
      <c r="G7" s="245"/>
      <c r="H7" s="533" t="str">
        <f>'Female C-3'!G10 &amp; " / " &amp; 'Female C-3'!L10</f>
        <v>H2 / Michele</v>
      </c>
      <c r="I7" s="273" t="s">
        <v>386</v>
      </c>
    </row>
    <row r="8" spans="1:9" ht="38.1" customHeight="1">
      <c r="A8" s="460" t="s">
        <v>391</v>
      </c>
      <c r="B8" s="461">
        <v>6</v>
      </c>
      <c r="C8" s="462">
        <v>0.44444444444444497</v>
      </c>
      <c r="D8" s="403"/>
      <c r="E8" s="463"/>
      <c r="F8" s="529" t="str">
        <f>'Female A-3'!C4&amp;" / "&amp;'Female A-3'!D4</f>
        <v>Malu / Priscila</v>
      </c>
      <c r="G8" s="245"/>
      <c r="H8" s="530" t="str">
        <f>'Female A-3'!G4 &amp; " / " &amp; 'Female A-3'!L4</f>
        <v>Julia / Fiorella</v>
      </c>
      <c r="I8" s="273" t="s">
        <v>386</v>
      </c>
    </row>
    <row r="9" spans="1:9" ht="38.1" customHeight="1">
      <c r="A9" s="527" t="s">
        <v>417</v>
      </c>
      <c r="B9" s="194">
        <v>7</v>
      </c>
      <c r="C9" s="195">
        <v>0.45833333333333398</v>
      </c>
      <c r="D9" s="403"/>
      <c r="E9" s="508"/>
      <c r="F9" s="536"/>
      <c r="G9" s="245"/>
      <c r="H9" s="537"/>
      <c r="I9" s="273" t="s">
        <v>386</v>
      </c>
    </row>
    <row r="10" spans="1:9" ht="38.1" customHeight="1">
      <c r="A10" s="460" t="s">
        <v>391</v>
      </c>
      <c r="B10" s="461">
        <v>8</v>
      </c>
      <c r="C10" s="462">
        <v>0.47222222222222299</v>
      </c>
      <c r="D10" s="403"/>
      <c r="E10" s="463"/>
      <c r="F10" s="529" t="str">
        <f>'Female A-3'!C7&amp;" / "&amp;'Female A-3'!D7</f>
        <v>Gabi Silva / Giovana</v>
      </c>
      <c r="G10" s="245"/>
      <c r="H10" s="530" t="str">
        <f>'Female A-3'!G7 &amp; " / " &amp; 'Female A-3'!L7</f>
        <v>Jessica / Gabi Cordeiro</v>
      </c>
      <c r="I10" s="273" t="s">
        <v>386</v>
      </c>
    </row>
    <row r="11" spans="1:9" ht="38.1" customHeight="1">
      <c r="A11" s="527" t="s">
        <v>418</v>
      </c>
      <c r="B11" s="194">
        <v>9</v>
      </c>
      <c r="C11" s="195">
        <v>0.48611111111111199</v>
      </c>
      <c r="D11" s="403"/>
      <c r="E11" s="508"/>
      <c r="F11" s="536"/>
      <c r="G11" s="245"/>
      <c r="H11" s="537"/>
      <c r="I11" s="273" t="s">
        <v>386</v>
      </c>
    </row>
    <row r="12" spans="1:9" ht="38.1" customHeight="1">
      <c r="A12" s="213" t="s">
        <v>389</v>
      </c>
      <c r="B12" s="208">
        <v>10</v>
      </c>
      <c r="C12" s="209">
        <v>0.500000000000001</v>
      </c>
      <c r="D12" s="210" t="s">
        <v>390</v>
      </c>
      <c r="E12" s="207"/>
      <c r="F12" s="207"/>
      <c r="G12" s="207"/>
      <c r="H12" s="207"/>
      <c r="I12" s="207"/>
    </row>
    <row r="13" spans="1:9" ht="38.1" customHeight="1">
      <c r="A13" s="448" t="s">
        <v>404</v>
      </c>
      <c r="B13" s="449">
        <v>11</v>
      </c>
      <c r="C13" s="450">
        <v>0.51388888888888995</v>
      </c>
      <c r="D13" s="403"/>
      <c r="E13" s="508"/>
      <c r="F13" s="536"/>
      <c r="G13" s="245"/>
      <c r="H13" s="537"/>
      <c r="I13" s="273" t="s">
        <v>386</v>
      </c>
    </row>
    <row r="14" spans="1:9" ht="38.1" customHeight="1">
      <c r="A14" s="448" t="s">
        <v>404</v>
      </c>
      <c r="B14" s="449">
        <v>12</v>
      </c>
      <c r="C14" s="450">
        <v>0.52777777777777901</v>
      </c>
      <c r="D14" s="403"/>
      <c r="E14" s="508"/>
      <c r="F14" s="536"/>
      <c r="G14" s="245"/>
      <c r="H14" s="437"/>
      <c r="I14" s="273" t="s">
        <v>386</v>
      </c>
    </row>
    <row r="15" spans="1:9" ht="38.1" customHeight="1">
      <c r="A15" s="402" t="s">
        <v>406</v>
      </c>
      <c r="B15" s="242">
        <v>13</v>
      </c>
      <c r="C15" s="403">
        <v>0.54166666666666796</v>
      </c>
      <c r="D15" s="403"/>
      <c r="E15" s="244"/>
      <c r="F15" s="401"/>
      <c r="G15" s="245"/>
      <c r="H15" s="404"/>
      <c r="I15" s="273" t="s">
        <v>386</v>
      </c>
    </row>
    <row r="16" spans="1:9" ht="38.1" customHeight="1">
      <c r="A16" s="402" t="s">
        <v>406</v>
      </c>
      <c r="B16" s="242">
        <v>14</v>
      </c>
      <c r="C16" s="403">
        <v>0.55555555555555702</v>
      </c>
      <c r="D16" s="403"/>
      <c r="E16" s="244"/>
      <c r="F16" s="401"/>
      <c r="G16" s="245"/>
      <c r="H16" s="404"/>
      <c r="I16" s="273" t="s">
        <v>386</v>
      </c>
    </row>
    <row r="17" spans="1:9" ht="38.1" customHeight="1">
      <c r="A17" s="402" t="s">
        <v>406</v>
      </c>
      <c r="B17" s="242">
        <v>15</v>
      </c>
      <c r="C17" s="403">
        <v>0.56944444444444597</v>
      </c>
      <c r="D17" s="403"/>
      <c r="E17" s="244"/>
      <c r="F17" s="401"/>
      <c r="G17" s="245"/>
      <c r="H17" s="404"/>
      <c r="I17" s="273" t="s">
        <v>386</v>
      </c>
    </row>
    <row r="18" spans="1:9" ht="38.1" customHeight="1">
      <c r="A18" s="402" t="s">
        <v>406</v>
      </c>
      <c r="B18" s="242">
        <v>16</v>
      </c>
      <c r="C18" s="403">
        <v>0.58333333333333504</v>
      </c>
      <c r="D18" s="403"/>
      <c r="E18" s="244"/>
      <c r="F18" s="401"/>
      <c r="G18" s="245"/>
      <c r="H18" s="404"/>
      <c r="I18" s="238" t="s">
        <v>386</v>
      </c>
    </row>
    <row r="19" spans="1:9" ht="38.1" customHeight="1">
      <c r="A19" s="402" t="s">
        <v>406</v>
      </c>
      <c r="B19" s="242">
        <v>17</v>
      </c>
      <c r="C19" s="403">
        <v>0.59722222222222399</v>
      </c>
      <c r="D19" s="403"/>
      <c r="E19" s="244"/>
      <c r="F19" s="405"/>
      <c r="G19" s="245"/>
      <c r="H19" s="405"/>
      <c r="I19" s="273" t="s">
        <v>386</v>
      </c>
    </row>
    <row r="20" spans="1:9" ht="38.1" customHeight="1">
      <c r="A20" s="402" t="s">
        <v>406</v>
      </c>
      <c r="B20" s="242">
        <v>18</v>
      </c>
      <c r="C20" s="403">
        <v>0.61111111111111305</v>
      </c>
      <c r="D20" s="406"/>
      <c r="E20" s="407"/>
      <c r="F20" s="408"/>
      <c r="G20" s="408"/>
      <c r="H20" s="408"/>
      <c r="I20" s="408"/>
    </row>
    <row r="21" spans="1:9" ht="38.1" customHeight="1">
      <c r="A21" s="466" t="s">
        <v>397</v>
      </c>
      <c r="B21" s="449">
        <v>19</v>
      </c>
      <c r="C21" s="450">
        <v>0.625000000000002</v>
      </c>
      <c r="D21" s="450"/>
      <c r="E21" s="451"/>
      <c r="F21" s="496" t="s">
        <v>407</v>
      </c>
      <c r="G21" s="467"/>
      <c r="H21" s="453"/>
      <c r="I21" s="468"/>
    </row>
    <row r="22" spans="1:9" ht="38.1" customHeight="1">
      <c r="A22" s="469" t="s">
        <v>398</v>
      </c>
      <c r="B22" s="198">
        <v>20</v>
      </c>
      <c r="C22" s="456">
        <v>0.63888888888889095</v>
      </c>
      <c r="D22" s="199"/>
      <c r="E22" s="470"/>
      <c r="F22" s="497" t="s">
        <v>407</v>
      </c>
      <c r="G22" s="471"/>
      <c r="H22" s="459"/>
      <c r="I22" s="472"/>
    </row>
    <row r="23" spans="1:9" ht="38.1" customHeight="1">
      <c r="A23" s="473" t="s">
        <v>399</v>
      </c>
      <c r="B23" s="461">
        <v>21</v>
      </c>
      <c r="C23" s="462">
        <v>0.65277777777778001</v>
      </c>
      <c r="D23" s="474"/>
      <c r="E23" s="475"/>
      <c r="F23" s="498" t="s">
        <v>407</v>
      </c>
      <c r="G23" s="476"/>
      <c r="H23" s="465"/>
      <c r="I23" s="477"/>
    </row>
    <row r="24" spans="1:9" ht="38.1" customHeight="1">
      <c r="A24" s="478" t="s">
        <v>400</v>
      </c>
      <c r="B24" s="443">
        <v>22</v>
      </c>
      <c r="C24" s="444">
        <v>0.66666666666666896</v>
      </c>
      <c r="D24" s="479"/>
      <c r="E24" s="480"/>
      <c r="F24" s="499" t="s">
        <v>407</v>
      </c>
      <c r="G24" s="481"/>
      <c r="H24" s="447"/>
      <c r="I24" s="482"/>
    </row>
    <row r="25" spans="1:9" ht="38.1" customHeight="1">
      <c r="A25"/>
      <c r="B25"/>
      <c r="C25"/>
      <c r="D25"/>
      <c r="E25"/>
      <c r="F25"/>
      <c r="G25"/>
      <c r="H25"/>
      <c r="I25"/>
    </row>
    <row r="27" spans="1:9" ht="39.950000000000003" customHeight="1">
      <c r="H27" s="361" t="s">
        <v>401</v>
      </c>
      <c r="I27" s="363" t="s">
        <v>415</v>
      </c>
    </row>
  </sheetData>
  <mergeCells count="1">
    <mergeCell ref="A1:I1"/>
  </mergeCells>
  <pageMargins left="0.25" right="0.25" top="0.75" bottom="0.75" header="0.3" footer="0.3"/>
  <pageSetup scale="52" orientation="landscape" r:id="rId1"/>
  <headerFooter>
    <oddHeader>&amp;L&amp;"Aptos Narrow (Body),Regular"&amp;22Sunday, October 26th, 2025 - Stage 3&amp;C&amp;"System Font,Regular"&amp;20&amp;K000000SAN DIEGO FOOTVOLLEY&amp;R&amp;"Aptos Narrow (Body),Regular"&amp;24COURT 4</oddHeader>
  </headerFooter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BB9D-2493-2145-A867-EFB8D4E142C3}">
  <sheetPr codeName="Sheet39"/>
  <dimension ref="B1:AO58"/>
  <sheetViews>
    <sheetView topLeftCell="C13" zoomScaleNormal="100" workbookViewId="0">
      <selection activeCell="E10" sqref="E10"/>
    </sheetView>
    <sheetView topLeftCell="A5" workbookViewId="1">
      <selection activeCell="C14" sqref="C14"/>
    </sheetView>
  </sheetViews>
  <sheetFormatPr defaultColWidth="11.42578125" defaultRowHeight="15"/>
  <cols>
    <col min="2" max="2" width="15.42578125" bestFit="1" customWidth="1"/>
    <col min="3" max="3" width="12.85546875" bestFit="1" customWidth="1"/>
  </cols>
  <sheetData>
    <row r="1" spans="2:41">
      <c r="D1" s="125" t="s">
        <v>419</v>
      </c>
      <c r="E1" s="125" t="s">
        <v>420</v>
      </c>
      <c r="F1" s="125" t="s">
        <v>421</v>
      </c>
      <c r="G1" s="125" t="s">
        <v>272</v>
      </c>
      <c r="H1" s="125" t="s">
        <v>422</v>
      </c>
      <c r="I1" s="125" t="s">
        <v>423</v>
      </c>
      <c r="L1" t="s">
        <v>205</v>
      </c>
      <c r="M1" s="25">
        <f t="shared" ref="M1:M6" si="0">COUNTIF($N$1:$Q$12,L1)</f>
        <v>5</v>
      </c>
      <c r="N1" t="str">
        <f>L1</f>
        <v>A1</v>
      </c>
      <c r="O1" t="str">
        <f>L2</f>
        <v>A2</v>
      </c>
      <c r="P1" t="str">
        <f>$L$3</f>
        <v>A3</v>
      </c>
      <c r="Q1" t="str">
        <f>L4</f>
        <v>A4</v>
      </c>
    </row>
    <row r="2" spans="2:41">
      <c r="B2" s="364" t="s">
        <v>424</v>
      </c>
      <c r="C2" s="165" t="s">
        <v>425</v>
      </c>
      <c r="D2" s="433">
        <v>10</v>
      </c>
      <c r="E2" s="433">
        <v>2</v>
      </c>
      <c r="F2" s="433">
        <v>1</v>
      </c>
      <c r="G2" s="433">
        <v>0</v>
      </c>
      <c r="H2" s="433">
        <v>1</v>
      </c>
      <c r="I2" s="433">
        <f>SUM(D2:H2)</f>
        <v>14</v>
      </c>
      <c r="L2" t="s">
        <v>206</v>
      </c>
      <c r="M2" s="25">
        <f t="shared" si="0"/>
        <v>5</v>
      </c>
      <c r="N2" t="str">
        <f>L1</f>
        <v>A1</v>
      </c>
      <c r="O2" t="str">
        <f>L3</f>
        <v>A3</v>
      </c>
      <c r="P2" t="str">
        <f>L5</f>
        <v>A5</v>
      </c>
      <c r="Q2" t="str">
        <f>L6</f>
        <v>A6</v>
      </c>
    </row>
    <row r="3" spans="2:41">
      <c r="B3" s="167" t="s">
        <v>426</v>
      </c>
      <c r="C3" s="165" t="s">
        <v>425</v>
      </c>
      <c r="D3" s="396">
        <v>10</v>
      </c>
      <c r="E3" s="396">
        <v>2</v>
      </c>
      <c r="F3" s="396">
        <v>1</v>
      </c>
      <c r="G3" s="396">
        <v>0</v>
      </c>
      <c r="H3" s="396">
        <v>1</v>
      </c>
      <c r="I3" s="396">
        <f>SUM(D3:H3)</f>
        <v>14</v>
      </c>
      <c r="L3" t="s">
        <v>207</v>
      </c>
      <c r="M3" s="25">
        <f t="shared" si="0"/>
        <v>5</v>
      </c>
      <c r="N3" t="str">
        <f>L1</f>
        <v>A1</v>
      </c>
      <c r="O3" t="str">
        <f>L4</f>
        <v>A4</v>
      </c>
      <c r="P3" t="str">
        <f>$L$3</f>
        <v>A3</v>
      </c>
      <c r="Q3" t="str">
        <f>L5</f>
        <v>A5</v>
      </c>
    </row>
    <row r="4" spans="2:41">
      <c r="B4" s="168" t="s">
        <v>427</v>
      </c>
      <c r="C4" s="165" t="s">
        <v>428</v>
      </c>
      <c r="D4" s="433">
        <v>12</v>
      </c>
      <c r="E4" s="433">
        <v>2</v>
      </c>
      <c r="F4" s="433">
        <v>1</v>
      </c>
      <c r="G4" s="433">
        <v>0</v>
      </c>
      <c r="H4" s="433">
        <v>1</v>
      </c>
      <c r="I4" s="433">
        <f>SUM(D4:H4)</f>
        <v>16</v>
      </c>
      <c r="L4" t="s">
        <v>208</v>
      </c>
      <c r="M4" s="25">
        <f t="shared" si="0"/>
        <v>5</v>
      </c>
      <c r="N4" t="str">
        <f>L1</f>
        <v>A1</v>
      </c>
      <c r="O4" t="str">
        <f>L5</f>
        <v>A5</v>
      </c>
      <c r="P4" s="170"/>
      <c r="Q4" s="170"/>
    </row>
    <row r="5" spans="2:41">
      <c r="B5" s="166" t="s">
        <v>429</v>
      </c>
      <c r="C5" s="165" t="s">
        <v>430</v>
      </c>
      <c r="D5" s="433">
        <v>9</v>
      </c>
      <c r="E5" s="433">
        <v>0</v>
      </c>
      <c r="F5" s="433">
        <v>1</v>
      </c>
      <c r="G5" s="433">
        <v>0</v>
      </c>
      <c r="H5" s="433">
        <v>1</v>
      </c>
      <c r="I5" s="433">
        <f>SUM(D5:H5)</f>
        <v>11</v>
      </c>
      <c r="L5" t="s">
        <v>230</v>
      </c>
      <c r="M5" s="25">
        <f t="shared" si="0"/>
        <v>5</v>
      </c>
      <c r="N5" t="str">
        <f>L1</f>
        <v>A1</v>
      </c>
      <c r="O5" t="str">
        <f>L6</f>
        <v>A6</v>
      </c>
      <c r="P5" t="str">
        <f>$L$2</f>
        <v>A2</v>
      </c>
      <c r="Q5" t="str">
        <f>L5</f>
        <v>A5</v>
      </c>
    </row>
    <row r="6" spans="2:41">
      <c r="B6" s="373" t="s">
        <v>431</v>
      </c>
      <c r="C6" s="165" t="s">
        <v>432</v>
      </c>
      <c r="D6" s="433">
        <v>12</v>
      </c>
      <c r="E6" s="433">
        <v>4</v>
      </c>
      <c r="F6" s="433">
        <v>2</v>
      </c>
      <c r="G6" s="433">
        <v>1</v>
      </c>
      <c r="H6" s="433">
        <v>1</v>
      </c>
      <c r="I6" s="433">
        <f>SUM(D6:H6)</f>
        <v>20</v>
      </c>
      <c r="L6" t="s">
        <v>245</v>
      </c>
      <c r="M6" s="25">
        <f t="shared" si="0"/>
        <v>5</v>
      </c>
      <c r="N6" t="str">
        <f>$L$2</f>
        <v>A2</v>
      </c>
      <c r="O6" t="str">
        <f>L3</f>
        <v>A3</v>
      </c>
      <c r="P6" t="str">
        <f>$L$4</f>
        <v>A4</v>
      </c>
      <c r="Q6" t="str">
        <f>L6</f>
        <v>A6</v>
      </c>
    </row>
    <row r="7" spans="2:41">
      <c r="I7" s="433">
        <f>SUM(I2:I6)</f>
        <v>75</v>
      </c>
      <c r="N7" t="str">
        <f>$L$2</f>
        <v>A2</v>
      </c>
      <c r="O7" t="str">
        <f>L4</f>
        <v>A4</v>
      </c>
      <c r="P7" t="str">
        <f>$L$3</f>
        <v>A3</v>
      </c>
      <c r="Q7" t="str">
        <f>L6</f>
        <v>A6</v>
      </c>
    </row>
    <row r="8" spans="2:41">
      <c r="N8" t="str">
        <f>$L$2</f>
        <v>A2</v>
      </c>
      <c r="O8" t="str">
        <f>L6</f>
        <v>A6</v>
      </c>
      <c r="P8" t="str">
        <f>$L$4</f>
        <v>A4</v>
      </c>
      <c r="Q8" t="str">
        <f>L5</f>
        <v>A5</v>
      </c>
    </row>
    <row r="10" spans="2:41">
      <c r="E10" t="s">
        <v>424</v>
      </c>
      <c r="F10" t="s">
        <v>433</v>
      </c>
    </row>
    <row r="11" spans="2:41">
      <c r="E11" t="s">
        <v>426</v>
      </c>
      <c r="F11" t="s">
        <v>434</v>
      </c>
    </row>
    <row r="12" spans="2:41">
      <c r="U12" s="377" t="s">
        <v>424</v>
      </c>
      <c r="V12" s="379" t="s">
        <v>426</v>
      </c>
      <c r="W12" s="381" t="s">
        <v>427</v>
      </c>
      <c r="X12" s="383" t="s">
        <v>429</v>
      </c>
      <c r="Y12" s="385" t="s">
        <v>385</v>
      </c>
      <c r="AK12" s="377" t="s">
        <v>424</v>
      </c>
      <c r="AL12" s="379" t="s">
        <v>426</v>
      </c>
      <c r="AM12" s="381" t="s">
        <v>427</v>
      </c>
      <c r="AN12" s="383" t="s">
        <v>429</v>
      </c>
      <c r="AO12" s="385" t="s">
        <v>385</v>
      </c>
    </row>
    <row r="13" spans="2:41">
      <c r="AK13" s="378" t="s">
        <v>435</v>
      </c>
      <c r="AL13" s="380" t="s">
        <v>436</v>
      </c>
      <c r="AM13" s="382" t="s">
        <v>437</v>
      </c>
      <c r="AN13" s="395" t="s">
        <v>438</v>
      </c>
      <c r="AO13" s="386" t="s">
        <v>439</v>
      </c>
    </row>
    <row r="14" spans="2:41">
      <c r="E14" s="125" t="s">
        <v>440</v>
      </c>
      <c r="F14" s="125" t="s">
        <v>441</v>
      </c>
      <c r="G14" s="125" t="s">
        <v>442</v>
      </c>
      <c r="H14" s="125" t="s">
        <v>443</v>
      </c>
      <c r="I14" s="125" t="s">
        <v>444</v>
      </c>
      <c r="AK14" s="378" t="s">
        <v>445</v>
      </c>
      <c r="AL14" s="380" t="s">
        <v>446</v>
      </c>
      <c r="AM14" s="382" t="s">
        <v>447</v>
      </c>
      <c r="AN14" s="395" t="s">
        <v>448</v>
      </c>
      <c r="AO14" s="386" t="s">
        <v>449</v>
      </c>
    </row>
    <row r="15" spans="2:41">
      <c r="C15" s="169">
        <v>0.375</v>
      </c>
      <c r="D15" t="s">
        <v>450</v>
      </c>
      <c r="E15" s="386" t="s">
        <v>439</v>
      </c>
      <c r="F15" s="386" t="s">
        <v>449</v>
      </c>
      <c r="G15" s="384" t="s">
        <v>438</v>
      </c>
      <c r="H15" s="384" t="s">
        <v>448</v>
      </c>
      <c r="N15" s="125" t="s">
        <v>440</v>
      </c>
      <c r="O15" s="125" t="s">
        <v>441</v>
      </c>
      <c r="P15" s="125" t="s">
        <v>442</v>
      </c>
      <c r="Q15" s="125" t="s">
        <v>443</v>
      </c>
      <c r="R15" s="125" t="s">
        <v>444</v>
      </c>
      <c r="AK15" s="378" t="s">
        <v>451</v>
      </c>
      <c r="AL15" s="380" t="s">
        <v>452</v>
      </c>
      <c r="AM15" s="382" t="s">
        <v>453</v>
      </c>
      <c r="AN15" s="395" t="s">
        <v>454</v>
      </c>
      <c r="AO15" s="386" t="s">
        <v>455</v>
      </c>
    </row>
    <row r="16" spans="2:41">
      <c r="C16" s="169">
        <v>0.3888888888888889</v>
      </c>
      <c r="D16" t="s">
        <v>456</v>
      </c>
      <c r="E16" s="386" t="s">
        <v>455</v>
      </c>
      <c r="F16" s="386" t="s">
        <v>457</v>
      </c>
      <c r="G16" s="384" t="s">
        <v>454</v>
      </c>
      <c r="H16" s="384" t="s">
        <v>458</v>
      </c>
      <c r="L16" s="169">
        <v>0.375</v>
      </c>
      <c r="M16" t="s">
        <v>450</v>
      </c>
      <c r="N16" s="386" t="s">
        <v>439</v>
      </c>
      <c r="O16" s="386" t="s">
        <v>449</v>
      </c>
      <c r="P16" s="382" t="s">
        <v>437</v>
      </c>
      <c r="Q16" s="395" t="s">
        <v>438</v>
      </c>
      <c r="R16" s="395" t="s">
        <v>448</v>
      </c>
      <c r="AK16" s="378" t="s">
        <v>459</v>
      </c>
      <c r="AL16" s="380" t="s">
        <v>460</v>
      </c>
      <c r="AM16" s="382" t="s">
        <v>461</v>
      </c>
      <c r="AN16" s="395" t="s">
        <v>458</v>
      </c>
      <c r="AO16" s="386" t="s">
        <v>457</v>
      </c>
    </row>
    <row r="17" spans="3:41">
      <c r="C17" s="169">
        <v>0.40277777777777779</v>
      </c>
      <c r="D17" t="s">
        <v>462</v>
      </c>
      <c r="E17" s="382" t="s">
        <v>437</v>
      </c>
      <c r="F17" s="386" t="s">
        <v>463</v>
      </c>
      <c r="G17" s="384" t="s">
        <v>464</v>
      </c>
      <c r="H17" s="384" t="s">
        <v>465</v>
      </c>
      <c r="L17" s="169">
        <v>0.3888888888888889</v>
      </c>
      <c r="M17" t="s">
        <v>456</v>
      </c>
      <c r="N17" s="386" t="s">
        <v>455</v>
      </c>
      <c r="O17" s="386" t="s">
        <v>457</v>
      </c>
      <c r="P17" s="382" t="s">
        <v>447</v>
      </c>
      <c r="Q17" s="395" t="s">
        <v>454</v>
      </c>
      <c r="R17" s="395" t="s">
        <v>458</v>
      </c>
      <c r="AK17" s="378" t="s">
        <v>466</v>
      </c>
      <c r="AL17" s="380" t="s">
        <v>467</v>
      </c>
      <c r="AM17" s="382" t="s">
        <v>468</v>
      </c>
      <c r="AN17" s="395" t="s">
        <v>464</v>
      </c>
      <c r="AO17" s="386" t="s">
        <v>463</v>
      </c>
    </row>
    <row r="18" spans="3:41">
      <c r="C18" s="169">
        <v>0.41666666666666702</v>
      </c>
      <c r="D18" t="s">
        <v>469</v>
      </c>
      <c r="E18" s="386" t="s">
        <v>470</v>
      </c>
      <c r="F18" s="382" t="s">
        <v>447</v>
      </c>
      <c r="G18" s="384" t="s">
        <v>471</v>
      </c>
      <c r="H18" s="384" t="s">
        <v>472</v>
      </c>
      <c r="L18" s="169">
        <v>0.40277777777777779</v>
      </c>
      <c r="M18" t="s">
        <v>462</v>
      </c>
      <c r="N18" s="386" t="s">
        <v>470</v>
      </c>
      <c r="O18" s="386" t="s">
        <v>463</v>
      </c>
      <c r="P18" s="382" t="s">
        <v>453</v>
      </c>
      <c r="Q18" s="395" t="s">
        <v>464</v>
      </c>
      <c r="R18" s="395" t="s">
        <v>465</v>
      </c>
      <c r="AK18" s="378" t="s">
        <v>473</v>
      </c>
      <c r="AL18" s="380" t="s">
        <v>474</v>
      </c>
      <c r="AM18" s="382" t="s">
        <v>475</v>
      </c>
      <c r="AN18" s="395" t="s">
        <v>465</v>
      </c>
      <c r="AO18" s="386" t="s">
        <v>470</v>
      </c>
    </row>
    <row r="19" spans="3:41">
      <c r="C19" s="169">
        <v>0.43055555555555602</v>
      </c>
      <c r="D19" t="s">
        <v>476</v>
      </c>
      <c r="E19" s="386" t="s">
        <v>477</v>
      </c>
      <c r="F19" s="382" t="s">
        <v>453</v>
      </c>
      <c r="G19" s="384" t="s">
        <v>478</v>
      </c>
      <c r="H19" s="380" t="s">
        <v>436</v>
      </c>
      <c r="L19" s="169">
        <v>0.41666666666666702</v>
      </c>
      <c r="M19" t="s">
        <v>469</v>
      </c>
      <c r="N19" s="386" t="s">
        <v>477</v>
      </c>
      <c r="O19" s="386" t="s">
        <v>479</v>
      </c>
      <c r="P19" s="382" t="s">
        <v>461</v>
      </c>
      <c r="Q19" s="395" t="s">
        <v>471</v>
      </c>
      <c r="R19" s="395" t="s">
        <v>472</v>
      </c>
      <c r="AK19" s="378" t="s">
        <v>480</v>
      </c>
      <c r="AL19" s="380" t="s">
        <v>481</v>
      </c>
      <c r="AM19" s="382" t="s">
        <v>482</v>
      </c>
      <c r="AN19" s="395" t="s">
        <v>471</v>
      </c>
      <c r="AO19" s="386" t="s">
        <v>479</v>
      </c>
    </row>
    <row r="20" spans="3:41">
      <c r="C20" s="169">
        <v>0.44444444444444497</v>
      </c>
      <c r="D20" t="s">
        <v>483</v>
      </c>
      <c r="E20" s="378" t="s">
        <v>435</v>
      </c>
      <c r="F20" s="382" t="s">
        <v>461</v>
      </c>
      <c r="G20" s="384" t="s">
        <v>484</v>
      </c>
      <c r="H20" s="380" t="s">
        <v>446</v>
      </c>
      <c r="L20" s="169">
        <v>0.43055555555555602</v>
      </c>
      <c r="M20" t="s">
        <v>476</v>
      </c>
      <c r="N20" s="378" t="s">
        <v>435</v>
      </c>
      <c r="O20" s="386" t="s">
        <v>485</v>
      </c>
      <c r="P20" s="382" t="s">
        <v>468</v>
      </c>
      <c r="Q20" s="380" t="s">
        <v>436</v>
      </c>
      <c r="R20" s="395" t="s">
        <v>478</v>
      </c>
      <c r="AK20" s="378" t="s">
        <v>486</v>
      </c>
      <c r="AL20" s="380" t="s">
        <v>487</v>
      </c>
      <c r="AM20" s="382" t="s">
        <v>488</v>
      </c>
      <c r="AN20" s="395" t="s">
        <v>472</v>
      </c>
      <c r="AO20" s="386" t="s">
        <v>477</v>
      </c>
    </row>
    <row r="21" spans="3:41">
      <c r="C21" s="169">
        <v>0.45833333333333298</v>
      </c>
      <c r="D21" t="s">
        <v>489</v>
      </c>
      <c r="E21" s="378" t="s">
        <v>445</v>
      </c>
      <c r="F21" s="386" t="s">
        <v>479</v>
      </c>
      <c r="G21" s="382" t="s">
        <v>468</v>
      </c>
      <c r="H21" s="380" t="s">
        <v>452</v>
      </c>
      <c r="L21" s="169">
        <v>0.44444444444444497</v>
      </c>
      <c r="M21" t="s">
        <v>483</v>
      </c>
      <c r="N21" s="382" t="s">
        <v>475</v>
      </c>
      <c r="O21" s="386" t="s">
        <v>490</v>
      </c>
      <c r="P21" s="378" t="s">
        <v>445</v>
      </c>
      <c r="Q21" s="380" t="s">
        <v>446</v>
      </c>
      <c r="R21" s="380" t="s">
        <v>452</v>
      </c>
      <c r="AK21" s="378" t="s">
        <v>491</v>
      </c>
      <c r="AL21" s="380" t="s">
        <v>492</v>
      </c>
      <c r="AM21" s="382" t="s">
        <v>493</v>
      </c>
      <c r="AN21" s="395" t="s">
        <v>478</v>
      </c>
      <c r="AO21" s="386" t="s">
        <v>485</v>
      </c>
    </row>
    <row r="22" spans="3:41">
      <c r="C22" s="169">
        <v>0.47222222222222199</v>
      </c>
      <c r="D22" t="s">
        <v>494</v>
      </c>
      <c r="E22" s="382" t="s">
        <v>475</v>
      </c>
      <c r="F22" s="386" t="s">
        <v>485</v>
      </c>
      <c r="G22" s="384" t="s">
        <v>495</v>
      </c>
      <c r="H22" s="380" t="s">
        <v>460</v>
      </c>
      <c r="L22" s="169">
        <v>0.45833333333333298</v>
      </c>
      <c r="M22" t="s">
        <v>489</v>
      </c>
      <c r="N22" s="382" t="s">
        <v>482</v>
      </c>
      <c r="O22" s="386" t="s">
        <v>496</v>
      </c>
      <c r="P22" s="378" t="s">
        <v>451</v>
      </c>
      <c r="Q22" s="380" t="s">
        <v>460</v>
      </c>
      <c r="R22" s="395" t="s">
        <v>484</v>
      </c>
      <c r="AK22" s="378" t="s">
        <v>497</v>
      </c>
      <c r="AL22" s="380" t="s">
        <v>498</v>
      </c>
      <c r="AM22" s="382" t="s">
        <v>499</v>
      </c>
      <c r="AN22" s="395" t="s">
        <v>484</v>
      </c>
      <c r="AO22" s="386" t="s">
        <v>490</v>
      </c>
    </row>
    <row r="23" spans="3:41">
      <c r="C23" s="169">
        <v>0.48611111111111099</v>
      </c>
      <c r="D23" t="s">
        <v>500</v>
      </c>
      <c r="E23" s="382" t="s">
        <v>482</v>
      </c>
      <c r="F23" s="386" t="s">
        <v>490</v>
      </c>
      <c r="G23" s="378" t="s">
        <v>451</v>
      </c>
      <c r="H23" s="380" t="s">
        <v>467</v>
      </c>
      <c r="L23" s="169">
        <v>0.47222222222222199</v>
      </c>
      <c r="M23" t="s">
        <v>494</v>
      </c>
      <c r="N23" s="382" t="s">
        <v>488</v>
      </c>
      <c r="O23" s="386" t="s">
        <v>501</v>
      </c>
      <c r="P23" s="378" t="s">
        <v>459</v>
      </c>
      <c r="Q23" s="380" t="s">
        <v>467</v>
      </c>
      <c r="R23" s="380" t="s">
        <v>474</v>
      </c>
      <c r="AK23" s="378" t="s">
        <v>502</v>
      </c>
      <c r="AL23" s="380" t="s">
        <v>503</v>
      </c>
      <c r="AM23" s="382" t="s">
        <v>504</v>
      </c>
      <c r="AN23" s="395" t="s">
        <v>495</v>
      </c>
      <c r="AO23" s="386" t="s">
        <v>496</v>
      </c>
    </row>
    <row r="24" spans="3:41">
      <c r="C24" s="169">
        <v>0.5</v>
      </c>
      <c r="D24" t="s">
        <v>505</v>
      </c>
      <c r="E24" s="382" t="s">
        <v>488</v>
      </c>
      <c r="F24" s="386" t="s">
        <v>496</v>
      </c>
      <c r="G24" s="378" t="s">
        <v>459</v>
      </c>
      <c r="H24" s="380" t="s">
        <v>474</v>
      </c>
      <c r="L24" s="169">
        <v>0.48611111111111099</v>
      </c>
      <c r="M24" t="s">
        <v>500</v>
      </c>
      <c r="N24" s="382" t="s">
        <v>493</v>
      </c>
      <c r="O24" s="378" t="s">
        <v>473</v>
      </c>
      <c r="P24" s="378" t="s">
        <v>466</v>
      </c>
      <c r="Q24" s="380" t="s">
        <v>481</v>
      </c>
      <c r="R24" s="395" t="s">
        <v>495</v>
      </c>
      <c r="AK24" s="378" t="s">
        <v>506</v>
      </c>
      <c r="AL24" s="380" t="s">
        <v>507</v>
      </c>
      <c r="AM24" s="382" t="s">
        <v>508</v>
      </c>
      <c r="AO24" s="386" t="s">
        <v>501</v>
      </c>
    </row>
    <row r="25" spans="3:41">
      <c r="C25" s="169">
        <v>0.51388888888889195</v>
      </c>
      <c r="D25" t="s">
        <v>509</v>
      </c>
      <c r="E25" s="378" t="s">
        <v>473</v>
      </c>
      <c r="F25" s="386" t="s">
        <v>501</v>
      </c>
      <c r="G25" s="378" t="s">
        <v>466</v>
      </c>
      <c r="H25" s="380" t="s">
        <v>481</v>
      </c>
      <c r="L25" s="169">
        <v>0.5</v>
      </c>
      <c r="M25" t="s">
        <v>505</v>
      </c>
      <c r="N25" s="170"/>
      <c r="O25" s="170"/>
      <c r="P25" s="170"/>
      <c r="Q25" s="170"/>
      <c r="R25" s="170"/>
      <c r="AK25" s="378" t="s">
        <v>510</v>
      </c>
      <c r="AL25" s="380" t="s">
        <v>511</v>
      </c>
      <c r="AM25" s="382" t="s">
        <v>512</v>
      </c>
      <c r="AO25" s="386" t="s">
        <v>513</v>
      </c>
    </row>
    <row r="26" spans="3:41">
      <c r="C26" s="169">
        <v>0.52777777777778101</v>
      </c>
      <c r="D26" t="s">
        <v>514</v>
      </c>
      <c r="E26" s="170"/>
      <c r="F26" s="170"/>
      <c r="G26" s="170"/>
      <c r="H26" s="170"/>
      <c r="L26" s="169">
        <v>0.51388888888888895</v>
      </c>
      <c r="M26" t="s">
        <v>509</v>
      </c>
      <c r="N26" s="380" t="s">
        <v>487</v>
      </c>
      <c r="O26" s="378" t="s">
        <v>486</v>
      </c>
      <c r="P26" s="382" t="s">
        <v>499</v>
      </c>
      <c r="Q26" s="378" t="s">
        <v>480</v>
      </c>
      <c r="R26" s="386" t="s">
        <v>515</v>
      </c>
      <c r="AK26" s="378" t="s">
        <v>516</v>
      </c>
      <c r="AL26" s="380" t="s">
        <v>517</v>
      </c>
      <c r="AM26" s="382" t="s">
        <v>518</v>
      </c>
      <c r="AO26" s="386" t="s">
        <v>515</v>
      </c>
    </row>
    <row r="27" spans="3:41">
      <c r="C27" s="169">
        <v>0.54166666666666996</v>
      </c>
      <c r="D27" t="s">
        <v>519</v>
      </c>
      <c r="E27" s="378" t="s">
        <v>480</v>
      </c>
      <c r="F27" s="386" t="s">
        <v>513</v>
      </c>
      <c r="G27" s="382" t="s">
        <v>493</v>
      </c>
      <c r="H27" s="380" t="s">
        <v>487</v>
      </c>
      <c r="L27" s="169">
        <v>0.52777777777777801</v>
      </c>
      <c r="M27" t="s">
        <v>514</v>
      </c>
      <c r="N27" s="380" t="s">
        <v>492</v>
      </c>
      <c r="O27" s="382" t="s">
        <v>504</v>
      </c>
      <c r="P27" s="382" t="s">
        <v>508</v>
      </c>
      <c r="Q27" s="378" t="s">
        <v>491</v>
      </c>
      <c r="R27" s="386" t="s">
        <v>520</v>
      </c>
      <c r="AM27" s="382" t="s">
        <v>521</v>
      </c>
      <c r="AO27" s="386" t="s">
        <v>522</v>
      </c>
    </row>
    <row r="28" spans="3:41">
      <c r="C28" s="169">
        <v>0.55555555555556002</v>
      </c>
      <c r="D28" t="s">
        <v>523</v>
      </c>
      <c r="E28" s="386" t="s">
        <v>515</v>
      </c>
      <c r="F28" s="378" t="s">
        <v>486</v>
      </c>
      <c r="G28" s="382" t="s">
        <v>499</v>
      </c>
      <c r="H28" s="380" t="s">
        <v>492</v>
      </c>
      <c r="L28" s="169">
        <v>0.54166666666666696</v>
      </c>
      <c r="M28" t="s">
        <v>519</v>
      </c>
      <c r="N28" s="378" t="s">
        <v>497</v>
      </c>
      <c r="O28" s="386" t="s">
        <v>513</v>
      </c>
      <c r="P28" s="386" t="s">
        <v>522</v>
      </c>
      <c r="Q28" s="380" t="s">
        <v>498</v>
      </c>
      <c r="AM28" s="382" t="s">
        <v>524</v>
      </c>
      <c r="AO28" s="386" t="s">
        <v>520</v>
      </c>
    </row>
    <row r="29" spans="3:41">
      <c r="C29" s="169">
        <v>0.56944444444444897</v>
      </c>
      <c r="D29" t="s">
        <v>525</v>
      </c>
      <c r="E29" s="386" t="s">
        <v>522</v>
      </c>
      <c r="F29" s="378" t="s">
        <v>491</v>
      </c>
      <c r="G29" s="382" t="s">
        <v>504</v>
      </c>
      <c r="H29" s="380" t="s">
        <v>498</v>
      </c>
      <c r="L29" s="169">
        <v>0.55555555555555602</v>
      </c>
      <c r="M29" t="s">
        <v>523</v>
      </c>
      <c r="N29" s="382" t="s">
        <v>518</v>
      </c>
      <c r="O29" s="382" t="s">
        <v>512</v>
      </c>
      <c r="P29" s="386" t="s">
        <v>526</v>
      </c>
      <c r="Q29" s="380" t="s">
        <v>503</v>
      </c>
      <c r="AO29" s="386" t="s">
        <v>526</v>
      </c>
    </row>
    <row r="30" spans="3:41">
      <c r="C30" s="169">
        <v>0.58333333333333803</v>
      </c>
      <c r="D30" t="s">
        <v>527</v>
      </c>
      <c r="E30" s="378" t="s">
        <v>497</v>
      </c>
      <c r="F30" s="386" t="s">
        <v>520</v>
      </c>
      <c r="G30" s="382" t="s">
        <v>508</v>
      </c>
      <c r="H30" s="380" t="s">
        <v>507</v>
      </c>
      <c r="L30" s="169">
        <v>0.56944444444444497</v>
      </c>
      <c r="M30" t="s">
        <v>525</v>
      </c>
      <c r="N30" s="378" t="s">
        <v>506</v>
      </c>
      <c r="O30" s="378" t="s">
        <v>502</v>
      </c>
      <c r="P30" s="386" t="s">
        <v>528</v>
      </c>
      <c r="Q30" s="380" t="s">
        <v>507</v>
      </c>
      <c r="AO30" s="386" t="s">
        <v>528</v>
      </c>
    </row>
    <row r="31" spans="3:41">
      <c r="C31" s="169">
        <v>0.59722222222222698</v>
      </c>
      <c r="D31" t="s">
        <v>529</v>
      </c>
      <c r="E31" s="386" t="s">
        <v>526</v>
      </c>
      <c r="F31" s="378" t="s">
        <v>502</v>
      </c>
      <c r="G31" s="382" t="s">
        <v>512</v>
      </c>
      <c r="H31" s="380" t="s">
        <v>503</v>
      </c>
      <c r="L31" s="169">
        <v>0.58333333333333304</v>
      </c>
      <c r="M31" t="s">
        <v>527</v>
      </c>
      <c r="N31" s="382" t="s">
        <v>521</v>
      </c>
      <c r="O31" s="386" t="s">
        <v>530</v>
      </c>
      <c r="AO31" s="386" t="s">
        <v>531</v>
      </c>
    </row>
    <row r="32" spans="3:41">
      <c r="C32" s="169">
        <v>0.61111111111111605</v>
      </c>
      <c r="D32" t="s">
        <v>532</v>
      </c>
      <c r="E32" s="378" t="s">
        <v>506</v>
      </c>
      <c r="F32" s="386" t="s">
        <v>528</v>
      </c>
      <c r="G32" s="382" t="s">
        <v>518</v>
      </c>
      <c r="L32" s="169">
        <v>0.59722222222222199</v>
      </c>
      <c r="M32" t="s">
        <v>529</v>
      </c>
      <c r="N32" s="378" t="s">
        <v>510</v>
      </c>
    </row>
    <row r="33" spans="3:18">
      <c r="C33" s="169">
        <v>0.625000000000006</v>
      </c>
      <c r="D33" t="s">
        <v>533</v>
      </c>
      <c r="E33" s="382" t="s">
        <v>521</v>
      </c>
      <c r="F33" s="386" t="s">
        <v>530</v>
      </c>
      <c r="L33" s="169">
        <v>0.61111111111111105</v>
      </c>
      <c r="M33" t="s">
        <v>532</v>
      </c>
      <c r="N33" s="380" t="s">
        <v>511</v>
      </c>
    </row>
    <row r="34" spans="3:18">
      <c r="C34" s="169">
        <v>0.63888888888889495</v>
      </c>
      <c r="D34" t="s">
        <v>534</v>
      </c>
      <c r="E34" s="380" t="s">
        <v>511</v>
      </c>
      <c r="L34" s="169">
        <v>0.625</v>
      </c>
      <c r="M34" t="s">
        <v>533</v>
      </c>
      <c r="N34" s="386" t="s">
        <v>531</v>
      </c>
      <c r="O34" s="170"/>
      <c r="P34" s="170"/>
      <c r="Q34" s="170"/>
      <c r="R34" s="170"/>
    </row>
    <row r="35" spans="3:18">
      <c r="C35" s="169">
        <v>0.65277777777778401</v>
      </c>
      <c r="D35" t="s">
        <v>535</v>
      </c>
      <c r="E35" s="378" t="s">
        <v>510</v>
      </c>
      <c r="L35" s="169">
        <v>0.63888888888888495</v>
      </c>
      <c r="M35" t="s">
        <v>534</v>
      </c>
      <c r="N35" s="382" t="s">
        <v>524</v>
      </c>
      <c r="O35" s="170"/>
      <c r="P35" s="170"/>
      <c r="Q35" s="170"/>
      <c r="R35" s="170"/>
    </row>
    <row r="36" spans="3:18">
      <c r="C36" s="169">
        <v>0.66666666666667296</v>
      </c>
      <c r="D36" t="s">
        <v>536</v>
      </c>
      <c r="E36" s="386" t="s">
        <v>531</v>
      </c>
      <c r="F36" s="170"/>
      <c r="G36" s="170"/>
      <c r="H36" s="170"/>
      <c r="L36" s="169">
        <v>0.65277777777777302</v>
      </c>
      <c r="M36" t="s">
        <v>535</v>
      </c>
      <c r="N36" s="380" t="s">
        <v>517</v>
      </c>
      <c r="O36" s="170"/>
      <c r="P36" s="170"/>
      <c r="Q36" s="170"/>
      <c r="R36" s="170"/>
    </row>
    <row r="37" spans="3:18">
      <c r="C37" s="169">
        <v>0.68055555555556302</v>
      </c>
      <c r="D37" t="s">
        <v>537</v>
      </c>
      <c r="E37" s="380" t="s">
        <v>517</v>
      </c>
      <c r="F37" s="170"/>
      <c r="G37" s="170"/>
      <c r="H37" s="170"/>
      <c r="L37" s="169">
        <v>0.66666666666666696</v>
      </c>
      <c r="M37" t="s">
        <v>536</v>
      </c>
      <c r="N37" s="378" t="s">
        <v>516</v>
      </c>
      <c r="O37" s="170"/>
      <c r="P37" s="170"/>
      <c r="Q37" s="170"/>
      <c r="R37" s="170"/>
    </row>
    <row r="38" spans="3:18">
      <c r="C38" s="169">
        <v>0.69444444444445197</v>
      </c>
      <c r="D38" t="s">
        <v>538</v>
      </c>
      <c r="E38" s="382" t="s">
        <v>524</v>
      </c>
      <c r="F38" s="170"/>
      <c r="G38" s="170"/>
      <c r="H38" s="170"/>
      <c r="L38" s="169">
        <v>0.68055555555555602</v>
      </c>
      <c r="M38" t="s">
        <v>537</v>
      </c>
    </row>
    <row r="39" spans="3:18">
      <c r="C39" s="169">
        <v>0.70833333333334103</v>
      </c>
      <c r="D39" t="s">
        <v>539</v>
      </c>
      <c r="E39" s="378" t="s">
        <v>516</v>
      </c>
      <c r="F39" s="170"/>
      <c r="G39" s="170"/>
      <c r="H39" s="170"/>
      <c r="L39" s="169">
        <v>0.69444444444444497</v>
      </c>
      <c r="M39" t="s">
        <v>538</v>
      </c>
    </row>
    <row r="49" spans="9:19" ht="15.95" thickBot="1"/>
    <row r="50" spans="9:19">
      <c r="K50" s="387" t="s">
        <v>205</v>
      </c>
      <c r="L50" s="388" t="s">
        <v>206</v>
      </c>
      <c r="M50" s="389">
        <v>1</v>
      </c>
      <c r="O50" t="s">
        <v>205</v>
      </c>
      <c r="Q50" s="387">
        <v>7</v>
      </c>
      <c r="R50" s="388" t="s">
        <v>206</v>
      </c>
      <c r="S50" s="389" t="s">
        <v>211</v>
      </c>
    </row>
    <row r="51" spans="9:19" ht="15.95" thickBot="1">
      <c r="K51" s="390" t="s">
        <v>205</v>
      </c>
      <c r="L51" t="s">
        <v>207</v>
      </c>
      <c r="M51" s="391">
        <v>2</v>
      </c>
      <c r="O51" t="s">
        <v>206</v>
      </c>
      <c r="Q51" s="392">
        <v>8</v>
      </c>
      <c r="R51" s="393" t="s">
        <v>210</v>
      </c>
      <c r="S51" s="394" t="s">
        <v>207</v>
      </c>
    </row>
    <row r="52" spans="9:19" ht="15.95" thickBot="1">
      <c r="K52" s="392" t="s">
        <v>206</v>
      </c>
      <c r="L52" s="393" t="s">
        <v>207</v>
      </c>
      <c r="M52" s="394">
        <v>3</v>
      </c>
      <c r="O52" t="s">
        <v>207</v>
      </c>
    </row>
    <row r="53" spans="9:19" ht="15.95" thickBot="1">
      <c r="I53" t="s">
        <v>205</v>
      </c>
      <c r="J53" t="s">
        <v>324</v>
      </c>
    </row>
    <row r="54" spans="9:19" ht="15.95" thickBot="1">
      <c r="I54" t="s">
        <v>206</v>
      </c>
      <c r="J54" t="s">
        <v>324</v>
      </c>
      <c r="K54" s="387" t="s">
        <v>209</v>
      </c>
      <c r="L54" s="388" t="s">
        <v>210</v>
      </c>
      <c r="M54" s="389">
        <v>4</v>
      </c>
      <c r="O54" t="s">
        <v>209</v>
      </c>
    </row>
    <row r="55" spans="9:19">
      <c r="I55" t="s">
        <v>207</v>
      </c>
      <c r="J55" t="s">
        <v>324</v>
      </c>
      <c r="K55" s="390" t="s">
        <v>209</v>
      </c>
      <c r="L55" t="s">
        <v>211</v>
      </c>
      <c r="M55" s="391">
        <v>5</v>
      </c>
      <c r="O55" t="s">
        <v>210</v>
      </c>
      <c r="Q55" s="387">
        <v>9</v>
      </c>
      <c r="R55" s="388" t="s">
        <v>206</v>
      </c>
      <c r="S55" s="389" t="s">
        <v>205</v>
      </c>
    </row>
    <row r="56" spans="9:19" ht="15.95" thickBot="1">
      <c r="I56" t="s">
        <v>208</v>
      </c>
      <c r="J56" t="s">
        <v>324</v>
      </c>
      <c r="K56" s="392" t="s">
        <v>210</v>
      </c>
      <c r="L56" s="393" t="s">
        <v>211</v>
      </c>
      <c r="M56" s="394">
        <v>6</v>
      </c>
      <c r="O56" t="s">
        <v>211</v>
      </c>
      <c r="Q56" s="392">
        <v>10</v>
      </c>
      <c r="R56" s="393" t="s">
        <v>210</v>
      </c>
      <c r="S56" s="394" t="s">
        <v>209</v>
      </c>
    </row>
    <row r="57" spans="9:19">
      <c r="I57" t="s">
        <v>230</v>
      </c>
      <c r="J57" t="s">
        <v>324</v>
      </c>
    </row>
    <row r="58" spans="9:19">
      <c r="I58" t="s">
        <v>245</v>
      </c>
      <c r="J58" t="s">
        <v>324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8C71-D868-4740-BC3F-AF5DCC1BEDCC}">
  <sheetPr>
    <pageSetUpPr fitToPage="1"/>
  </sheetPr>
  <dimension ref="A1:I28"/>
  <sheetViews>
    <sheetView view="pageLayout" topLeftCell="A4" zoomScaleNormal="66" workbookViewId="0">
      <selection activeCell="B9" sqref="B9:C15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50" style="34" customWidth="1"/>
    <col min="9" max="9" width="41.710937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05" t="s">
        <v>377</v>
      </c>
      <c r="B1" s="606"/>
      <c r="C1" s="606"/>
      <c r="D1" s="606"/>
      <c r="E1" s="606"/>
      <c r="F1" s="606"/>
      <c r="G1" s="606"/>
      <c r="H1" s="606"/>
      <c r="I1" s="607"/>
    </row>
    <row r="2" spans="1:9" ht="39.950000000000003" customHeight="1">
      <c r="A2" s="493" t="s">
        <v>378</v>
      </c>
      <c r="B2" s="494" t="s">
        <v>379</v>
      </c>
      <c r="C2" s="494" t="s">
        <v>380</v>
      </c>
      <c r="D2" s="494" t="s">
        <v>381</v>
      </c>
      <c r="E2" s="494" t="s">
        <v>161</v>
      </c>
      <c r="F2" s="494" t="s">
        <v>382</v>
      </c>
      <c r="G2" s="494" t="s">
        <v>195</v>
      </c>
      <c r="H2" s="494" t="s">
        <v>383</v>
      </c>
      <c r="I2" s="495" t="s">
        <v>384</v>
      </c>
    </row>
    <row r="3" spans="1:9" ht="38.1" customHeight="1">
      <c r="A3" s="448" t="s">
        <v>385</v>
      </c>
      <c r="B3" s="449">
        <v>1</v>
      </c>
      <c r="C3" s="450">
        <v>0.375</v>
      </c>
      <c r="D3" s="403"/>
      <c r="E3" s="451" t="s">
        <v>178</v>
      </c>
      <c r="F3" s="452" t="str">
        <f>'MDS-1'!C2&amp;"  "&amp;'MDS-1'!D2</f>
        <v xml:space="preserve">Mari / Shahar  </v>
      </c>
      <c r="G3" s="245"/>
      <c r="H3" s="453" t="str">
        <f>'MDS-1'!G2 &amp; "  " &amp; 'MDS-1'!L2</f>
        <v xml:space="preserve">  Huçana / Bo</v>
      </c>
      <c r="I3" s="269" t="s">
        <v>386</v>
      </c>
    </row>
    <row r="4" spans="1:9" ht="38.1" customHeight="1">
      <c r="A4" s="448" t="s">
        <v>385</v>
      </c>
      <c r="B4" s="449">
        <v>2</v>
      </c>
      <c r="C4" s="450">
        <v>0.38888888888888901</v>
      </c>
      <c r="D4" s="403"/>
      <c r="E4" s="451" t="s">
        <v>178</v>
      </c>
      <c r="F4" s="452" t="str">
        <f>'MDS-1'!C4&amp;"  "&amp;'MDS-1'!D4</f>
        <v xml:space="preserve">Stephanie / Andrew  </v>
      </c>
      <c r="G4" s="245"/>
      <c r="H4" s="453" t="str">
        <f>'MDS-1'!G4 &amp; "  " &amp; 'MDS-1'!L4</f>
        <v xml:space="preserve">  Mari M. / Ricardo</v>
      </c>
      <c r="I4" s="269" t="s">
        <v>386</v>
      </c>
    </row>
    <row r="5" spans="1:9" ht="38.1" customHeight="1">
      <c r="A5" s="227" t="s">
        <v>388</v>
      </c>
      <c r="B5" s="198">
        <v>3</v>
      </c>
      <c r="C5" s="456">
        <v>0.40277777777777801</v>
      </c>
      <c r="D5" s="403"/>
      <c r="E5" s="457" t="s">
        <v>178</v>
      </c>
      <c r="F5" s="458" t="str">
        <f>'Male B-3'!C2&amp;" / "&amp;'Male B-3'!D2</f>
        <v>Bruno C. / Luiz</v>
      </c>
      <c r="G5" s="245"/>
      <c r="H5" s="459" t="str">
        <f>'Male B-3'!G2 &amp; " / " &amp; 'Male B-3'!L2</f>
        <v>Lucas / Matheus L.</v>
      </c>
      <c r="I5" s="269" t="s">
        <v>386</v>
      </c>
    </row>
    <row r="6" spans="1:9" ht="38.1" customHeight="1">
      <c r="A6" s="448" t="s">
        <v>385</v>
      </c>
      <c r="B6" s="449">
        <v>4</v>
      </c>
      <c r="C6" s="450">
        <v>0.41666666666666702</v>
      </c>
      <c r="D6" s="403"/>
      <c r="E6" s="451" t="s">
        <v>180</v>
      </c>
      <c r="F6" s="452" t="str">
        <f>'MDS-1'!C7&amp;"  "&amp;'MDS-1'!D7</f>
        <v xml:space="preserve">Piu / Carol  </v>
      </c>
      <c r="G6" s="245"/>
      <c r="H6" s="453" t="str">
        <f>'MDS-1'!G7 &amp; "  " &amp; 'MDS-1'!L7</f>
        <v xml:space="preserve">  Natalie / Marcos</v>
      </c>
      <c r="I6" s="269" t="s">
        <v>386</v>
      </c>
    </row>
    <row r="7" spans="1:9" ht="38.1" customHeight="1">
      <c r="A7" s="448" t="s">
        <v>385</v>
      </c>
      <c r="B7" s="449">
        <v>5</v>
      </c>
      <c r="C7" s="450">
        <v>0.43055555555555602</v>
      </c>
      <c r="D7" s="403"/>
      <c r="E7" s="451" t="s">
        <v>180</v>
      </c>
      <c r="F7" s="452" t="str">
        <f>'MDS-1'!C9&amp;"  "&amp;'MDS-1'!D9</f>
        <v xml:space="preserve">Ana / Alex  </v>
      </c>
      <c r="G7" s="245"/>
      <c r="H7" s="453" t="str">
        <f>'MDS-1'!G9 &amp; "  " &amp; 'MDS-1'!L9</f>
        <v xml:space="preserve">  Bia / Evan</v>
      </c>
      <c r="I7" s="454" t="s">
        <v>386</v>
      </c>
    </row>
    <row r="8" spans="1:9" ht="38.1" customHeight="1">
      <c r="A8" s="442" t="s">
        <v>387</v>
      </c>
      <c r="B8" s="443">
        <v>6</v>
      </c>
      <c r="C8" s="444">
        <v>0.44444444444444497</v>
      </c>
      <c r="D8" s="403"/>
      <c r="E8" s="445" t="s">
        <v>178</v>
      </c>
      <c r="F8" s="446" t="str">
        <f>'Male A-3'!C2&amp;" / "&amp;'Male A-3'!D2</f>
        <v>Renan Guiot / Thyago Henrique</v>
      </c>
      <c r="G8" s="245"/>
      <c r="H8" s="447" t="str">
        <f>'Male A-3'!G2 &amp; " / " &amp; 'Male A-3'!L2</f>
        <v>Gabriel Velloso / Thomas Zahn</v>
      </c>
      <c r="I8" s="269" t="s">
        <v>386</v>
      </c>
    </row>
    <row r="9" spans="1:9" ht="38.1" customHeight="1">
      <c r="A9" s="442" t="s">
        <v>387</v>
      </c>
      <c r="B9" s="443">
        <v>7</v>
      </c>
      <c r="C9" s="444">
        <v>0.45833333333333398</v>
      </c>
      <c r="D9" s="403"/>
      <c r="E9" s="445" t="s">
        <v>180</v>
      </c>
      <c r="F9" s="446" t="str">
        <f>'Male A-3'!C3&amp;" / "&amp;'Male A-3'!D3</f>
        <v>Guilherme Nascimento / Arthur Minota</v>
      </c>
      <c r="G9" s="245"/>
      <c r="H9" s="447" t="str">
        <f>'Male A-3'!G3 &amp; " / " &amp; 'Male A-3'!L3</f>
        <v>Bernardo Trotta / Gerardo Torres</v>
      </c>
      <c r="I9" s="269" t="s">
        <v>386</v>
      </c>
    </row>
    <row r="10" spans="1:9" ht="38.1" customHeight="1">
      <c r="A10" s="227" t="s">
        <v>388</v>
      </c>
      <c r="B10" s="198">
        <v>8</v>
      </c>
      <c r="C10" s="456">
        <v>0.47222222222222299</v>
      </c>
      <c r="D10" s="403"/>
      <c r="E10" s="457"/>
      <c r="F10" s="458" t="str">
        <f>'Male B-3'!C7&amp;" / "&amp;'Male B-3'!D7</f>
        <v>Felipe R. / Zuna</v>
      </c>
      <c r="G10" s="245"/>
      <c r="H10" s="459" t="str">
        <f>'Male B-3'!G7 &amp; " / " &amp; 'Male B-3'!L7</f>
        <v>Bebeto / Harrinho</v>
      </c>
      <c r="I10" s="269" t="s">
        <v>386</v>
      </c>
    </row>
    <row r="11" spans="1:9" ht="38.1" customHeight="1">
      <c r="A11" s="227" t="s">
        <v>388</v>
      </c>
      <c r="B11" s="198">
        <v>9</v>
      </c>
      <c r="C11" s="456">
        <v>0.48611111111111199</v>
      </c>
      <c r="D11" s="403"/>
      <c r="E11" s="457"/>
      <c r="F11" s="458" t="str">
        <f>'Male B-3'!C8&amp;" / "&amp;'Male B-3'!D8</f>
        <v>Tizoc / Marcelo</v>
      </c>
      <c r="G11" s="245"/>
      <c r="H11" s="459" t="str">
        <f>'Male B-3'!G8 &amp; " / " &amp; 'Male B-3'!L8</f>
        <v>Pedro It. / Caua</v>
      </c>
      <c r="I11" s="269" t="s">
        <v>386</v>
      </c>
    </row>
    <row r="12" spans="1:9" ht="38.1" customHeight="1">
      <c r="A12" s="227" t="s">
        <v>388</v>
      </c>
      <c r="B12" s="198">
        <v>10</v>
      </c>
      <c r="C12" s="456">
        <v>0.500000000000001</v>
      </c>
      <c r="D12" s="403"/>
      <c r="E12" s="457"/>
      <c r="F12" s="458" t="str">
        <f>'Male B-3'!C9&amp;" / "&amp;'Male B-3'!D9</f>
        <v>Andrew / Rafa</v>
      </c>
      <c r="G12" s="245"/>
      <c r="H12" s="459" t="str">
        <f>'Male B-3'!G9 &amp; " / " &amp; 'Male B-3'!L9</f>
        <v>Joao / Jerry Ruiz</v>
      </c>
      <c r="I12" s="269" t="s">
        <v>386</v>
      </c>
    </row>
    <row r="13" spans="1:9" ht="38.1" customHeight="1">
      <c r="A13" s="442" t="s">
        <v>387</v>
      </c>
      <c r="B13" s="443">
        <v>11</v>
      </c>
      <c r="C13" s="444">
        <v>0.51388888888888995</v>
      </c>
      <c r="D13" s="403"/>
      <c r="E13" s="445"/>
      <c r="F13" s="446" t="str">
        <f>'Male A-3'!C7&amp;" / "&amp;'Male A-3'!D7</f>
        <v>Guilherme Nascimento / Bernardo Trotta</v>
      </c>
      <c r="G13" s="245"/>
      <c r="H13" s="447" t="str">
        <f>'Male A-3'!G7 &amp; " / " &amp; 'Male A-3'!L7</f>
        <v>Arthur Minota / Bruno Soares</v>
      </c>
      <c r="I13" s="269" t="s">
        <v>386</v>
      </c>
    </row>
    <row r="14" spans="1:9" ht="38.1" customHeight="1">
      <c r="A14" s="213" t="s">
        <v>389</v>
      </c>
      <c r="B14" s="208">
        <v>12</v>
      </c>
      <c r="C14" s="209">
        <v>0.52777777777777901</v>
      </c>
      <c r="D14" s="210" t="s">
        <v>390</v>
      </c>
      <c r="E14" s="207"/>
      <c r="F14" s="207"/>
      <c r="G14" s="207"/>
      <c r="H14" s="207"/>
      <c r="I14" s="212"/>
    </row>
    <row r="15" spans="1:9" ht="38.1" customHeight="1">
      <c r="A15" s="442" t="s">
        <v>387</v>
      </c>
      <c r="B15" s="443">
        <v>13</v>
      </c>
      <c r="C15" s="444">
        <v>0.54166666666666796</v>
      </c>
      <c r="D15" s="403"/>
      <c r="E15" s="445"/>
      <c r="F15" s="446" t="str">
        <f>'Male A-3'!C8&amp;" / "&amp;'Male A-3'!D8</f>
        <v>Renan Guiot / João Barreto</v>
      </c>
      <c r="G15" s="245"/>
      <c r="H15" s="447" t="str">
        <f>'Male A-3'!G8 &amp; " / " &amp; 'Male A-3'!L8</f>
        <v>Thomas Zahn / Thyago Henrique</v>
      </c>
      <c r="I15" s="455" t="s">
        <v>386</v>
      </c>
    </row>
    <row r="16" spans="1:9" ht="38.1" customHeight="1">
      <c r="A16" s="448" t="s">
        <v>404</v>
      </c>
      <c r="B16" s="449">
        <v>14</v>
      </c>
      <c r="C16" s="450">
        <v>0.55555555555555702</v>
      </c>
      <c r="D16" s="486"/>
      <c r="E16" s="451"/>
      <c r="F16" s="490"/>
      <c r="G16" s="487"/>
      <c r="H16" s="437"/>
      <c r="I16" s="489" t="s">
        <v>386</v>
      </c>
    </row>
    <row r="17" spans="1:9" ht="38.1" customHeight="1">
      <c r="A17" s="448" t="s">
        <v>404</v>
      </c>
      <c r="B17" s="449">
        <v>15</v>
      </c>
      <c r="C17" s="450">
        <v>0.56944444444444597</v>
      </c>
      <c r="D17" s="486"/>
      <c r="E17" s="451"/>
      <c r="F17" s="490"/>
      <c r="G17" s="487"/>
      <c r="H17" s="437"/>
      <c r="I17" s="489" t="s">
        <v>386</v>
      </c>
    </row>
    <row r="18" spans="1:9" ht="38.1" customHeight="1">
      <c r="A18" s="442" t="s">
        <v>387</v>
      </c>
      <c r="B18" s="443">
        <v>16</v>
      </c>
      <c r="C18" s="444">
        <v>0.58333333333333504</v>
      </c>
      <c r="D18" s="486"/>
      <c r="E18" s="445"/>
      <c r="F18" s="446" t="str">
        <f>'Male A-3'!C11&amp;" / "&amp;'Male A-3'!D11</f>
        <v>Gerardo Torres / Bruno Soares</v>
      </c>
      <c r="G18" s="487"/>
      <c r="H18" s="447" t="str">
        <f>'Male A-3'!G11 &amp; " / " &amp; 'Male A-3'!L11</f>
        <v>Bernardo Trotta / Arthur Minota</v>
      </c>
      <c r="I18" s="489" t="s">
        <v>386</v>
      </c>
    </row>
    <row r="19" spans="1:9" ht="38.1" customHeight="1">
      <c r="A19" s="448" t="s">
        <v>410</v>
      </c>
      <c r="B19" s="623">
        <v>17</v>
      </c>
      <c r="C19" s="624">
        <v>0.59722222222222399</v>
      </c>
      <c r="D19" s="441"/>
      <c r="E19" s="625"/>
      <c r="F19" s="491"/>
      <c r="G19" s="440"/>
      <c r="H19" s="492"/>
      <c r="I19" s="440" t="s">
        <v>386</v>
      </c>
    </row>
    <row r="20" spans="1:9" ht="38.1" customHeight="1">
      <c r="A20" s="478" t="s">
        <v>393</v>
      </c>
      <c r="B20" s="443">
        <v>18</v>
      </c>
      <c r="C20" s="444">
        <v>0.61111111111111305</v>
      </c>
      <c r="D20" s="486"/>
      <c r="E20" s="445"/>
      <c r="F20" s="490"/>
      <c r="G20" s="487"/>
      <c r="H20" s="437"/>
      <c r="I20" s="489" t="s">
        <v>386</v>
      </c>
    </row>
    <row r="21" spans="1:9" ht="38.1" customHeight="1">
      <c r="A21" s="469" t="s">
        <v>394</v>
      </c>
      <c r="B21" s="198">
        <v>19</v>
      </c>
      <c r="C21" s="456">
        <v>0.625000000000002</v>
      </c>
      <c r="D21" s="486"/>
      <c r="E21" s="457"/>
      <c r="F21" s="490"/>
      <c r="G21" s="487"/>
      <c r="H21" s="437"/>
      <c r="I21" s="489" t="s">
        <v>386</v>
      </c>
    </row>
    <row r="22" spans="1:9" ht="38.1" customHeight="1">
      <c r="A22" s="473" t="s">
        <v>396</v>
      </c>
      <c r="B22" s="461">
        <v>20</v>
      </c>
      <c r="C22" s="462">
        <v>0.63888888888889095</v>
      </c>
      <c r="D22" s="435"/>
      <c r="E22" s="475"/>
      <c r="F22" s="436"/>
      <c r="G22" s="488"/>
      <c r="H22" s="437"/>
      <c r="I22" s="489" t="s">
        <v>386</v>
      </c>
    </row>
    <row r="23" spans="1:9" ht="38.1" customHeight="1">
      <c r="A23" s="478" t="s">
        <v>395</v>
      </c>
      <c r="B23" s="483">
        <v>21</v>
      </c>
      <c r="C23" s="484">
        <v>0.65277777777778001</v>
      </c>
      <c r="D23" s="435"/>
      <c r="E23" s="480"/>
      <c r="F23" s="436"/>
      <c r="G23" s="629"/>
      <c r="H23" s="437"/>
      <c r="I23" s="489" t="s">
        <v>386</v>
      </c>
    </row>
    <row r="24" spans="1:9" ht="38.1" customHeight="1">
      <c r="A24" s="466" t="s">
        <v>397</v>
      </c>
      <c r="B24" s="449">
        <v>22</v>
      </c>
      <c r="C24" s="450">
        <v>0.66666666666666896</v>
      </c>
      <c r="D24" s="435"/>
      <c r="E24" s="627"/>
      <c r="F24" s="436"/>
      <c r="G24" s="488"/>
      <c r="H24" s="437"/>
      <c r="I24" s="489" t="s">
        <v>386</v>
      </c>
    </row>
    <row r="25" spans="1:9" ht="38.1" customHeight="1">
      <c r="A25" s="473" t="s">
        <v>399</v>
      </c>
      <c r="B25" s="461">
        <v>23</v>
      </c>
      <c r="C25" s="462">
        <v>0.68055555555555802</v>
      </c>
      <c r="D25" s="435"/>
      <c r="E25" s="475"/>
      <c r="F25" s="436"/>
      <c r="G25" s="488"/>
      <c r="H25" s="437"/>
      <c r="I25" s="246" t="s">
        <v>386</v>
      </c>
    </row>
    <row r="26" spans="1:9" ht="39.950000000000003" customHeight="1">
      <c r="A26" s="469" t="s">
        <v>398</v>
      </c>
      <c r="B26" s="198">
        <v>24</v>
      </c>
      <c r="C26" s="456">
        <v>0.69444444444444697</v>
      </c>
      <c r="D26" s="435"/>
      <c r="E26" s="470"/>
      <c r="F26" s="436"/>
      <c r="G26" s="488"/>
      <c r="H26" s="437"/>
      <c r="I26" s="246" t="s">
        <v>386</v>
      </c>
    </row>
    <row r="27" spans="1:9" ht="39.950000000000003" customHeight="1">
      <c r="A27" s="478" t="s">
        <v>400</v>
      </c>
      <c r="B27" s="483">
        <v>25</v>
      </c>
      <c r="C27" s="484">
        <v>0.70833333333333603</v>
      </c>
      <c r="D27" s="435"/>
      <c r="E27" s="480"/>
      <c r="F27" s="436"/>
      <c r="G27" s="488"/>
      <c r="H27" s="437"/>
      <c r="I27" s="246" t="s">
        <v>386</v>
      </c>
    </row>
    <row r="28" spans="1:9" ht="39.950000000000003" customHeight="1">
      <c r="H28" s="361" t="s">
        <v>401</v>
      </c>
      <c r="I28" s="362" t="s">
        <v>402</v>
      </c>
    </row>
  </sheetData>
  <mergeCells count="1">
    <mergeCell ref="A1:I1"/>
  </mergeCells>
  <pageMargins left="0.25" right="0.25" top="0.75" bottom="0.75" header="0.3" footer="0.3"/>
  <pageSetup scale="50" orientation="landscape" r:id="rId1"/>
  <headerFooter>
    <oddHeader>&amp;L&amp;"Aptos Narrow (Body),Regular"&amp;22Sunday, October 26th, 2025 - Stage 3&amp;C&amp;"System Font,Regular"&amp;20&amp;K000000SAN DIEGO FOOTVOLLEY&amp;R&amp;"Aptos Narrow (Body),Regular"&amp;24COURT 1</oddHeader>
  </headerFooter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0A64-C1E8-0B4B-8B5C-A220B2CAB144}">
  <sheetPr>
    <pageSetUpPr fitToPage="1"/>
  </sheetPr>
  <dimension ref="A1:I28"/>
  <sheetViews>
    <sheetView view="pageLayout" topLeftCell="A12" zoomScaleNormal="100" workbookViewId="0">
      <selection activeCell="B22" sqref="B22:C27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49.85546875" style="34" customWidth="1"/>
    <col min="9" max="9" width="41.4257812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08" t="s">
        <v>403</v>
      </c>
      <c r="B1" s="609"/>
      <c r="C1" s="609"/>
      <c r="D1" s="609"/>
      <c r="E1" s="609"/>
      <c r="F1" s="609"/>
      <c r="G1" s="609"/>
      <c r="H1" s="609"/>
      <c r="I1" s="610"/>
    </row>
    <row r="2" spans="1:9" ht="39.950000000000003" customHeight="1">
      <c r="A2" s="366" t="s">
        <v>378</v>
      </c>
      <c r="B2" s="367" t="s">
        <v>379</v>
      </c>
      <c r="C2" s="367" t="s">
        <v>380</v>
      </c>
      <c r="D2" s="367" t="s">
        <v>381</v>
      </c>
      <c r="E2" s="367" t="s">
        <v>161</v>
      </c>
      <c r="F2" s="367" t="s">
        <v>382</v>
      </c>
      <c r="G2" s="367" t="s">
        <v>195</v>
      </c>
      <c r="H2" s="367" t="s">
        <v>383</v>
      </c>
      <c r="I2" s="368" t="s">
        <v>384</v>
      </c>
    </row>
    <row r="3" spans="1:9" ht="38.1" customHeight="1">
      <c r="A3" s="509" t="s">
        <v>385</v>
      </c>
      <c r="B3" s="510">
        <v>1</v>
      </c>
      <c r="C3" s="511">
        <v>0.375</v>
      </c>
      <c r="D3" s="411"/>
      <c r="E3" s="512" t="s">
        <v>180</v>
      </c>
      <c r="F3" s="513" t="str">
        <f>'MDS-1'!C3&amp;"  "&amp;'MDS-1'!D3</f>
        <v xml:space="preserve">Piu / Carol  </v>
      </c>
      <c r="G3" s="245"/>
      <c r="H3" s="514" t="str">
        <f>'MDS-1'!G3 &amp; "  " &amp; 'MDS-1'!L3</f>
        <v xml:space="preserve">  Ana / Alex</v>
      </c>
      <c r="I3" s="415" t="s">
        <v>386</v>
      </c>
    </row>
    <row r="4" spans="1:9" ht="38.1" customHeight="1">
      <c r="A4" s="509" t="s">
        <v>385</v>
      </c>
      <c r="B4" s="510">
        <v>2</v>
      </c>
      <c r="C4" s="511">
        <v>0.38888888888888901</v>
      </c>
      <c r="D4" s="411"/>
      <c r="E4" s="512" t="s">
        <v>180</v>
      </c>
      <c r="F4" s="513" t="str">
        <f>'MDS-1'!C5&amp;"  "&amp;'MDS-1'!D5</f>
        <v xml:space="preserve">Natalie / Marcos  </v>
      </c>
      <c r="G4" s="245"/>
      <c r="H4" s="514" t="str">
        <f>'MDS-1'!G5 &amp; "  " &amp; 'MDS-1'!L5</f>
        <v xml:space="preserve">  Bia / Evan</v>
      </c>
      <c r="I4" s="415" t="s">
        <v>386</v>
      </c>
    </row>
    <row r="5" spans="1:9" ht="38.1" customHeight="1">
      <c r="A5" s="509" t="s">
        <v>385</v>
      </c>
      <c r="B5" s="510">
        <v>3</v>
      </c>
      <c r="C5" s="511">
        <v>0.40277777777777801</v>
      </c>
      <c r="D5" s="411"/>
      <c r="E5" s="512" t="s">
        <v>178</v>
      </c>
      <c r="F5" s="513" t="str">
        <f>'MDS-1'!C6&amp;"  "&amp;'MDS-1'!D6</f>
        <v xml:space="preserve">Mari / Shahar  </v>
      </c>
      <c r="G5" s="245"/>
      <c r="H5" s="514" t="str">
        <f>'MDS-1'!G6 &amp; "  " &amp; 'MDS-1'!L6</f>
        <v xml:space="preserve">  Stephanie / Andrew</v>
      </c>
      <c r="I5" s="415" t="s">
        <v>386</v>
      </c>
    </row>
    <row r="6" spans="1:9" ht="38.1" customHeight="1">
      <c r="A6" s="521" t="s">
        <v>388</v>
      </c>
      <c r="B6" s="522">
        <v>4</v>
      </c>
      <c r="C6" s="523">
        <v>0.41666666666666702</v>
      </c>
      <c r="D6" s="411"/>
      <c r="E6" s="524" t="s">
        <v>178</v>
      </c>
      <c r="F6" s="525" t="str">
        <f>'Male B-3'!C3&amp;" / "&amp;'Male B-3'!D3</f>
        <v>Felipe R. / Bebeto</v>
      </c>
      <c r="G6" s="245"/>
      <c r="H6" s="526" t="str">
        <f>'Male B-3'!G3 &amp; " / " &amp; 'Male B-3'!L3</f>
        <v>Harrinho / Zuna</v>
      </c>
      <c r="I6" s="415" t="s">
        <v>386</v>
      </c>
    </row>
    <row r="7" spans="1:9" ht="38.1" customHeight="1">
      <c r="A7" s="521" t="s">
        <v>388</v>
      </c>
      <c r="B7" s="522">
        <v>5</v>
      </c>
      <c r="C7" s="523">
        <v>0.43055555555555602</v>
      </c>
      <c r="D7" s="411"/>
      <c r="E7" s="524" t="s">
        <v>178</v>
      </c>
      <c r="F7" s="525" t="str">
        <f>'Male B-3'!C4&amp;" / "&amp;'Male B-3'!D4</f>
        <v>Tizoc / Pedro It.</v>
      </c>
      <c r="G7" s="245"/>
      <c r="H7" s="526" t="str">
        <f>'Male B-3'!G4 &amp; " / " &amp; 'Male B-3'!L4</f>
        <v>Caua / Marcelo</v>
      </c>
      <c r="I7" s="415" t="s">
        <v>386</v>
      </c>
    </row>
    <row r="8" spans="1:9" ht="38.1" customHeight="1">
      <c r="A8" s="521" t="s">
        <v>388</v>
      </c>
      <c r="B8" s="522">
        <v>6</v>
      </c>
      <c r="C8" s="523">
        <v>0.44444444444444497</v>
      </c>
      <c r="D8" s="411"/>
      <c r="E8" s="524" t="s">
        <v>180</v>
      </c>
      <c r="F8" s="525" t="str">
        <f>'Male B-3'!C5&amp;" / "&amp;'Male B-3'!D5</f>
        <v>Andrew / Joao</v>
      </c>
      <c r="G8" s="245"/>
      <c r="H8" s="526" t="str">
        <f>'Male B-3'!G5 &amp; " / " &amp; 'Male B-3'!L5</f>
        <v>Jerry Ruiz / Rafa</v>
      </c>
      <c r="I8" s="415" t="s">
        <v>386</v>
      </c>
    </row>
    <row r="9" spans="1:9" ht="38.1" customHeight="1">
      <c r="A9" s="509" t="s">
        <v>385</v>
      </c>
      <c r="B9" s="510">
        <v>7</v>
      </c>
      <c r="C9" s="511">
        <v>0.45833333333333398</v>
      </c>
      <c r="D9" s="411"/>
      <c r="E9" s="512" t="s">
        <v>178</v>
      </c>
      <c r="F9" s="513" t="str">
        <f>'MDS-1'!C8&amp;"  "&amp;'MDS-1'!D8</f>
        <v xml:space="preserve">Huçana / Bo  </v>
      </c>
      <c r="G9" s="245"/>
      <c r="H9" s="514" t="str">
        <f>'MDS-1'!G8 &amp; "  " &amp; 'MDS-1'!L8</f>
        <v xml:space="preserve">  Mari M. / Ricardo</v>
      </c>
      <c r="I9" s="415" t="s">
        <v>386</v>
      </c>
    </row>
    <row r="10" spans="1:9" ht="38.1" customHeight="1">
      <c r="A10" s="509" t="s">
        <v>385</v>
      </c>
      <c r="B10" s="510">
        <v>8</v>
      </c>
      <c r="C10" s="511">
        <v>0.47222222222222299</v>
      </c>
      <c r="D10" s="411"/>
      <c r="E10" s="512" t="s">
        <v>180</v>
      </c>
      <c r="F10" s="513" t="str">
        <f>'MDS-1'!C10&amp;"  "&amp;'MDS-1'!D10</f>
        <v xml:space="preserve">Mari / Shahar  </v>
      </c>
      <c r="G10" s="245"/>
      <c r="H10" s="514" t="str">
        <f>'MDS-1'!G10 &amp; "  " &amp; 'MDS-1'!L10</f>
        <v xml:space="preserve">  Mari M. / Ricardo</v>
      </c>
      <c r="I10" s="415" t="s">
        <v>386</v>
      </c>
    </row>
    <row r="11" spans="1:9" ht="38.1" customHeight="1">
      <c r="A11" s="509" t="s">
        <v>385</v>
      </c>
      <c r="B11" s="510">
        <v>9</v>
      </c>
      <c r="C11" s="511">
        <v>0.48611111111111199</v>
      </c>
      <c r="D11" s="411"/>
      <c r="E11" s="512" t="s">
        <v>180</v>
      </c>
      <c r="F11" s="513" t="str">
        <f>'MDS-1'!C11&amp;"  "&amp;'MDS-1'!D11</f>
        <v xml:space="preserve">Piu / Carol  </v>
      </c>
      <c r="G11" s="245"/>
      <c r="H11" s="514" t="str">
        <f>'MDS-1'!G11 &amp; "  " &amp; 'MDS-1'!L11</f>
        <v xml:space="preserve">  Bia / Evan</v>
      </c>
      <c r="I11" s="415" t="s">
        <v>386</v>
      </c>
    </row>
    <row r="12" spans="1:9" ht="38.1" customHeight="1">
      <c r="A12" s="509" t="s">
        <v>385</v>
      </c>
      <c r="B12" s="510">
        <v>10</v>
      </c>
      <c r="C12" s="511">
        <v>0.500000000000001</v>
      </c>
      <c r="D12" s="411"/>
      <c r="E12" s="512" t="s">
        <v>180</v>
      </c>
      <c r="F12" s="513" t="str">
        <f>'MDS-1'!C12&amp;"  "&amp;'MDS-1'!D12</f>
        <v xml:space="preserve">Huçana / Bo  </v>
      </c>
      <c r="G12" s="245"/>
      <c r="H12" s="514" t="str">
        <f>'MDS-1'!G12 &amp; "  " &amp; 'MDS-1'!L12</f>
        <v xml:space="preserve">  Stephanie / Andrew</v>
      </c>
      <c r="I12" s="415" t="s">
        <v>386</v>
      </c>
    </row>
    <row r="13" spans="1:9" ht="38.1" customHeight="1">
      <c r="A13" s="509" t="s">
        <v>385</v>
      </c>
      <c r="B13" s="510">
        <v>11</v>
      </c>
      <c r="C13" s="511">
        <v>0.51388888888888995</v>
      </c>
      <c r="D13" s="411"/>
      <c r="E13" s="512" t="s">
        <v>181</v>
      </c>
      <c r="F13" s="513" t="str">
        <f>'MDS-1'!C13&amp;"  "&amp;'MDS-1'!D13</f>
        <v xml:space="preserve">Ana / Alex  </v>
      </c>
      <c r="G13" s="245"/>
      <c r="H13" s="514" t="str">
        <f>'MDS-1'!G13 &amp; "  " &amp; 'MDS-1'!L13</f>
        <v xml:space="preserve">  Natalie / Marcos</v>
      </c>
      <c r="I13" s="415" t="s">
        <v>386</v>
      </c>
    </row>
    <row r="14" spans="1:9" ht="38.1" customHeight="1">
      <c r="A14" s="213" t="s">
        <v>389</v>
      </c>
      <c r="B14" s="208">
        <v>12</v>
      </c>
      <c r="C14" s="209">
        <v>0.52777777777777901</v>
      </c>
      <c r="D14" s="210" t="s">
        <v>390</v>
      </c>
      <c r="E14" s="207"/>
      <c r="F14" s="207"/>
      <c r="G14" s="207"/>
      <c r="H14" s="207"/>
      <c r="I14" s="207"/>
    </row>
    <row r="15" spans="1:9" ht="38.1" customHeight="1">
      <c r="A15" s="448" t="s">
        <v>404</v>
      </c>
      <c r="B15" s="510">
        <v>13</v>
      </c>
      <c r="C15" s="511">
        <v>0.54166666666666796</v>
      </c>
      <c r="D15" s="411"/>
      <c r="E15" s="412"/>
      <c r="F15" s="413"/>
      <c r="G15" s="245"/>
      <c r="H15" s="414"/>
      <c r="I15" s="415" t="s">
        <v>386</v>
      </c>
    </row>
    <row r="16" spans="1:9" ht="38.1" customHeight="1">
      <c r="A16" s="442" t="s">
        <v>387</v>
      </c>
      <c r="B16" s="516">
        <v>14</v>
      </c>
      <c r="C16" s="517">
        <v>0.55555555555555702</v>
      </c>
      <c r="D16" s="411"/>
      <c r="E16" s="518"/>
      <c r="F16" s="519" t="str">
        <f>'Male A-3'!C9&amp;" / "&amp;'Male A-3'!D9</f>
        <v>Guilherme Nascimento / Bruno Soares</v>
      </c>
      <c r="G16" s="245"/>
      <c r="H16" s="520" t="str">
        <f>'Male A-3'!G9 &amp; " / " &amp; 'Male A-3'!L9</f>
        <v>Gerardo Torres / Arthur Minota</v>
      </c>
      <c r="I16" s="238" t="s">
        <v>386</v>
      </c>
    </row>
    <row r="17" spans="1:9" ht="38.1" customHeight="1">
      <c r="A17" s="442" t="s">
        <v>387</v>
      </c>
      <c r="B17" s="443">
        <v>15</v>
      </c>
      <c r="C17" s="444">
        <v>0.56944444444444597</v>
      </c>
      <c r="D17" s="403"/>
      <c r="E17" s="445"/>
      <c r="F17" s="646" t="str">
        <f>'Male A-3'!C10&amp;" / "&amp;'Male A-3'!D10</f>
        <v>Thomas Zahn / João Barreto</v>
      </c>
      <c r="G17" s="245"/>
      <c r="H17" s="645" t="str">
        <f>'Male A-3'!G10 &amp; " / " &amp; 'Male A-3'!L10</f>
        <v>Gabriel Velloso / Thyago Henrique</v>
      </c>
      <c r="I17" s="415" t="s">
        <v>386</v>
      </c>
    </row>
    <row r="18" spans="1:9" ht="38.1" customHeight="1">
      <c r="A18" s="448" t="s">
        <v>404</v>
      </c>
      <c r="B18" s="449">
        <v>16</v>
      </c>
      <c r="C18" s="450">
        <v>0.58333333333333504</v>
      </c>
      <c r="D18" s="403"/>
      <c r="E18" s="451"/>
      <c r="F18" s="405"/>
      <c r="G18" s="245"/>
      <c r="H18" s="405"/>
      <c r="I18" s="415" t="s">
        <v>386</v>
      </c>
    </row>
    <row r="19" spans="1:9" ht="38.1" customHeight="1">
      <c r="A19" s="478" t="s">
        <v>393</v>
      </c>
      <c r="B19" s="483">
        <v>17</v>
      </c>
      <c r="C19" s="644">
        <v>0.59722222222222399</v>
      </c>
      <c r="D19" s="502"/>
      <c r="E19" s="503"/>
      <c r="F19" s="504"/>
      <c r="G19" s="505"/>
      <c r="H19" s="504"/>
      <c r="I19" s="506" t="s">
        <v>386</v>
      </c>
    </row>
    <row r="20" spans="1:9" ht="38.1" customHeight="1">
      <c r="A20" s="627" t="s">
        <v>540</v>
      </c>
      <c r="B20" s="449">
        <v>18</v>
      </c>
      <c r="C20" s="630">
        <v>0.61111111111111305</v>
      </c>
      <c r="D20" s="486"/>
      <c r="E20" s="451"/>
      <c r="F20" s="439"/>
      <c r="G20" s="487"/>
      <c r="H20" s="439"/>
      <c r="I20" s="506" t="s">
        <v>386</v>
      </c>
    </row>
    <row r="21" spans="1:9" ht="38.1" customHeight="1">
      <c r="A21" s="466" t="s">
        <v>405</v>
      </c>
      <c r="B21" s="449">
        <v>19</v>
      </c>
      <c r="C21" s="630">
        <v>0.625000000000002</v>
      </c>
      <c r="D21" s="486"/>
      <c r="E21" s="451"/>
      <c r="F21" s="508"/>
      <c r="G21" s="487"/>
      <c r="H21" s="437"/>
      <c r="I21" s="640" t="s">
        <v>386</v>
      </c>
    </row>
    <row r="22" spans="1:9" ht="38.1" customHeight="1">
      <c r="A22" s="500" t="s">
        <v>406</v>
      </c>
      <c r="B22" s="507">
        <v>20</v>
      </c>
      <c r="C22" s="641">
        <v>0.63888888888889195</v>
      </c>
      <c r="D22" s="435"/>
      <c r="E22" s="434"/>
      <c r="F22" s="642"/>
      <c r="G22" s="488"/>
      <c r="H22" s="437"/>
      <c r="I22" s="643" t="s">
        <v>386</v>
      </c>
    </row>
    <row r="23" spans="1:9" ht="38.1" customHeight="1">
      <c r="A23" s="500" t="s">
        <v>406</v>
      </c>
      <c r="B23" s="507">
        <v>21</v>
      </c>
      <c r="C23" s="641">
        <v>0.65277777777778101</v>
      </c>
      <c r="D23" s="435"/>
      <c r="E23" s="434"/>
      <c r="F23" s="642"/>
      <c r="G23" s="488"/>
      <c r="H23" s="437"/>
      <c r="I23" s="643" t="s">
        <v>386</v>
      </c>
    </row>
    <row r="24" spans="1:9" ht="38.1" customHeight="1">
      <c r="A24" s="466" t="s">
        <v>397</v>
      </c>
      <c r="B24" s="449">
        <v>22</v>
      </c>
      <c r="C24" s="630">
        <v>0.66666666666666996</v>
      </c>
      <c r="D24" s="626"/>
      <c r="E24" s="627"/>
      <c r="F24" s="639" t="s">
        <v>407</v>
      </c>
      <c r="G24" s="628"/>
      <c r="H24" s="453"/>
      <c r="I24" s="468"/>
    </row>
    <row r="25" spans="1:9" ht="38.1" customHeight="1">
      <c r="A25" s="473" t="s">
        <v>399</v>
      </c>
      <c r="B25" s="461">
        <v>23</v>
      </c>
      <c r="C25" s="631">
        <v>0.68055555555555902</v>
      </c>
      <c r="D25" s="474"/>
      <c r="E25" s="475"/>
      <c r="F25" s="634" t="s">
        <v>407</v>
      </c>
      <c r="G25" s="475"/>
      <c r="H25" s="638"/>
      <c r="I25" s="475"/>
    </row>
    <row r="26" spans="1:9" ht="39.950000000000003" customHeight="1">
      <c r="A26" s="469" t="s">
        <v>398</v>
      </c>
      <c r="B26" s="198">
        <v>24</v>
      </c>
      <c r="C26" s="632">
        <v>0.69444444444444697</v>
      </c>
      <c r="D26" s="199"/>
      <c r="E26" s="470"/>
      <c r="F26" s="635" t="s">
        <v>407</v>
      </c>
      <c r="G26" s="470"/>
      <c r="H26" s="637"/>
      <c r="I26" s="470"/>
    </row>
    <row r="27" spans="1:9" ht="39.950000000000003" customHeight="1">
      <c r="A27" s="478" t="s">
        <v>400</v>
      </c>
      <c r="B27" s="483">
        <v>25</v>
      </c>
      <c r="C27" s="484">
        <v>0.70833333333333603</v>
      </c>
      <c r="D27" s="479"/>
      <c r="E27" s="480"/>
      <c r="F27" s="633" t="s">
        <v>407</v>
      </c>
      <c r="G27" s="480"/>
      <c r="H27" s="636"/>
      <c r="I27" s="480"/>
    </row>
    <row r="28" spans="1:9" ht="39.950000000000003" customHeight="1">
      <c r="H28" s="361" t="s">
        <v>401</v>
      </c>
      <c r="I28" s="363" t="s">
        <v>408</v>
      </c>
    </row>
  </sheetData>
  <mergeCells count="1">
    <mergeCell ref="A1:I1"/>
  </mergeCells>
  <pageMargins left="0.25" right="0.25" top="0.75" bottom="0.75" header="0.3" footer="0.3"/>
  <pageSetup scale="50" orientation="landscape" r:id="rId1"/>
  <headerFooter>
    <oddHeader>&amp;L&amp;"Aptos Narrow (Body),Regular"&amp;22Sunday, October 26th, 2025 - Stage 3&amp;C&amp;"System Font,Regular"&amp;20&amp;K000000SAN DIEGO FOOTVOLLEY&amp;R&amp;"Aptos Narrow (Body),Regular"&amp;24COURT 2.1</oddHeader>
  </headerFooter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27F-E016-1945-83AD-49D620E64B5D}">
  <sheetPr>
    <pageSetUpPr fitToPage="1"/>
  </sheetPr>
  <dimension ref="A1:I28"/>
  <sheetViews>
    <sheetView view="pageLayout" topLeftCell="A12" zoomScaleNormal="100" workbookViewId="0">
      <selection activeCell="B21" sqref="B21:C27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50" style="34" customWidth="1"/>
    <col min="9" max="9" width="41.710937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11" t="s">
        <v>409</v>
      </c>
      <c r="B1" s="612"/>
      <c r="C1" s="612"/>
      <c r="D1" s="612"/>
      <c r="E1" s="612"/>
      <c r="F1" s="612"/>
      <c r="G1" s="612"/>
      <c r="H1" s="612"/>
      <c r="I1" s="613"/>
    </row>
    <row r="2" spans="1:9" ht="39.950000000000003" customHeight="1">
      <c r="A2" s="369" t="s">
        <v>378</v>
      </c>
      <c r="B2" s="370" t="s">
        <v>379</v>
      </c>
      <c r="C2" s="370" t="s">
        <v>380</v>
      </c>
      <c r="D2" s="370" t="s">
        <v>381</v>
      </c>
      <c r="E2" s="370" t="s">
        <v>161</v>
      </c>
      <c r="F2" s="370" t="s">
        <v>382</v>
      </c>
      <c r="G2" s="370" t="s">
        <v>195</v>
      </c>
      <c r="H2" s="370" t="s">
        <v>383</v>
      </c>
      <c r="I2" s="371" t="s">
        <v>384</v>
      </c>
    </row>
    <row r="3" spans="1:9" ht="38.1" customHeight="1">
      <c r="A3" s="227" t="s">
        <v>388</v>
      </c>
      <c r="B3" s="198">
        <v>1</v>
      </c>
      <c r="C3" s="456">
        <v>0.375</v>
      </c>
      <c r="D3" s="403"/>
      <c r="E3" s="457" t="s">
        <v>178</v>
      </c>
      <c r="F3" s="458" t="str">
        <f>'Male B-3'!C2&amp;" / "&amp;'Male B-3'!D2</f>
        <v>Bruno C. / Luiz</v>
      </c>
      <c r="G3" s="245"/>
      <c r="H3" s="459" t="str">
        <f>'Male B-3'!G2 &amp; " / " &amp; 'Male B-3'!L2</f>
        <v>Lucas / Matheus L.</v>
      </c>
      <c r="I3" s="269" t="s">
        <v>386</v>
      </c>
    </row>
    <row r="4" spans="1:9" ht="38.1" customHeight="1">
      <c r="A4" s="227" t="s">
        <v>388</v>
      </c>
      <c r="B4" s="198">
        <v>2</v>
      </c>
      <c r="C4" s="456">
        <v>0.38888888888888901</v>
      </c>
      <c r="D4" s="403"/>
      <c r="E4" s="457" t="s">
        <v>180</v>
      </c>
      <c r="F4" s="458" t="str">
        <f>'Male B-3'!C3&amp;" / "&amp;'Male B-3'!D3</f>
        <v>Felipe R. / Bebeto</v>
      </c>
      <c r="G4" s="245"/>
      <c r="H4" s="459" t="str">
        <f>'Male B-3'!G3 &amp; " / " &amp; 'Male B-3'!L3</f>
        <v>Harrinho / Zuna</v>
      </c>
      <c r="I4" s="269" t="s">
        <v>386</v>
      </c>
    </row>
    <row r="5" spans="1:9" ht="38.1" customHeight="1">
      <c r="A5" s="227" t="s">
        <v>388</v>
      </c>
      <c r="B5" s="198">
        <v>3</v>
      </c>
      <c r="C5" s="456">
        <v>0.40277777777777801</v>
      </c>
      <c r="D5" s="403"/>
      <c r="E5" s="457" t="s">
        <v>181</v>
      </c>
      <c r="F5" s="458" t="str">
        <f>'Male B-3'!C4&amp;" / "&amp;'Male B-3'!D4</f>
        <v>Tizoc / Pedro It.</v>
      </c>
      <c r="G5" s="245"/>
      <c r="H5" s="459" t="str">
        <f>'Male B-3'!G4 &amp; " / " &amp; 'Male B-3'!L4</f>
        <v>Caua / Marcelo</v>
      </c>
      <c r="I5" s="269" t="s">
        <v>386</v>
      </c>
    </row>
    <row r="6" spans="1:9" ht="38.1" customHeight="1">
      <c r="A6" s="227" t="s">
        <v>388</v>
      </c>
      <c r="B6" s="198">
        <v>4</v>
      </c>
      <c r="C6" s="456">
        <v>0.41666666666666702</v>
      </c>
      <c r="D6" s="403"/>
      <c r="E6" s="457" t="s">
        <v>225</v>
      </c>
      <c r="F6" s="458" t="str">
        <f>'Male B-3'!C5&amp;" / "&amp;'Male B-3'!D5</f>
        <v>Andrew / Joao</v>
      </c>
      <c r="G6" s="245"/>
      <c r="H6" s="459" t="str">
        <f>'Male B-3'!G5 &amp; " / " &amp; 'Male B-3'!L5</f>
        <v>Jerry Ruiz / Rafa</v>
      </c>
      <c r="I6" s="269" t="s">
        <v>386</v>
      </c>
    </row>
    <row r="7" spans="1:9" ht="38.1" customHeight="1">
      <c r="A7" s="227" t="s">
        <v>388</v>
      </c>
      <c r="B7" s="198">
        <v>5</v>
      </c>
      <c r="C7" s="456">
        <v>0.43055555555555602</v>
      </c>
      <c r="D7" s="403"/>
      <c r="E7" s="457" t="s">
        <v>178</v>
      </c>
      <c r="F7" s="458" t="str">
        <f>'Male B-3'!C6&amp;" / "&amp;'Male B-3'!D6</f>
        <v>Bruno C. / Matheus L.</v>
      </c>
      <c r="G7" s="245"/>
      <c r="H7" s="459" t="str">
        <f>'Male B-3'!G6 &amp; " / " &amp; 'Male B-3'!L6</f>
        <v>Luiz / Lucas</v>
      </c>
      <c r="I7" s="269" t="s">
        <v>386</v>
      </c>
    </row>
    <row r="8" spans="1:9" ht="38.1" customHeight="1">
      <c r="A8" s="442" t="s">
        <v>387</v>
      </c>
      <c r="B8" s="443">
        <v>6</v>
      </c>
      <c r="C8" s="444">
        <v>0.44444444444444398</v>
      </c>
      <c r="D8" s="403"/>
      <c r="E8" s="445" t="s">
        <v>180</v>
      </c>
      <c r="F8" s="446" t="str">
        <f>'Male A-3'!C3&amp;"  / "&amp;'Male A-3'!D3</f>
        <v>Guilherme Nascimento  / Arthur Minota</v>
      </c>
      <c r="G8" s="245"/>
      <c r="H8" s="447" t="str">
        <f>'Male A-3'!G3 &amp; " / " &amp; 'Male A-3'!L3</f>
        <v>Bernardo Trotta / Gerardo Torres</v>
      </c>
      <c r="I8" s="269" t="s">
        <v>386</v>
      </c>
    </row>
    <row r="9" spans="1:9" ht="38.1" customHeight="1">
      <c r="A9" s="442" t="s">
        <v>387</v>
      </c>
      <c r="B9" s="443">
        <v>7</v>
      </c>
      <c r="C9" s="444">
        <v>0.45833333333333398</v>
      </c>
      <c r="D9" s="403"/>
      <c r="E9" s="445" t="s">
        <v>178</v>
      </c>
      <c r="F9" s="446" t="str">
        <f>'Male A-3'!C4&amp;"  / "&amp;'Male A-3'!D4</f>
        <v>Renan Guiot  / Thomas Zahn</v>
      </c>
      <c r="G9" s="245"/>
      <c r="H9" s="447" t="str">
        <f>'Male A-3'!G4 &amp; " / " &amp; 'Male A-3'!L4</f>
        <v>Gabriel Velloso / João Barreto</v>
      </c>
      <c r="I9" s="269" t="s">
        <v>386</v>
      </c>
    </row>
    <row r="10" spans="1:9" ht="38.1" customHeight="1">
      <c r="A10" s="442" t="s">
        <v>387</v>
      </c>
      <c r="B10" s="443">
        <v>8</v>
      </c>
      <c r="C10" s="444">
        <v>0.47222222222222299</v>
      </c>
      <c r="D10" s="403"/>
      <c r="E10" s="445" t="s">
        <v>180</v>
      </c>
      <c r="F10" s="446" t="str">
        <f>'Male A-3'!C5&amp;"  / "&amp;'Male A-3'!D5</f>
        <v>Guilherme Nascimento  / Gerardo Torres</v>
      </c>
      <c r="G10" s="245"/>
      <c r="H10" s="447" t="str">
        <f>'Male A-3'!G5 &amp; " / " &amp; 'Male A-3'!L5</f>
        <v>Bernardo Trotta / Bruno Soares</v>
      </c>
      <c r="I10" s="269" t="s">
        <v>386</v>
      </c>
    </row>
    <row r="11" spans="1:9" ht="38.1" customHeight="1">
      <c r="A11" s="442" t="s">
        <v>387</v>
      </c>
      <c r="B11" s="443">
        <v>9</v>
      </c>
      <c r="C11" s="444">
        <v>0.48611111111111199</v>
      </c>
      <c r="D11" s="403"/>
      <c r="E11" s="445" t="s">
        <v>178</v>
      </c>
      <c r="F11" s="446" t="str">
        <f>'Male A-3'!C6&amp;"  / "&amp;'Male A-3'!D6</f>
        <v>Renan Guiot  / Gabriel Velloso</v>
      </c>
      <c r="G11" s="245"/>
      <c r="H11" s="447" t="str">
        <f>'Male A-3'!G6 &amp; " / " &amp; 'Male A-3'!L6</f>
        <v>Thyago Henrique / João Barreto</v>
      </c>
      <c r="I11" s="269" t="s">
        <v>386</v>
      </c>
    </row>
    <row r="12" spans="1:9" ht="38.1" customHeight="1">
      <c r="A12" s="227" t="s">
        <v>388</v>
      </c>
      <c r="B12" s="198">
        <v>10</v>
      </c>
      <c r="C12" s="456">
        <v>0.500000000000001</v>
      </c>
      <c r="D12" s="403"/>
      <c r="E12" s="457" t="s">
        <v>180</v>
      </c>
      <c r="F12" s="458" t="str">
        <f>'Male B-3'!C11&amp;" / "&amp;'Male B-3'!D11</f>
        <v>Felipe R. / Harrinho</v>
      </c>
      <c r="G12" s="245"/>
      <c r="H12" s="459" t="str">
        <f>'Male B-3'!G11 &amp; " / " &amp; 'Male B-3'!L11</f>
        <v>Zuna / Bebeto</v>
      </c>
      <c r="I12" s="246" t="s">
        <v>386</v>
      </c>
    </row>
    <row r="13" spans="1:9" ht="38.1" customHeight="1">
      <c r="A13" s="227" t="s">
        <v>388</v>
      </c>
      <c r="B13" s="198">
        <v>11</v>
      </c>
      <c r="C13" s="456">
        <v>0.51388888888888995</v>
      </c>
      <c r="D13" s="403"/>
      <c r="E13" s="457" t="s">
        <v>225</v>
      </c>
      <c r="F13" s="458" t="str">
        <f>'Male B-3'!C13&amp;" / "&amp;'Male B-3'!D13</f>
        <v>Andrew / Jerry Ruiz</v>
      </c>
      <c r="G13" s="245"/>
      <c r="H13" s="459" t="str">
        <f>'Male B-3'!G13 &amp; " / " &amp; 'Male B-3'!L13</f>
        <v>Rafa / Joao</v>
      </c>
      <c r="I13" s="246" t="s">
        <v>386</v>
      </c>
    </row>
    <row r="14" spans="1:9" ht="38.1" customHeight="1">
      <c r="A14" s="213" t="s">
        <v>389</v>
      </c>
      <c r="B14" s="208">
        <v>12</v>
      </c>
      <c r="C14" s="209">
        <v>0.52777777777777901</v>
      </c>
      <c r="D14" s="210" t="s">
        <v>390</v>
      </c>
      <c r="E14" s="207"/>
      <c r="F14" s="207"/>
      <c r="G14" s="207"/>
      <c r="H14" s="207"/>
      <c r="I14" s="212"/>
    </row>
    <row r="15" spans="1:9" ht="38.1" customHeight="1">
      <c r="A15" s="448" t="s">
        <v>404</v>
      </c>
      <c r="B15" s="449">
        <v>13</v>
      </c>
      <c r="C15" s="450">
        <v>0.54166666666666796</v>
      </c>
      <c r="D15" s="403"/>
      <c r="E15" s="244"/>
      <c r="F15" s="409"/>
      <c r="G15" s="245"/>
      <c r="H15" s="404"/>
      <c r="I15" s="246" t="s">
        <v>386</v>
      </c>
    </row>
    <row r="16" spans="1:9" ht="38.1" customHeight="1">
      <c r="A16" s="448" t="s">
        <v>410</v>
      </c>
      <c r="B16" s="449">
        <v>14</v>
      </c>
      <c r="C16" s="450">
        <v>0.55555555555555702</v>
      </c>
      <c r="D16" s="403"/>
      <c r="E16" s="244"/>
      <c r="F16" s="409"/>
      <c r="G16" s="245"/>
      <c r="H16" s="404"/>
      <c r="I16" s="238" t="s">
        <v>386</v>
      </c>
    </row>
    <row r="17" spans="1:9" ht="38.1" customHeight="1">
      <c r="A17" s="448" t="s">
        <v>410</v>
      </c>
      <c r="B17" s="449">
        <v>15</v>
      </c>
      <c r="C17" s="450">
        <v>0.56944444444444597</v>
      </c>
      <c r="D17" s="403"/>
      <c r="E17" s="244"/>
      <c r="F17" s="405"/>
      <c r="G17" s="245"/>
      <c r="H17" s="405"/>
      <c r="I17" s="246" t="s">
        <v>386</v>
      </c>
    </row>
    <row r="18" spans="1:9" ht="38.1" customHeight="1">
      <c r="A18" s="402" t="s">
        <v>406</v>
      </c>
      <c r="B18" s="242">
        <v>16</v>
      </c>
      <c r="C18" s="403">
        <v>0.58333333333333504</v>
      </c>
      <c r="D18" s="403"/>
      <c r="E18" s="244"/>
      <c r="F18" s="405"/>
      <c r="G18" s="245"/>
      <c r="H18" s="405"/>
      <c r="I18" s="246" t="s">
        <v>386</v>
      </c>
    </row>
    <row r="19" spans="1:9" ht="38.1" customHeight="1">
      <c r="A19" s="402" t="s">
        <v>406</v>
      </c>
      <c r="B19" s="242">
        <v>17</v>
      </c>
      <c r="C19" s="403">
        <v>0.59722222222222399</v>
      </c>
      <c r="D19" s="403"/>
      <c r="E19" s="244"/>
      <c r="F19" s="405"/>
      <c r="G19" s="245"/>
      <c r="H19" s="405"/>
      <c r="I19" s="246" t="s">
        <v>386</v>
      </c>
    </row>
    <row r="20" spans="1:9" ht="38.1" customHeight="1">
      <c r="A20" s="402" t="s">
        <v>406</v>
      </c>
      <c r="B20" s="242">
        <v>18</v>
      </c>
      <c r="C20" s="403">
        <v>0.61111111111111305</v>
      </c>
      <c r="D20" s="406"/>
      <c r="E20" s="407"/>
      <c r="F20" s="408"/>
      <c r="G20" s="408"/>
      <c r="H20" s="408"/>
      <c r="I20" s="410"/>
    </row>
    <row r="21" spans="1:9" ht="38.1" customHeight="1">
      <c r="A21" s="466" t="s">
        <v>397</v>
      </c>
      <c r="B21" s="449">
        <v>19</v>
      </c>
      <c r="C21" s="450">
        <v>0.625000000000002</v>
      </c>
      <c r="D21" s="450"/>
      <c r="E21" s="451"/>
      <c r="F21" s="496" t="s">
        <v>407</v>
      </c>
      <c r="G21" s="467"/>
      <c r="H21" s="453"/>
      <c r="I21" s="468"/>
    </row>
    <row r="22" spans="1:9" ht="38.1" customHeight="1">
      <c r="A22" s="469" t="s">
        <v>398</v>
      </c>
      <c r="B22" s="198">
        <v>20</v>
      </c>
      <c r="C22" s="456">
        <v>0.63888888888889095</v>
      </c>
      <c r="D22" s="199"/>
      <c r="E22" s="470"/>
      <c r="F22" s="497" t="s">
        <v>407</v>
      </c>
      <c r="G22" s="471"/>
      <c r="H22" s="459"/>
      <c r="I22" s="472"/>
    </row>
    <row r="23" spans="1:9" ht="38.1" customHeight="1">
      <c r="A23" s="473" t="s">
        <v>399</v>
      </c>
      <c r="B23" s="461">
        <v>21</v>
      </c>
      <c r="C23" s="462">
        <v>0.65277777777778001</v>
      </c>
      <c r="D23" s="474"/>
      <c r="E23" s="475"/>
      <c r="F23" s="498" t="s">
        <v>407</v>
      </c>
      <c r="G23" s="476"/>
      <c r="H23" s="465"/>
      <c r="I23" s="477"/>
    </row>
    <row r="24" spans="1:9" ht="38.1" customHeight="1">
      <c r="A24" s="478" t="s">
        <v>400</v>
      </c>
      <c r="B24" s="443">
        <v>22</v>
      </c>
      <c r="C24" s="444">
        <v>0.66666666666666896</v>
      </c>
      <c r="D24" s="479"/>
      <c r="E24" s="480"/>
      <c r="F24" s="499" t="s">
        <v>407</v>
      </c>
      <c r="G24" s="481"/>
      <c r="H24" s="447"/>
      <c r="I24" s="482"/>
    </row>
    <row r="25" spans="1:9" ht="38.1" customHeight="1">
      <c r="A25" s="434"/>
      <c r="B25" s="449">
        <v>23</v>
      </c>
      <c r="C25" s="450">
        <v>0.68055555555555802</v>
      </c>
      <c r="D25" s="435"/>
      <c r="E25" s="434"/>
      <c r="F25" s="438"/>
      <c r="G25" s="434"/>
      <c r="H25" s="439"/>
      <c r="I25" s="434"/>
    </row>
    <row r="26" spans="1:9" ht="39.950000000000003" customHeight="1">
      <c r="A26" s="434"/>
      <c r="B26" s="198">
        <v>24</v>
      </c>
      <c r="C26" s="456">
        <v>0.69444444444444697</v>
      </c>
      <c r="D26" s="435"/>
      <c r="E26" s="434"/>
      <c r="F26" s="438"/>
      <c r="G26" s="434"/>
      <c r="H26" s="439"/>
      <c r="I26" s="434"/>
    </row>
    <row r="27" spans="1:9" ht="39.950000000000003" customHeight="1">
      <c r="A27" s="434"/>
      <c r="B27" s="461">
        <v>25</v>
      </c>
      <c r="C27" s="462">
        <v>0.70833333333333603</v>
      </c>
      <c r="D27" s="435"/>
      <c r="E27" s="434"/>
      <c r="F27" s="438"/>
      <c r="G27" s="434"/>
      <c r="H27" s="439"/>
      <c r="I27" s="434"/>
    </row>
    <row r="28" spans="1:9" ht="39.950000000000003" customHeight="1">
      <c r="H28" s="361" t="s">
        <v>401</v>
      </c>
      <c r="I28" s="363" t="s">
        <v>411</v>
      </c>
    </row>
  </sheetData>
  <mergeCells count="1">
    <mergeCell ref="A1:I1"/>
  </mergeCells>
  <pageMargins left="0.25" right="0.25" top="0.75" bottom="0.75" header="0.3" footer="0.3"/>
  <pageSetup scale="50" orientation="landscape" r:id="rId1"/>
  <headerFooter>
    <oddHeader>&amp;L&amp;"Aptos Narrow (Body),Regular"&amp;22Sunday, October 26th, 2025 - Stage 3&amp;C&amp;"System Font,Regular"&amp;20&amp;K000000SAN DIEGO FOOTVOLLEY&amp;R&amp;"Aptos Narrow (Body),Regular"&amp;24COURT 2.2</oddHeader>
  </headerFooter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A123-6D41-B844-BA77-86AEDDBE7A02}">
  <sheetPr>
    <pageSetUpPr fitToPage="1"/>
  </sheetPr>
  <dimension ref="A1:I28"/>
  <sheetViews>
    <sheetView view="pageLayout" topLeftCell="A16" zoomScaleNormal="100" workbookViewId="0">
      <selection activeCell="B22" sqref="B22:C27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50" style="34" customWidth="1"/>
    <col min="9" max="9" width="41.710937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14" t="s">
        <v>412</v>
      </c>
      <c r="B1" s="615"/>
      <c r="C1" s="615"/>
      <c r="D1" s="615"/>
      <c r="E1" s="615"/>
      <c r="F1" s="615"/>
      <c r="G1" s="615"/>
      <c r="H1" s="615"/>
      <c r="I1" s="616"/>
    </row>
    <row r="2" spans="1:9" ht="39.950000000000003" customHeight="1">
      <c r="A2" s="219" t="s">
        <v>378</v>
      </c>
      <c r="B2" s="216" t="s">
        <v>379</v>
      </c>
      <c r="C2" s="216" t="s">
        <v>380</v>
      </c>
      <c r="D2" s="216" t="s">
        <v>381</v>
      </c>
      <c r="E2" s="216" t="s">
        <v>161</v>
      </c>
      <c r="F2" s="216" t="s">
        <v>382</v>
      </c>
      <c r="G2" s="216" t="s">
        <v>195</v>
      </c>
      <c r="H2" s="216" t="s">
        <v>383</v>
      </c>
      <c r="I2" s="220" t="s">
        <v>384</v>
      </c>
    </row>
    <row r="3" spans="1:9" ht="38.1" customHeight="1">
      <c r="A3" s="527" t="s">
        <v>413</v>
      </c>
      <c r="B3" s="528">
        <v>1</v>
      </c>
      <c r="C3" s="243">
        <v>0.375</v>
      </c>
      <c r="D3" s="400"/>
      <c r="E3" s="265"/>
      <c r="F3" s="531" t="str">
        <f>'Female C-3'!C2&amp;" / "&amp;'Female C-3'!D2</f>
        <v>H1 / Melissa</v>
      </c>
      <c r="G3" s="339"/>
      <c r="H3" s="533" t="str">
        <f>'Female C-3'!G2 &amp; " / " &amp; 'Female C-3'!L2</f>
        <v>H2 / Fabiola</v>
      </c>
      <c r="I3" s="273" t="s">
        <v>386</v>
      </c>
    </row>
    <row r="4" spans="1:9" ht="38.1" customHeight="1">
      <c r="A4" s="527" t="s">
        <v>413</v>
      </c>
      <c r="B4" s="194">
        <v>2</v>
      </c>
      <c r="C4" s="195">
        <v>0.38888888888888901</v>
      </c>
      <c r="D4" s="403"/>
      <c r="E4" s="532"/>
      <c r="F4" s="531" t="str">
        <f>'Female C-3'!C4&amp;" / "&amp;'Female C-3'!D4</f>
        <v>H1 / Michele</v>
      </c>
      <c r="G4" s="245"/>
      <c r="H4" s="533" t="str">
        <f>'Female C-3'!G4 &amp; " / " &amp; 'Female C-3'!L4</f>
        <v>H2 / Luiza</v>
      </c>
      <c r="I4" s="273" t="s">
        <v>386</v>
      </c>
    </row>
    <row r="5" spans="1:9" ht="38.1" customHeight="1">
      <c r="A5" s="527" t="s">
        <v>413</v>
      </c>
      <c r="B5" s="194">
        <v>3</v>
      </c>
      <c r="C5" s="195">
        <v>0.40277777777777801</v>
      </c>
      <c r="D5" s="403"/>
      <c r="E5" s="532"/>
      <c r="F5" s="531" t="str">
        <f>'Female C-3'!C6&amp;" / "&amp;'Female C-3'!D6</f>
        <v>H1 / Fabiola</v>
      </c>
      <c r="G5" s="245"/>
      <c r="H5" s="533" t="str">
        <f>'Female C-3'!G6 &amp; " / " &amp; 'Female C-3'!L6</f>
        <v>H2 / Michele</v>
      </c>
      <c r="I5" s="273" t="s">
        <v>386</v>
      </c>
    </row>
    <row r="6" spans="1:9" ht="38.1" customHeight="1">
      <c r="A6" s="527" t="s">
        <v>413</v>
      </c>
      <c r="B6" s="194">
        <v>4</v>
      </c>
      <c r="C6" s="195">
        <v>0.41666666666666702</v>
      </c>
      <c r="D6" s="403"/>
      <c r="E6" s="532"/>
      <c r="F6" s="531" t="str">
        <f>'Female C-3'!C8&amp;" / "&amp;'Female C-3'!D8</f>
        <v>H1 / Fabiola</v>
      </c>
      <c r="G6" s="245"/>
      <c r="H6" s="533" t="str">
        <f>'Female C-3'!G8 &amp; " / " &amp; 'Female C-3'!L8</f>
        <v>H2 / Bia</v>
      </c>
      <c r="I6" s="273" t="s">
        <v>386</v>
      </c>
    </row>
    <row r="7" spans="1:9" ht="38.1" customHeight="1">
      <c r="A7" s="460" t="s">
        <v>391</v>
      </c>
      <c r="B7" s="461">
        <v>5</v>
      </c>
      <c r="C7" s="462">
        <v>0.43055555555555602</v>
      </c>
      <c r="D7" s="403"/>
      <c r="E7" s="463"/>
      <c r="F7" s="529" t="str">
        <f>'Female A-3'!C2&amp;" / "&amp;'Female A-3'!D2</f>
        <v>Malu / Juliane</v>
      </c>
      <c r="G7" s="245"/>
      <c r="H7" s="530" t="str">
        <f>'Female A-3'!G2 &amp; " / " &amp; 'Female A-3'!L2</f>
        <v>Julia / Priscila</v>
      </c>
      <c r="I7" s="273" t="s">
        <v>386</v>
      </c>
    </row>
    <row r="8" spans="1:9" ht="38.1" customHeight="1">
      <c r="A8" s="460" t="s">
        <v>391</v>
      </c>
      <c r="B8" s="461">
        <v>6</v>
      </c>
      <c r="C8" s="462">
        <v>0.44444444444444497</v>
      </c>
      <c r="D8" s="403"/>
      <c r="E8" s="463"/>
      <c r="F8" s="529" t="str">
        <f>'Female A-3'!C3&amp;" / "&amp;'Female A-3'!D3</f>
        <v>Gabi Silva / Jessica</v>
      </c>
      <c r="G8" s="245"/>
      <c r="H8" s="530" t="str">
        <f>'Female A-3'!G3 &amp; " / " &amp; 'Female A-3'!L3</f>
        <v>Giovana / Roberta G.</v>
      </c>
      <c r="I8" s="273" t="s">
        <v>386</v>
      </c>
    </row>
    <row r="9" spans="1:9" ht="38.1" customHeight="1">
      <c r="A9" s="460" t="s">
        <v>391</v>
      </c>
      <c r="B9" s="461">
        <v>7</v>
      </c>
      <c r="C9" s="462">
        <v>0.45833333333333398</v>
      </c>
      <c r="D9" s="403"/>
      <c r="E9" s="463"/>
      <c r="F9" s="529" t="str">
        <f>'Female A-3'!C5&amp;" / "&amp;'Female A-3'!D5</f>
        <v>Gabi Silva / Roberta G.</v>
      </c>
      <c r="G9" s="245"/>
      <c r="H9" s="530" t="str">
        <f>'Female A-3'!G5 &amp; " / " &amp; 'Female A-3'!L5</f>
        <v>Giovana / Gabi Cordeiro</v>
      </c>
      <c r="I9" s="273" t="s">
        <v>386</v>
      </c>
    </row>
    <row r="10" spans="1:9" ht="38.1" customHeight="1">
      <c r="A10" s="460" t="s">
        <v>391</v>
      </c>
      <c r="B10" s="461">
        <v>8</v>
      </c>
      <c r="C10" s="462">
        <v>0.47222222222222299</v>
      </c>
      <c r="D10" s="403"/>
      <c r="E10" s="463"/>
      <c r="F10" s="529" t="str">
        <f>'Female A-3'!C6&amp;" / "&amp;'Female A-3'!D6</f>
        <v>Malu / Julia</v>
      </c>
      <c r="G10" s="245"/>
      <c r="H10" s="530" t="str">
        <f>'Female A-3'!G6 &amp; " / " &amp; 'Female A-3'!L6</f>
        <v>Juliane / Fiorella</v>
      </c>
      <c r="I10" s="273" t="s">
        <v>386</v>
      </c>
    </row>
    <row r="11" spans="1:9" ht="38.1" customHeight="1">
      <c r="A11" s="460" t="s">
        <v>391</v>
      </c>
      <c r="B11" s="461">
        <v>9</v>
      </c>
      <c r="C11" s="462">
        <v>0.48611111111111199</v>
      </c>
      <c r="D11" s="403"/>
      <c r="E11" s="463"/>
      <c r="F11" s="529" t="str">
        <f>'Female A-3'!C8&amp;" / "&amp;'Female A-3'!D8</f>
        <v>Malu / Fiorella</v>
      </c>
      <c r="G11" s="245"/>
      <c r="H11" s="530" t="str">
        <f>'Female A-3'!G8 &amp; " / " &amp; 'Female A-3'!L8</f>
        <v>Priscila / Juliane</v>
      </c>
      <c r="I11" s="273" t="s">
        <v>386</v>
      </c>
    </row>
    <row r="12" spans="1:9" ht="38.1" customHeight="1">
      <c r="A12" s="442" t="s">
        <v>387</v>
      </c>
      <c r="B12" s="443">
        <v>10</v>
      </c>
      <c r="C12" s="444">
        <v>0.500000000000001</v>
      </c>
      <c r="D12" s="403"/>
      <c r="E12" s="445"/>
      <c r="F12" s="534" t="str">
        <f>'Male A-3'!C8&amp;"  / "&amp;'Male A-3'!D8</f>
        <v>Renan Guiot  / João Barreto</v>
      </c>
      <c r="G12" s="245"/>
      <c r="H12" s="535" t="str">
        <f>'Male A-3'!G8 &amp; " / " &amp; 'Male A-3'!L8</f>
        <v>Thomas Zahn / Thyago Henrique</v>
      </c>
      <c r="I12" s="273" t="s">
        <v>386</v>
      </c>
    </row>
    <row r="13" spans="1:9" ht="38.1" customHeight="1">
      <c r="A13" s="442" t="s">
        <v>387</v>
      </c>
      <c r="B13" s="443">
        <v>11</v>
      </c>
      <c r="C13" s="444">
        <v>0.51388888888888995</v>
      </c>
      <c r="D13" s="403"/>
      <c r="E13" s="445"/>
      <c r="F13" s="534" t="str">
        <f>'Male A-3'!C10&amp;"  / "&amp;'Male A-3'!D10</f>
        <v>Thomas Zahn  / João Barreto</v>
      </c>
      <c r="G13" s="245"/>
      <c r="H13" s="535" t="str">
        <f>'Male A-3'!G10 &amp; " / " &amp; 'Male A-3'!L10</f>
        <v>Gabriel Velloso / Thyago Henrique</v>
      </c>
      <c r="I13" s="273" t="s">
        <v>386</v>
      </c>
    </row>
    <row r="14" spans="1:9" ht="38.1" customHeight="1">
      <c r="A14" s="213" t="s">
        <v>389</v>
      </c>
      <c r="B14" s="208">
        <v>12</v>
      </c>
      <c r="C14" s="209">
        <v>0.52777777777777901</v>
      </c>
      <c r="D14" s="210" t="s">
        <v>390</v>
      </c>
      <c r="E14" s="207"/>
      <c r="F14" s="207"/>
      <c r="G14" s="207"/>
      <c r="H14" s="207"/>
      <c r="I14" s="207"/>
    </row>
    <row r="15" spans="1:9" ht="38.1" customHeight="1">
      <c r="A15" s="460" t="s">
        <v>391</v>
      </c>
      <c r="B15" s="461">
        <v>13</v>
      </c>
      <c r="C15" s="462">
        <v>0.54166666666666796</v>
      </c>
      <c r="D15" s="403"/>
      <c r="E15" s="463"/>
      <c r="F15" s="529" t="str">
        <f>'Female A-3'!C11&amp;" / "&amp;'Female A-3'!D11</f>
        <v>Roberta G. / Gabi Cordeiro</v>
      </c>
      <c r="G15" s="245"/>
      <c r="H15" s="465" t="str">
        <f>'Female A-3'!G11 &amp; " / " &amp; 'Female A-3'!L11</f>
        <v>Giovana / Jessica</v>
      </c>
      <c r="I15" s="273" t="s">
        <v>386</v>
      </c>
    </row>
    <row r="16" spans="1:9" ht="38.1" customHeight="1">
      <c r="A16" s="460" t="s">
        <v>414</v>
      </c>
      <c r="B16" s="461">
        <v>14</v>
      </c>
      <c r="C16" s="462">
        <v>0.55555555555555702</v>
      </c>
      <c r="D16" s="403"/>
      <c r="E16" s="244"/>
      <c r="F16" s="401"/>
      <c r="G16" s="245"/>
      <c r="H16" s="404"/>
      <c r="I16" s="273" t="s">
        <v>386</v>
      </c>
    </row>
    <row r="17" spans="1:9" ht="38.1" customHeight="1">
      <c r="A17" s="460" t="s">
        <v>414</v>
      </c>
      <c r="B17" s="461">
        <v>15</v>
      </c>
      <c r="C17" s="462">
        <v>0.56944444444444597</v>
      </c>
      <c r="D17" s="403"/>
      <c r="E17" s="244"/>
      <c r="F17" s="401"/>
      <c r="G17" s="245"/>
      <c r="H17" s="404"/>
      <c r="I17" s="273" t="s">
        <v>386</v>
      </c>
    </row>
    <row r="18" spans="1:9" ht="38.1" customHeight="1">
      <c r="A18" s="402" t="s">
        <v>406</v>
      </c>
      <c r="B18" s="242">
        <v>16</v>
      </c>
      <c r="C18" s="403">
        <v>0.58333333333333504</v>
      </c>
      <c r="D18" s="403"/>
      <c r="E18" s="244"/>
      <c r="F18" s="401"/>
      <c r="G18" s="245"/>
      <c r="H18" s="404"/>
      <c r="I18" s="238" t="s">
        <v>386</v>
      </c>
    </row>
    <row r="19" spans="1:9" ht="38.1" customHeight="1">
      <c r="A19" s="402" t="s">
        <v>406</v>
      </c>
      <c r="B19" s="242">
        <v>17</v>
      </c>
      <c r="C19" s="403">
        <v>0.59722222222222399</v>
      </c>
      <c r="D19" s="403"/>
      <c r="E19" s="244"/>
      <c r="F19" s="405"/>
      <c r="G19" s="245"/>
      <c r="H19" s="405"/>
      <c r="I19" s="273" t="s">
        <v>386</v>
      </c>
    </row>
    <row r="20" spans="1:9" ht="38.1" customHeight="1">
      <c r="A20" s="402" t="s">
        <v>406</v>
      </c>
      <c r="B20" s="242">
        <v>18</v>
      </c>
      <c r="C20" s="403">
        <v>0.61111111111111305</v>
      </c>
      <c r="D20" s="406"/>
      <c r="E20" s="407"/>
      <c r="F20" s="408"/>
      <c r="G20" s="408"/>
      <c r="H20" s="408"/>
      <c r="I20" s="408"/>
    </row>
    <row r="21" spans="1:9" ht="38.1" customHeight="1">
      <c r="A21" s="466" t="s">
        <v>397</v>
      </c>
      <c r="B21" s="449">
        <v>19</v>
      </c>
      <c r="C21" s="450">
        <v>0.625000000000002</v>
      </c>
      <c r="D21" s="450"/>
      <c r="E21" s="451"/>
      <c r="F21" s="496" t="s">
        <v>407</v>
      </c>
      <c r="G21" s="467"/>
      <c r="H21" s="453"/>
      <c r="I21" s="468"/>
    </row>
    <row r="22" spans="1:9" ht="38.1" customHeight="1">
      <c r="A22" s="469" t="s">
        <v>398</v>
      </c>
      <c r="B22" s="198">
        <v>20</v>
      </c>
      <c r="C22" s="456">
        <v>0.63888888888889095</v>
      </c>
      <c r="D22" s="199"/>
      <c r="E22" s="470"/>
      <c r="F22" s="497" t="s">
        <v>407</v>
      </c>
      <c r="G22" s="471"/>
      <c r="H22" s="459"/>
      <c r="I22" s="472"/>
    </row>
    <row r="23" spans="1:9" ht="38.1" customHeight="1">
      <c r="A23" s="473" t="s">
        <v>399</v>
      </c>
      <c r="B23" s="461">
        <v>21</v>
      </c>
      <c r="C23" s="462">
        <v>0.65277777777778001</v>
      </c>
      <c r="D23" s="474"/>
      <c r="E23" s="475"/>
      <c r="F23" s="498" t="s">
        <v>407</v>
      </c>
      <c r="G23" s="476"/>
      <c r="H23" s="465"/>
      <c r="I23" s="477"/>
    </row>
    <row r="24" spans="1:9" ht="38.1" customHeight="1">
      <c r="A24" s="478" t="s">
        <v>400</v>
      </c>
      <c r="B24" s="443">
        <v>22</v>
      </c>
      <c r="C24" s="444">
        <v>0.66666666666666896</v>
      </c>
      <c r="D24" s="479"/>
      <c r="E24" s="480"/>
      <c r="F24" s="499" t="s">
        <v>407</v>
      </c>
      <c r="G24" s="481"/>
      <c r="H24" s="447"/>
      <c r="I24" s="482"/>
    </row>
    <row r="25" spans="1:9" ht="38.1" customHeight="1">
      <c r="A25" s="434"/>
      <c r="B25" s="198">
        <v>23</v>
      </c>
      <c r="C25" s="456">
        <v>0.68055555555555802</v>
      </c>
      <c r="D25" s="435"/>
      <c r="E25" s="434"/>
      <c r="F25" s="438"/>
      <c r="G25" s="434"/>
      <c r="H25" s="439"/>
      <c r="I25" s="434"/>
    </row>
    <row r="26" spans="1:9" ht="39.950000000000003" customHeight="1">
      <c r="A26" s="434"/>
      <c r="B26" s="461">
        <v>24</v>
      </c>
      <c r="C26" s="462">
        <v>0.69444444444444697</v>
      </c>
      <c r="D26" s="435"/>
      <c r="E26" s="434"/>
      <c r="F26" s="438"/>
      <c r="G26" s="434"/>
      <c r="H26" s="439"/>
      <c r="I26" s="434"/>
    </row>
    <row r="27" spans="1:9" ht="39.950000000000003" customHeight="1">
      <c r="A27" s="434"/>
      <c r="B27" s="443">
        <v>25</v>
      </c>
      <c r="C27" s="444">
        <v>0.70833333333333603</v>
      </c>
      <c r="D27" s="435"/>
      <c r="E27" s="434"/>
      <c r="F27" s="438"/>
      <c r="G27" s="434"/>
      <c r="H27" s="439"/>
      <c r="I27" s="434"/>
    </row>
    <row r="28" spans="1:9" ht="39.950000000000003" customHeight="1">
      <c r="H28" s="361" t="s">
        <v>401</v>
      </c>
      <c r="I28" s="363" t="s">
        <v>415</v>
      </c>
    </row>
  </sheetData>
  <mergeCells count="1">
    <mergeCell ref="A1:I1"/>
  </mergeCells>
  <pageMargins left="0.25" right="0.25" top="0.75" bottom="0.75" header="0.3" footer="0.3"/>
  <pageSetup scale="50" orientation="landscape" r:id="rId1"/>
  <headerFooter>
    <oddHeader>&amp;L&amp;"Aptos Narrow (Body),Regular"&amp;22Sunday, October 26th, 2025 - Stage 3&amp;C&amp;"System Font,Regular"&amp;20&amp;K000000SAN DIEGO FOOTVOLLEY&amp;R&amp;"Aptos Narrow (Body),Regular"&amp;24COURT 3</oddHeader>
  </headerFooter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ACEE-7C7F-8F4F-9BA4-E11754C71252}">
  <sheetPr codeName="Sheet40"/>
  <dimension ref="A1:D88"/>
  <sheetViews>
    <sheetView workbookViewId="0"/>
    <sheetView workbookViewId="1"/>
  </sheetViews>
  <sheetFormatPr defaultColWidth="11.42578125" defaultRowHeight="15"/>
  <cols>
    <col min="2" max="2" width="40" customWidth="1"/>
    <col min="4" max="4" width="40" customWidth="1"/>
  </cols>
  <sheetData>
    <row r="1" spans="1:4" ht="30" customHeight="1">
      <c r="A1" s="358" t="s">
        <v>0</v>
      </c>
      <c r="B1" s="359" t="s">
        <v>541</v>
      </c>
      <c r="C1" s="359"/>
      <c r="D1" s="359"/>
    </row>
    <row r="2" spans="1:4" s="44" customFormat="1" ht="24.95" customHeight="1">
      <c r="A2" s="50" t="s">
        <v>542</v>
      </c>
      <c r="B2" s="50" t="s">
        <v>543</v>
      </c>
      <c r="C2" s="357" t="s">
        <v>544</v>
      </c>
      <c r="D2" s="50" t="s">
        <v>545</v>
      </c>
    </row>
    <row r="3" spans="1:4" s="44" customFormat="1" ht="24.95" customHeight="1">
      <c r="A3" s="2" t="s">
        <v>546</v>
      </c>
      <c r="B3" s="2" t="s">
        <v>547</v>
      </c>
      <c r="C3" s="2" t="s">
        <v>548</v>
      </c>
      <c r="D3" s="2" t="s">
        <v>547</v>
      </c>
    </row>
    <row r="4" spans="1:4" s="44" customFormat="1" ht="24.95" customHeight="1">
      <c r="A4" s="2" t="s">
        <v>549</v>
      </c>
      <c r="B4" s="2" t="s">
        <v>547</v>
      </c>
      <c r="C4" s="2" t="s">
        <v>550</v>
      </c>
      <c r="D4" s="2" t="s">
        <v>547</v>
      </c>
    </row>
    <row r="5" spans="1:4" s="44" customFormat="1" ht="24.95" customHeight="1">
      <c r="A5" s="2" t="s">
        <v>551</v>
      </c>
      <c r="B5" s="2" t="s">
        <v>547</v>
      </c>
      <c r="C5" s="2" t="s">
        <v>552</v>
      </c>
      <c r="D5" s="2" t="s">
        <v>547</v>
      </c>
    </row>
    <row r="6" spans="1:4" s="44" customFormat="1" ht="24.95" customHeight="1">
      <c r="A6" s="2" t="s">
        <v>553</v>
      </c>
      <c r="B6" s="2"/>
      <c r="C6" s="2" t="s">
        <v>554</v>
      </c>
      <c r="D6" s="2"/>
    </row>
    <row r="7" spans="1:4" s="44" customFormat="1" ht="24.95" customHeight="1">
      <c r="A7" s="2" t="s">
        <v>555</v>
      </c>
      <c r="B7" s="2" t="s">
        <v>547</v>
      </c>
      <c r="C7" s="2" t="s">
        <v>556</v>
      </c>
      <c r="D7" s="2" t="s">
        <v>547</v>
      </c>
    </row>
    <row r="8" spans="1:4" s="44" customFormat="1" ht="24.95" customHeight="1">
      <c r="A8" s="2" t="s">
        <v>557</v>
      </c>
      <c r="B8" s="2"/>
      <c r="C8" s="2" t="s">
        <v>558</v>
      </c>
      <c r="D8" s="2"/>
    </row>
    <row r="9" spans="1:4" s="44" customFormat="1" ht="24.95" customHeight="1">
      <c r="A9" s="2" t="s">
        <v>559</v>
      </c>
      <c r="B9" s="2" t="s">
        <v>547</v>
      </c>
      <c r="C9" s="2" t="s">
        <v>560</v>
      </c>
      <c r="D9" s="2" t="s">
        <v>547</v>
      </c>
    </row>
    <row r="10" spans="1:4" s="44" customFormat="1" ht="24.95" customHeight="1">
      <c r="A10" s="2" t="s">
        <v>561</v>
      </c>
      <c r="B10" s="2" t="s">
        <v>547</v>
      </c>
      <c r="C10" s="2" t="s">
        <v>562</v>
      </c>
      <c r="D10" s="2" t="s">
        <v>547</v>
      </c>
    </row>
    <row r="11" spans="1:4" s="44" customFormat="1" ht="24.95" customHeight="1">
      <c r="A11" s="2" t="s">
        <v>563</v>
      </c>
      <c r="B11" s="2"/>
      <c r="C11" s="2" t="s">
        <v>564</v>
      </c>
      <c r="D11" s="2"/>
    </row>
    <row r="12" spans="1:4" s="44" customFormat="1" ht="24.95" customHeight="1">
      <c r="A12" s="2" t="s">
        <v>565</v>
      </c>
      <c r="B12" s="2"/>
      <c r="C12" s="2" t="s">
        <v>566</v>
      </c>
      <c r="D12" s="2"/>
    </row>
    <row r="13" spans="1:4" s="44" customFormat="1" ht="24.95" customHeight="1">
      <c r="A13" s="2" t="s">
        <v>567</v>
      </c>
      <c r="B13" s="2" t="s">
        <v>547</v>
      </c>
      <c r="C13" s="2" t="s">
        <v>568</v>
      </c>
      <c r="D13" s="2" t="s">
        <v>547</v>
      </c>
    </row>
    <row r="14" spans="1:4" s="44" customFormat="1" ht="24.95" customHeight="1">
      <c r="A14" s="2" t="s">
        <v>569</v>
      </c>
      <c r="B14" s="2" t="s">
        <v>547</v>
      </c>
      <c r="C14" s="2" t="s">
        <v>570</v>
      </c>
      <c r="D14" s="2" t="s">
        <v>547</v>
      </c>
    </row>
    <row r="15" spans="1:4" s="44" customFormat="1" ht="24.95" customHeight="1">
      <c r="A15" s="2" t="s">
        <v>571</v>
      </c>
      <c r="B15" s="2"/>
      <c r="C15" s="2" t="s">
        <v>572</v>
      </c>
      <c r="D15" s="2"/>
    </row>
    <row r="16" spans="1:4" ht="24.95" customHeight="1">
      <c r="A16" s="2" t="s">
        <v>573</v>
      </c>
      <c r="B16" s="2"/>
      <c r="C16" s="2" t="s">
        <v>574</v>
      </c>
      <c r="D16" s="2"/>
    </row>
    <row r="17" spans="1:4" ht="24.95" customHeight="1">
      <c r="A17" s="2" t="s">
        <v>575</v>
      </c>
      <c r="B17" s="2" t="s">
        <v>547</v>
      </c>
      <c r="C17" s="2" t="s">
        <v>576</v>
      </c>
      <c r="D17" s="2" t="s">
        <v>547</v>
      </c>
    </row>
    <row r="18" spans="1:4" ht="24.95" customHeight="1">
      <c r="A18" s="2" t="s">
        <v>577</v>
      </c>
      <c r="B18" s="2" t="s">
        <v>547</v>
      </c>
      <c r="C18" s="2" t="s">
        <v>578</v>
      </c>
      <c r="D18" s="2" t="s">
        <v>547</v>
      </c>
    </row>
    <row r="19" spans="1:4" ht="24.95" customHeight="1">
      <c r="A19" s="2" t="s">
        <v>579</v>
      </c>
      <c r="B19" s="2" t="s">
        <v>547</v>
      </c>
      <c r="C19" s="2" t="s">
        <v>580</v>
      </c>
      <c r="D19" s="2" t="s">
        <v>547</v>
      </c>
    </row>
    <row r="20" spans="1:4" ht="24.95" customHeight="1">
      <c r="A20" s="2" t="s">
        <v>581</v>
      </c>
      <c r="B20" s="2"/>
      <c r="C20" s="2" t="s">
        <v>582</v>
      </c>
      <c r="D20" s="2"/>
    </row>
    <row r="21" spans="1:4" ht="24.95" customHeight="1">
      <c r="A21" s="2" t="s">
        <v>583</v>
      </c>
      <c r="B21" s="2"/>
      <c r="C21" s="2" t="s">
        <v>584</v>
      </c>
      <c r="D21" s="2"/>
    </row>
    <row r="22" spans="1:4" ht="24.95" customHeight="1">
      <c r="A22" s="2" t="s">
        <v>585</v>
      </c>
      <c r="B22" s="2" t="s">
        <v>547</v>
      </c>
      <c r="C22" s="2" t="s">
        <v>586</v>
      </c>
      <c r="D22" s="2" t="s">
        <v>547</v>
      </c>
    </row>
    <row r="23" spans="1:4" ht="24.95" customHeight="1">
      <c r="A23" s="2" t="s">
        <v>587</v>
      </c>
      <c r="B23" s="2" t="s">
        <v>547</v>
      </c>
      <c r="C23" s="2" t="s">
        <v>588</v>
      </c>
      <c r="D23" s="2" t="s">
        <v>547</v>
      </c>
    </row>
    <row r="24" spans="1:4" ht="24.95" customHeight="1">
      <c r="A24" s="2" t="s">
        <v>589</v>
      </c>
      <c r="B24" s="2"/>
      <c r="C24" s="2" t="s">
        <v>590</v>
      </c>
      <c r="D24" s="2"/>
    </row>
    <row r="25" spans="1:4" ht="24.95" customHeight="1">
      <c r="A25" s="2" t="s">
        <v>591</v>
      </c>
      <c r="B25" s="2"/>
      <c r="C25" s="2" t="s">
        <v>592</v>
      </c>
      <c r="D25" s="2"/>
    </row>
    <row r="26" spans="1:4" ht="24.95" customHeight="1">
      <c r="A26" s="2" t="s">
        <v>593</v>
      </c>
      <c r="B26" s="2" t="s">
        <v>547</v>
      </c>
      <c r="C26" s="2" t="s">
        <v>594</v>
      </c>
      <c r="D26" s="2" t="s">
        <v>547</v>
      </c>
    </row>
    <row r="27" spans="1:4" ht="24.95" customHeight="1">
      <c r="A27" s="2" t="s">
        <v>595</v>
      </c>
      <c r="B27" s="2"/>
      <c r="C27" s="2" t="s">
        <v>596</v>
      </c>
      <c r="D27" s="2"/>
    </row>
    <row r="28" spans="1:4" ht="24.95" customHeight="1">
      <c r="A28" s="2" t="s">
        <v>597</v>
      </c>
      <c r="B28" s="2"/>
      <c r="C28" s="2" t="s">
        <v>598</v>
      </c>
      <c r="D28" s="2"/>
    </row>
    <row r="29" spans="1:4" ht="24.95" customHeight="1">
      <c r="A29" s="2" t="s">
        <v>599</v>
      </c>
      <c r="B29" s="2" t="s">
        <v>547</v>
      </c>
      <c r="C29" s="2" t="s">
        <v>600</v>
      </c>
      <c r="D29" s="2" t="s">
        <v>547</v>
      </c>
    </row>
    <row r="30" spans="1:4" ht="24.95" customHeight="1">
      <c r="A30" s="2" t="s">
        <v>601</v>
      </c>
      <c r="B30" s="2" t="s">
        <v>547</v>
      </c>
      <c r="C30" s="2" t="s">
        <v>602</v>
      </c>
      <c r="D30" s="2" t="s">
        <v>547</v>
      </c>
    </row>
    <row r="31" spans="1:4" ht="24.95" customHeight="1">
      <c r="A31" s="2" t="s">
        <v>603</v>
      </c>
      <c r="B31" s="2"/>
      <c r="C31" s="2" t="s">
        <v>604</v>
      </c>
      <c r="D31" s="2"/>
    </row>
    <row r="32" spans="1:4" ht="24.95" customHeight="1">
      <c r="A32" s="2" t="s">
        <v>605</v>
      </c>
      <c r="B32" s="2"/>
      <c r="C32" s="2" t="s">
        <v>606</v>
      </c>
      <c r="D32" s="2"/>
    </row>
    <row r="33" spans="1:4" ht="24.95" customHeight="1">
      <c r="A33" s="2" t="s">
        <v>607</v>
      </c>
      <c r="B33" s="2" t="s">
        <v>547</v>
      </c>
      <c r="C33" s="2" t="s">
        <v>608</v>
      </c>
      <c r="D33" s="2" t="s">
        <v>547</v>
      </c>
    </row>
    <row r="34" spans="1:4" ht="24.95" customHeight="1">
      <c r="A34" s="2" t="s">
        <v>609</v>
      </c>
      <c r="B34" s="2" t="s">
        <v>547</v>
      </c>
      <c r="C34" s="2" t="s">
        <v>610</v>
      </c>
      <c r="D34" s="2" t="s">
        <v>547</v>
      </c>
    </row>
    <row r="35" spans="1:4" ht="24.95" customHeight="1">
      <c r="A35" s="2" t="s">
        <v>611</v>
      </c>
      <c r="B35" s="2" t="s">
        <v>547</v>
      </c>
      <c r="C35" s="2" t="s">
        <v>612</v>
      </c>
      <c r="D35" s="2" t="s">
        <v>547</v>
      </c>
    </row>
    <row r="36" spans="1:4" ht="24.95" customHeight="1">
      <c r="A36" s="2" t="s">
        <v>613</v>
      </c>
      <c r="B36" s="2"/>
      <c r="C36" s="2" t="s">
        <v>614</v>
      </c>
      <c r="D36" s="2"/>
    </row>
    <row r="37" spans="1:4" ht="24.95" customHeight="1">
      <c r="A37" s="2" t="s">
        <v>615</v>
      </c>
      <c r="B37" s="2"/>
      <c r="C37" s="2" t="s">
        <v>616</v>
      </c>
      <c r="D37" s="2"/>
    </row>
    <row r="38" spans="1:4" ht="24.95" customHeight="1">
      <c r="A38" s="2" t="s">
        <v>617</v>
      </c>
      <c r="B38" s="2" t="s">
        <v>547</v>
      </c>
      <c r="C38" s="2" t="s">
        <v>618</v>
      </c>
      <c r="D38" s="2" t="s">
        <v>547</v>
      </c>
    </row>
    <row r="39" spans="1:4" ht="24.95" customHeight="1">
      <c r="A39" s="2" t="s">
        <v>619</v>
      </c>
      <c r="B39" s="2"/>
      <c r="C39" s="2" t="s">
        <v>620</v>
      </c>
      <c r="D39" s="2"/>
    </row>
    <row r="40" spans="1:4" ht="24.95" customHeight="1">
      <c r="A40" s="2" t="s">
        <v>621</v>
      </c>
      <c r="B40" s="2"/>
      <c r="C40" s="2" t="s">
        <v>622</v>
      </c>
      <c r="D40" s="2"/>
    </row>
    <row r="41" spans="1:4" ht="24.95" customHeight="1">
      <c r="A41" s="2" t="s">
        <v>623</v>
      </c>
      <c r="B41" s="2"/>
      <c r="C41" s="2" t="s">
        <v>624</v>
      </c>
      <c r="D41" s="2"/>
    </row>
    <row r="42" spans="1:4" ht="24.95" customHeight="1">
      <c r="A42" s="2" t="s">
        <v>625</v>
      </c>
      <c r="B42" s="2"/>
      <c r="C42" s="2" t="s">
        <v>626</v>
      </c>
      <c r="D42" s="2"/>
    </row>
    <row r="43" spans="1:4" ht="24.95" customHeight="1">
      <c r="A43" s="2" t="s">
        <v>627</v>
      </c>
      <c r="B43" s="2"/>
      <c r="C43" s="2" t="s">
        <v>628</v>
      </c>
      <c r="D43" s="2"/>
    </row>
    <row r="44" spans="1:4" ht="24.95" customHeight="1">
      <c r="A44" s="2" t="s">
        <v>629</v>
      </c>
      <c r="B44" s="2"/>
      <c r="C44" s="2" t="s">
        <v>630</v>
      </c>
      <c r="D44" s="2"/>
    </row>
    <row r="45" spans="1:4" ht="24.95" customHeight="1">
      <c r="A45" s="2" t="s">
        <v>631</v>
      </c>
      <c r="B45" s="2"/>
      <c r="C45" s="2" t="s">
        <v>632</v>
      </c>
      <c r="D45" s="2"/>
    </row>
    <row r="46" spans="1:4" ht="24.95" customHeight="1">
      <c r="A46" s="2" t="s">
        <v>633</v>
      </c>
      <c r="B46" s="2"/>
      <c r="C46" s="2" t="s">
        <v>634</v>
      </c>
      <c r="D46" s="2"/>
    </row>
    <row r="47" spans="1:4" ht="24.95" customHeight="1">
      <c r="A47" s="2" t="s">
        <v>635</v>
      </c>
      <c r="B47" s="2"/>
      <c r="C47" s="2" t="s">
        <v>636</v>
      </c>
      <c r="D47" s="2"/>
    </row>
    <row r="48" spans="1:4" ht="24.95" customHeight="1">
      <c r="A48" s="2" t="s">
        <v>637</v>
      </c>
      <c r="B48" s="2"/>
      <c r="C48" s="2" t="s">
        <v>638</v>
      </c>
      <c r="D48" s="2"/>
    </row>
    <row r="49" spans="1:4" ht="24.95" customHeight="1">
      <c r="A49" s="2" t="s">
        <v>639</v>
      </c>
      <c r="B49" s="2"/>
      <c r="C49" s="2" t="s">
        <v>640</v>
      </c>
      <c r="D49" s="2"/>
    </row>
    <row r="50" spans="1:4" ht="24.95" customHeight="1">
      <c r="A50" s="2" t="s">
        <v>641</v>
      </c>
      <c r="B50" s="2"/>
      <c r="C50" s="2" t="s">
        <v>642</v>
      </c>
      <c r="D50" s="2"/>
    </row>
    <row r="51" spans="1:4" ht="24.95" customHeight="1">
      <c r="A51" s="2" t="s">
        <v>643</v>
      </c>
      <c r="B51" s="2"/>
      <c r="C51" s="2" t="s">
        <v>644</v>
      </c>
      <c r="D51" s="2"/>
    </row>
    <row r="52" spans="1:4" ht="24.95" customHeight="1">
      <c r="A52" s="2" t="s">
        <v>645</v>
      </c>
      <c r="B52" s="2"/>
      <c r="C52" s="2" t="s">
        <v>646</v>
      </c>
      <c r="D52" s="2"/>
    </row>
    <row r="53" spans="1:4" ht="24.95" customHeight="1">
      <c r="A53" s="2" t="s">
        <v>647</v>
      </c>
      <c r="B53" s="2"/>
      <c r="C53" s="2" t="s">
        <v>648</v>
      </c>
      <c r="D53" s="2"/>
    </row>
    <row r="54" spans="1:4" ht="24.95" customHeight="1">
      <c r="A54" s="2" t="s">
        <v>649</v>
      </c>
      <c r="B54" s="2"/>
      <c r="C54" s="2" t="s">
        <v>650</v>
      </c>
      <c r="D54" s="2"/>
    </row>
    <row r="55" spans="1:4" ht="24.95" customHeight="1">
      <c r="A55" s="2" t="s">
        <v>651</v>
      </c>
      <c r="B55" s="2"/>
      <c r="C55" s="2" t="s">
        <v>652</v>
      </c>
      <c r="D55" s="2"/>
    </row>
    <row r="56" spans="1:4" ht="24.95" customHeight="1">
      <c r="A56" s="2" t="s">
        <v>653</v>
      </c>
      <c r="B56" s="2"/>
      <c r="C56" s="2" t="s">
        <v>654</v>
      </c>
      <c r="D56" s="2"/>
    </row>
    <row r="57" spans="1:4" ht="24.95" customHeight="1">
      <c r="A57" s="2" t="s">
        <v>655</v>
      </c>
      <c r="B57" s="2"/>
      <c r="C57" s="2" t="s">
        <v>656</v>
      </c>
      <c r="D57" s="2"/>
    </row>
    <row r="58" spans="1:4" ht="24.95" customHeight="1">
      <c r="A58" s="2" t="s">
        <v>657</v>
      </c>
      <c r="B58" s="2"/>
      <c r="C58" s="2" t="s">
        <v>658</v>
      </c>
      <c r="D58" s="2"/>
    </row>
    <row r="59" spans="1:4" ht="24.95" customHeight="1">
      <c r="A59" s="2" t="s">
        <v>659</v>
      </c>
      <c r="B59" s="2"/>
      <c r="C59" s="2" t="s">
        <v>660</v>
      </c>
      <c r="D59" s="2"/>
    </row>
    <row r="60" spans="1:4" ht="24.95" customHeight="1">
      <c r="A60" s="2" t="s">
        <v>661</v>
      </c>
      <c r="B60" s="2"/>
      <c r="C60" s="2" t="s">
        <v>662</v>
      </c>
      <c r="D60" s="2"/>
    </row>
    <row r="61" spans="1:4" ht="24.95" customHeight="1">
      <c r="A61" s="2" t="s">
        <v>663</v>
      </c>
      <c r="B61" s="2"/>
      <c r="C61" s="2" t="s">
        <v>664</v>
      </c>
      <c r="D61" s="2"/>
    </row>
    <row r="62" spans="1:4" ht="24.95" customHeight="1">
      <c r="A62" s="2" t="s">
        <v>665</v>
      </c>
      <c r="B62" s="2"/>
      <c r="C62" s="2" t="s">
        <v>666</v>
      </c>
      <c r="D62" s="2"/>
    </row>
    <row r="63" spans="1:4" ht="24.95" customHeight="1">
      <c r="A63" s="2" t="s">
        <v>667</v>
      </c>
      <c r="B63" s="2"/>
      <c r="C63" s="2" t="s">
        <v>668</v>
      </c>
      <c r="D63" s="2"/>
    </row>
    <row r="64" spans="1:4" ht="24.95" customHeight="1">
      <c r="A64" s="2" t="s">
        <v>669</v>
      </c>
      <c r="B64" s="2"/>
      <c r="C64" s="2" t="s">
        <v>670</v>
      </c>
      <c r="D64" s="2"/>
    </row>
    <row r="65" spans="1:4" ht="24.95" customHeight="1">
      <c r="A65" s="2" t="s">
        <v>671</v>
      </c>
      <c r="B65" s="2" t="s">
        <v>547</v>
      </c>
      <c r="C65" s="2" t="s">
        <v>672</v>
      </c>
      <c r="D65" s="2" t="s">
        <v>547</v>
      </c>
    </row>
    <row r="66" spans="1:4" ht="24.95" customHeight="1">
      <c r="A66" s="2" t="s">
        <v>673</v>
      </c>
      <c r="B66" s="2" t="s">
        <v>547</v>
      </c>
      <c r="C66" s="2" t="s">
        <v>674</v>
      </c>
      <c r="D66" s="2" t="s">
        <v>547</v>
      </c>
    </row>
    <row r="67" spans="1:4" ht="24.95" customHeight="1">
      <c r="A67" s="2" t="s">
        <v>675</v>
      </c>
      <c r="B67" s="2" t="s">
        <v>547</v>
      </c>
      <c r="C67" s="2" t="s">
        <v>676</v>
      </c>
      <c r="D67" s="2" t="s">
        <v>547</v>
      </c>
    </row>
    <row r="68" spans="1:4" ht="24.95" customHeight="1">
      <c r="A68" s="2" t="s">
        <v>677</v>
      </c>
      <c r="B68" s="2" t="s">
        <v>547</v>
      </c>
      <c r="C68" s="2" t="s">
        <v>678</v>
      </c>
      <c r="D68" s="2" t="s">
        <v>547</v>
      </c>
    </row>
    <row r="69" spans="1:4" ht="24.95" customHeight="1">
      <c r="A69" s="2" t="s">
        <v>679</v>
      </c>
      <c r="B69" s="2" t="s">
        <v>547</v>
      </c>
      <c r="C69" s="2" t="s">
        <v>680</v>
      </c>
      <c r="D69" s="2" t="s">
        <v>547</v>
      </c>
    </row>
    <row r="70" spans="1:4" ht="24.95" customHeight="1">
      <c r="A70" s="2" t="s">
        <v>681</v>
      </c>
      <c r="B70" s="2" t="s">
        <v>547</v>
      </c>
      <c r="C70" s="2" t="s">
        <v>682</v>
      </c>
      <c r="D70" s="2" t="s">
        <v>547</v>
      </c>
    </row>
    <row r="71" spans="1:4" ht="24.95" customHeight="1">
      <c r="A71" s="2" t="s">
        <v>683</v>
      </c>
      <c r="B71" s="2"/>
      <c r="C71" s="2" t="s">
        <v>684</v>
      </c>
      <c r="D71" s="2"/>
    </row>
    <row r="72" spans="1:4" ht="24.95" customHeight="1">
      <c r="A72" s="2" t="s">
        <v>685</v>
      </c>
      <c r="B72" s="2"/>
      <c r="C72" s="2" t="s">
        <v>686</v>
      </c>
      <c r="D72" s="2"/>
    </row>
    <row r="73" spans="1:4" ht="24.95" customHeight="1">
      <c r="A73" s="2" t="s">
        <v>687</v>
      </c>
      <c r="B73" s="2"/>
      <c r="C73" s="2" t="s">
        <v>688</v>
      </c>
      <c r="D73" s="2"/>
    </row>
    <row r="74" spans="1:4" ht="24.95" customHeight="1">
      <c r="A74" s="2" t="s">
        <v>689</v>
      </c>
      <c r="B74" s="2"/>
      <c r="C74" s="2" t="s">
        <v>690</v>
      </c>
      <c r="D74" s="2"/>
    </row>
    <row r="75" spans="1:4" ht="24.95" customHeight="1">
      <c r="A75" s="2" t="s">
        <v>691</v>
      </c>
      <c r="B75" s="2" t="s">
        <v>547</v>
      </c>
      <c r="C75" s="2" t="s">
        <v>692</v>
      </c>
      <c r="D75" s="2" t="s">
        <v>547</v>
      </c>
    </row>
    <row r="76" spans="1:4" ht="24.95" customHeight="1">
      <c r="A76" s="2" t="s">
        <v>693</v>
      </c>
      <c r="B76" s="2" t="s">
        <v>547</v>
      </c>
      <c r="C76" s="2" t="s">
        <v>694</v>
      </c>
      <c r="D76" s="2" t="s">
        <v>547</v>
      </c>
    </row>
    <row r="77" spans="1:4" ht="24.95" customHeight="1">
      <c r="A77" s="2" t="s">
        <v>695</v>
      </c>
      <c r="B77" s="2"/>
      <c r="C77" s="2" t="s">
        <v>696</v>
      </c>
      <c r="D77" s="2"/>
    </row>
    <row r="78" spans="1:4" ht="24.95" customHeight="1">
      <c r="A78" s="2" t="s">
        <v>697</v>
      </c>
      <c r="B78" s="2"/>
      <c r="C78" s="2" t="s">
        <v>698</v>
      </c>
      <c r="D78" s="2"/>
    </row>
    <row r="79" spans="1:4" ht="24.95" customHeight="1">
      <c r="A79" s="2" t="s">
        <v>699</v>
      </c>
      <c r="B79" s="2" t="s">
        <v>547</v>
      </c>
      <c r="C79" s="2" t="s">
        <v>700</v>
      </c>
      <c r="D79" s="2" t="s">
        <v>547</v>
      </c>
    </row>
    <row r="80" spans="1:4" ht="24.95" customHeight="1">
      <c r="A80" s="2" t="s">
        <v>701</v>
      </c>
      <c r="B80" s="2" t="s">
        <v>547</v>
      </c>
      <c r="C80" s="2" t="s">
        <v>702</v>
      </c>
      <c r="D80" s="2" t="s">
        <v>547</v>
      </c>
    </row>
    <row r="81" spans="1:4" ht="24.95" customHeight="1">
      <c r="A81" s="2" t="s">
        <v>703</v>
      </c>
      <c r="B81" s="2"/>
      <c r="C81" s="2" t="s">
        <v>704</v>
      </c>
      <c r="D81" s="2"/>
    </row>
    <row r="82" spans="1:4" ht="24.95" customHeight="1">
      <c r="A82" s="2" t="s">
        <v>705</v>
      </c>
      <c r="B82" s="2"/>
      <c r="C82" s="2" t="s">
        <v>706</v>
      </c>
      <c r="D82" s="2"/>
    </row>
    <row r="83" spans="1:4" ht="24.95" customHeight="1">
      <c r="A83" s="2" t="s">
        <v>707</v>
      </c>
      <c r="B83" s="2" t="s">
        <v>547</v>
      </c>
      <c r="C83" s="2" t="s">
        <v>708</v>
      </c>
      <c r="D83" s="2" t="s">
        <v>547</v>
      </c>
    </row>
    <row r="84" spans="1:4" ht="24.95" customHeight="1">
      <c r="A84" s="2" t="s">
        <v>709</v>
      </c>
      <c r="B84" s="2" t="s">
        <v>547</v>
      </c>
      <c r="C84" s="2" t="s">
        <v>710</v>
      </c>
      <c r="D84" s="2" t="s">
        <v>547</v>
      </c>
    </row>
    <row r="85" spans="1:4" ht="24.95" customHeight="1">
      <c r="A85" s="2" t="s">
        <v>711</v>
      </c>
      <c r="B85" s="2"/>
      <c r="C85" s="2" t="s">
        <v>712</v>
      </c>
      <c r="D85" s="2"/>
    </row>
    <row r="86" spans="1:4" ht="24.95" customHeight="1">
      <c r="A86" s="2" t="s">
        <v>713</v>
      </c>
      <c r="B86" s="2" t="s">
        <v>547</v>
      </c>
      <c r="C86" s="2" t="s">
        <v>714</v>
      </c>
      <c r="D86" s="2" t="s">
        <v>547</v>
      </c>
    </row>
    <row r="87" spans="1:4" ht="24.95" customHeight="1">
      <c r="A87" s="2" t="s">
        <v>715</v>
      </c>
      <c r="B87" s="2" t="s">
        <v>547</v>
      </c>
      <c r="C87" s="2" t="s">
        <v>716</v>
      </c>
      <c r="D87" s="2" t="s">
        <v>547</v>
      </c>
    </row>
    <row r="88" spans="1:4" ht="24.95" customHeight="1">
      <c r="A88" s="2" t="s">
        <v>717</v>
      </c>
      <c r="B88" s="2"/>
      <c r="C88" s="2" t="s">
        <v>718</v>
      </c>
      <c r="D88" s="2"/>
    </row>
  </sheetData>
  <phoneticPr fontId="1" type="noConversion"/>
  <pageMargins left="0.7" right="0.7" top="0.75" bottom="0.75" header="0.3" footer="0.3"/>
  <pageSetup scale="83" orientation="portrait" horizontalDpi="0" verticalDpi="0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BFEB-21D2-9848-B867-96FD62E191B9}">
  <sheetPr codeName="Sheet41">
    <pageSetUpPr fitToPage="1"/>
  </sheetPr>
  <dimension ref="A1:I27"/>
  <sheetViews>
    <sheetView workbookViewId="0">
      <selection sqref="A1:I1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50" style="34" customWidth="1"/>
    <col min="9" max="9" width="41.710937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20" t="s">
        <v>377</v>
      </c>
      <c r="B1" s="621"/>
      <c r="C1" s="621"/>
      <c r="D1" s="621"/>
      <c r="E1" s="621"/>
      <c r="F1" s="621"/>
      <c r="G1" s="621"/>
      <c r="H1" s="621"/>
      <c r="I1" s="622"/>
    </row>
    <row r="2" spans="1:9" ht="39.950000000000003" customHeight="1">
      <c r="A2" s="229" t="s">
        <v>378</v>
      </c>
      <c r="B2" s="176" t="s">
        <v>379</v>
      </c>
      <c r="C2" s="353" t="s">
        <v>719</v>
      </c>
      <c r="D2" s="176" t="s">
        <v>720</v>
      </c>
      <c r="E2" s="176" t="s">
        <v>381</v>
      </c>
      <c r="F2" s="176" t="s">
        <v>382</v>
      </c>
      <c r="G2" s="176" t="s">
        <v>195</v>
      </c>
      <c r="H2" s="176" t="s">
        <v>383</v>
      </c>
      <c r="I2" s="230" t="s">
        <v>721</v>
      </c>
    </row>
    <row r="3" spans="1:9" ht="38.1" customHeight="1">
      <c r="A3" s="284" t="s">
        <v>722</v>
      </c>
      <c r="B3" s="285">
        <v>1</v>
      </c>
      <c r="C3" s="286">
        <v>0.375</v>
      </c>
      <c r="D3" s="286" t="s">
        <v>723</v>
      </c>
      <c r="E3" s="322"/>
      <c r="F3" s="287" t="s">
        <v>724</v>
      </c>
      <c r="G3" s="339"/>
      <c r="H3" s="287" t="s">
        <v>725</v>
      </c>
      <c r="I3" s="340"/>
    </row>
    <row r="4" spans="1:9" ht="38.1" customHeight="1">
      <c r="A4" s="284" t="s">
        <v>722</v>
      </c>
      <c r="B4" s="288">
        <v>2</v>
      </c>
      <c r="C4" s="289">
        <v>0.38888888888888901</v>
      </c>
      <c r="D4" s="289" t="s">
        <v>726</v>
      </c>
      <c r="E4" s="244"/>
      <c r="F4" s="290" t="s">
        <v>727</v>
      </c>
      <c r="G4" s="245"/>
      <c r="H4" s="290" t="s">
        <v>728</v>
      </c>
      <c r="I4" s="269"/>
    </row>
    <row r="5" spans="1:9" ht="38.1" customHeight="1">
      <c r="A5" s="284" t="s">
        <v>722</v>
      </c>
      <c r="B5" s="288">
        <v>3</v>
      </c>
      <c r="C5" s="289">
        <v>0.40277777777777801</v>
      </c>
      <c r="D5" s="289" t="s">
        <v>729</v>
      </c>
      <c r="E5" s="244"/>
      <c r="F5" s="290" t="s">
        <v>730</v>
      </c>
      <c r="G5" s="245"/>
      <c r="H5" s="342" t="s">
        <v>731</v>
      </c>
      <c r="I5" s="269"/>
    </row>
    <row r="6" spans="1:9" ht="38.1" customHeight="1">
      <c r="A6" s="284" t="s">
        <v>722</v>
      </c>
      <c r="B6" s="288">
        <v>4</v>
      </c>
      <c r="C6" s="289">
        <v>0.41666666666666702</v>
      </c>
      <c r="D6" s="289" t="s">
        <v>732</v>
      </c>
      <c r="E6" s="244"/>
      <c r="F6" s="290" t="s">
        <v>733</v>
      </c>
      <c r="G6" s="245"/>
      <c r="H6" s="342" t="s">
        <v>734</v>
      </c>
      <c r="I6" s="269"/>
    </row>
    <row r="7" spans="1:9" ht="38.1" customHeight="1">
      <c r="A7" s="284" t="s">
        <v>722</v>
      </c>
      <c r="B7" s="288">
        <v>5</v>
      </c>
      <c r="C7" s="289">
        <v>0.43055555555555602</v>
      </c>
      <c r="D7" s="289" t="s">
        <v>735</v>
      </c>
      <c r="E7" s="244"/>
      <c r="F7" s="290" t="s">
        <v>736</v>
      </c>
      <c r="G7" s="245"/>
      <c r="H7" s="342" t="s">
        <v>737</v>
      </c>
      <c r="I7" s="269"/>
    </row>
    <row r="8" spans="1:9" ht="38.1" customHeight="1">
      <c r="A8" s="231" t="s">
        <v>738</v>
      </c>
      <c r="B8" s="194">
        <v>6</v>
      </c>
      <c r="C8" s="195">
        <v>0.44444444444444497</v>
      </c>
      <c r="D8" s="195" t="s">
        <v>739</v>
      </c>
      <c r="E8" s="244"/>
      <c r="F8" s="266" t="s">
        <v>740</v>
      </c>
      <c r="G8" s="245"/>
      <c r="H8" s="266" t="s">
        <v>741</v>
      </c>
      <c r="I8" s="348" t="s">
        <v>742</v>
      </c>
    </row>
    <row r="9" spans="1:9" ht="38.1" customHeight="1">
      <c r="A9" s="284" t="s">
        <v>722</v>
      </c>
      <c r="B9" s="288">
        <v>7</v>
      </c>
      <c r="C9" s="289">
        <v>0.45833333333333398</v>
      </c>
      <c r="D9" s="289" t="s">
        <v>743</v>
      </c>
      <c r="E9" s="244"/>
      <c r="F9" s="342" t="s">
        <v>744</v>
      </c>
      <c r="G9" s="245"/>
      <c r="H9" s="342" t="s">
        <v>745</v>
      </c>
      <c r="I9" s="269"/>
    </row>
    <row r="10" spans="1:9" ht="38.1" customHeight="1">
      <c r="A10" s="284" t="s">
        <v>722</v>
      </c>
      <c r="B10" s="288">
        <v>8</v>
      </c>
      <c r="C10" s="289">
        <v>0.47222222222222299</v>
      </c>
      <c r="D10" s="289" t="s">
        <v>746</v>
      </c>
      <c r="E10" s="244"/>
      <c r="F10" s="342" t="s">
        <v>747</v>
      </c>
      <c r="G10" s="245"/>
      <c r="H10" s="342" t="s">
        <v>748</v>
      </c>
      <c r="I10" s="269"/>
    </row>
    <row r="11" spans="1:9" ht="38.1" customHeight="1">
      <c r="A11" s="231" t="s">
        <v>738</v>
      </c>
      <c r="B11" s="194">
        <v>9</v>
      </c>
      <c r="C11" s="195">
        <v>0.48611111111111199</v>
      </c>
      <c r="D11" s="195" t="s">
        <v>749</v>
      </c>
      <c r="E11" s="244"/>
      <c r="F11" s="266" t="s">
        <v>750</v>
      </c>
      <c r="G11" s="245"/>
      <c r="H11" s="266" t="s">
        <v>751</v>
      </c>
      <c r="I11" s="348" t="s">
        <v>752</v>
      </c>
    </row>
    <row r="12" spans="1:9" ht="38.1" customHeight="1">
      <c r="A12" s="284" t="s">
        <v>722</v>
      </c>
      <c r="B12" s="288">
        <v>10</v>
      </c>
      <c r="C12" s="289">
        <v>0.500000000000001</v>
      </c>
      <c r="D12" s="289" t="s">
        <v>753</v>
      </c>
      <c r="E12" s="244"/>
      <c r="F12" s="342" t="s">
        <v>754</v>
      </c>
      <c r="G12" s="245"/>
      <c r="H12" s="342" t="s">
        <v>755</v>
      </c>
      <c r="I12" s="246"/>
    </row>
    <row r="13" spans="1:9" ht="38.1" customHeight="1">
      <c r="A13" s="284" t="s">
        <v>722</v>
      </c>
      <c r="B13" s="291">
        <v>11</v>
      </c>
      <c r="C13" s="292">
        <v>0.51388888888888995</v>
      </c>
      <c r="D13" s="292" t="s">
        <v>756</v>
      </c>
      <c r="E13" s="248"/>
      <c r="F13" s="342" t="s">
        <v>757</v>
      </c>
      <c r="G13" s="274"/>
      <c r="H13" s="342" t="s">
        <v>758</v>
      </c>
      <c r="I13" s="249"/>
    </row>
    <row r="14" spans="1:9" ht="38.1" customHeight="1">
      <c r="A14" s="284" t="s">
        <v>722</v>
      </c>
      <c r="B14" s="293">
        <v>12</v>
      </c>
      <c r="C14" s="286">
        <v>0.52777777777777901</v>
      </c>
      <c r="D14" s="286" t="s">
        <v>759</v>
      </c>
      <c r="E14" s="252"/>
      <c r="F14" s="342" t="s">
        <v>760</v>
      </c>
      <c r="G14" s="253"/>
      <c r="H14" s="342" t="s">
        <v>761</v>
      </c>
      <c r="I14" s="254"/>
    </row>
    <row r="15" spans="1:9" ht="38.1" customHeight="1">
      <c r="A15" s="231" t="s">
        <v>738</v>
      </c>
      <c r="B15" s="259">
        <v>13</v>
      </c>
      <c r="C15" s="243">
        <v>0.54166666666666796</v>
      </c>
      <c r="D15" s="243" t="s">
        <v>762</v>
      </c>
      <c r="E15" s="252"/>
      <c r="F15" s="265" t="s">
        <v>763</v>
      </c>
      <c r="G15" s="253"/>
      <c r="H15" s="265" t="s">
        <v>764</v>
      </c>
      <c r="I15" s="348" t="s">
        <v>765</v>
      </c>
    </row>
    <row r="16" spans="1:9" ht="38.1" customHeight="1">
      <c r="A16" s="284" t="s">
        <v>722</v>
      </c>
      <c r="B16" s="293">
        <v>14</v>
      </c>
      <c r="C16" s="286">
        <v>0.55555555555555702</v>
      </c>
      <c r="D16" s="286" t="s">
        <v>766</v>
      </c>
      <c r="E16" s="252"/>
      <c r="F16" s="342" t="s">
        <v>767</v>
      </c>
      <c r="G16" s="253"/>
      <c r="H16" s="342" t="s">
        <v>768</v>
      </c>
      <c r="I16" s="254"/>
    </row>
    <row r="17" spans="1:9" ht="38.1" customHeight="1">
      <c r="A17" s="284" t="s">
        <v>722</v>
      </c>
      <c r="B17" s="293">
        <v>15</v>
      </c>
      <c r="C17" s="286">
        <v>0.56944444444444597</v>
      </c>
      <c r="D17" s="286" t="s">
        <v>769</v>
      </c>
      <c r="E17" s="252"/>
      <c r="F17" s="342" t="s">
        <v>770</v>
      </c>
      <c r="G17" s="253"/>
      <c r="H17" s="342" t="s">
        <v>771</v>
      </c>
      <c r="I17" s="254"/>
    </row>
    <row r="18" spans="1:9" ht="38.1" customHeight="1">
      <c r="A18" s="231" t="s">
        <v>738</v>
      </c>
      <c r="B18" s="259">
        <v>16</v>
      </c>
      <c r="C18" s="243">
        <v>0.58333333333333504</v>
      </c>
      <c r="D18" s="243" t="s">
        <v>772</v>
      </c>
      <c r="E18" s="252"/>
      <c r="F18" s="344" t="s">
        <v>773</v>
      </c>
      <c r="G18" s="253"/>
      <c r="H18" s="344" t="s">
        <v>774</v>
      </c>
      <c r="I18" s="254"/>
    </row>
    <row r="19" spans="1:9" ht="38.1" customHeight="1">
      <c r="A19" s="227" t="s">
        <v>775</v>
      </c>
      <c r="B19" s="262">
        <v>17</v>
      </c>
      <c r="C19" s="263">
        <v>0.59722222222222399</v>
      </c>
      <c r="D19" s="298" t="s">
        <v>776</v>
      </c>
      <c r="E19" s="257"/>
      <c r="F19" s="342" t="s">
        <v>777</v>
      </c>
      <c r="G19" s="258"/>
      <c r="H19" s="342" t="s">
        <v>778</v>
      </c>
      <c r="I19" s="254"/>
    </row>
    <row r="20" spans="1:9" ht="38.1" customHeight="1">
      <c r="A20" s="284" t="s">
        <v>722</v>
      </c>
      <c r="B20" s="293">
        <v>18</v>
      </c>
      <c r="C20" s="286">
        <v>0.61111111111111305</v>
      </c>
      <c r="D20" s="294" t="s">
        <v>779</v>
      </c>
      <c r="E20" s="257"/>
      <c r="F20" s="342" t="s">
        <v>780</v>
      </c>
      <c r="G20" s="258"/>
      <c r="H20" s="342" t="s">
        <v>781</v>
      </c>
      <c r="I20" s="254"/>
    </row>
    <row r="21" spans="1:9" ht="38.1" customHeight="1">
      <c r="A21" s="227" t="s">
        <v>782</v>
      </c>
      <c r="B21" s="198">
        <v>19</v>
      </c>
      <c r="C21" s="199">
        <v>0.625000000000002</v>
      </c>
      <c r="D21" s="199" t="s">
        <v>783</v>
      </c>
      <c r="E21" s="236"/>
      <c r="F21" s="342" t="s">
        <v>784</v>
      </c>
      <c r="G21" s="247"/>
      <c r="H21" s="342" t="s">
        <v>785</v>
      </c>
      <c r="I21" s="236"/>
    </row>
    <row r="22" spans="1:9" ht="38.1" customHeight="1">
      <c r="A22" s="284" t="s">
        <v>722</v>
      </c>
      <c r="B22" s="288">
        <v>20</v>
      </c>
      <c r="C22" s="296">
        <v>0.63888888888889095</v>
      </c>
      <c r="D22" s="296" t="s">
        <v>786</v>
      </c>
      <c r="E22" s="236"/>
      <c r="F22" s="342" t="s">
        <v>787</v>
      </c>
      <c r="G22" s="247"/>
      <c r="H22" s="342" t="s">
        <v>788</v>
      </c>
      <c r="I22" s="236"/>
    </row>
    <row r="23" spans="1:9" ht="38.1" customHeight="1">
      <c r="A23" s="228" t="s">
        <v>789</v>
      </c>
      <c r="B23" s="200">
        <v>21</v>
      </c>
      <c r="C23" s="300">
        <v>0.65277777777778001</v>
      </c>
      <c r="D23" s="300" t="s">
        <v>790</v>
      </c>
      <c r="E23" s="236"/>
      <c r="F23" s="342" t="s">
        <v>791</v>
      </c>
      <c r="G23" s="247"/>
      <c r="H23" s="342" t="s">
        <v>792</v>
      </c>
      <c r="I23" s="236"/>
    </row>
    <row r="24" spans="1:9" ht="38.1" customHeight="1">
      <c r="A24" s="284" t="s">
        <v>793</v>
      </c>
      <c r="B24" s="288">
        <v>22</v>
      </c>
      <c r="C24" s="296">
        <v>0.66666666666666896</v>
      </c>
      <c r="D24" s="296" t="s">
        <v>794</v>
      </c>
      <c r="E24" s="236"/>
      <c r="F24" s="342" t="s">
        <v>795</v>
      </c>
      <c r="G24" s="247"/>
      <c r="H24" s="342" t="s">
        <v>796</v>
      </c>
      <c r="I24" s="236"/>
    </row>
    <row r="25" spans="1:9" ht="38.1" customHeight="1">
      <c r="A25" s="267" t="s">
        <v>797</v>
      </c>
      <c r="B25" s="201">
        <v>23</v>
      </c>
      <c r="C25" s="268">
        <v>0.68055555555555802</v>
      </c>
      <c r="D25" s="268" t="s">
        <v>798</v>
      </c>
      <c r="E25" s="236"/>
      <c r="F25" s="342" t="s">
        <v>799</v>
      </c>
      <c r="G25" s="247"/>
      <c r="H25" s="342" t="s">
        <v>755</v>
      </c>
      <c r="I25" s="236"/>
    </row>
    <row r="26" spans="1:9" ht="39.950000000000003" customHeight="1">
      <c r="A26" s="297" t="s">
        <v>800</v>
      </c>
      <c r="B26" s="288">
        <v>24</v>
      </c>
      <c r="C26" s="296">
        <v>0.69444444444444697</v>
      </c>
      <c r="D26" s="296" t="s">
        <v>801</v>
      </c>
      <c r="E26" s="236"/>
      <c r="F26" s="342" t="s">
        <v>802</v>
      </c>
      <c r="G26" s="247"/>
      <c r="H26" s="342" t="s">
        <v>803</v>
      </c>
      <c r="I26" s="236"/>
    </row>
    <row r="27" spans="1:9" ht="39.950000000000003" customHeight="1">
      <c r="A27" s="301" t="s">
        <v>804</v>
      </c>
      <c r="B27" s="302">
        <v>25</v>
      </c>
      <c r="C27" s="303">
        <v>0.70833333333333504</v>
      </c>
      <c r="D27" s="303" t="s">
        <v>805</v>
      </c>
      <c r="E27" s="238"/>
      <c r="F27" s="343" t="s">
        <v>806</v>
      </c>
      <c r="G27" s="327"/>
      <c r="H27" s="343" t="s">
        <v>807</v>
      </c>
      <c r="I27" s="238"/>
    </row>
  </sheetData>
  <mergeCells count="1">
    <mergeCell ref="A1:I1"/>
  </mergeCells>
  <phoneticPr fontId="1" type="noConversion"/>
  <pageMargins left="0.25" right="0.25" top="0.75" bottom="0.75" header="0.3" footer="0.3"/>
  <pageSetup scale="52" orientation="landscape" r:id="rId1"/>
  <headerFooter>
    <oddHeader>&amp;L&amp;"Aptos Narrow (Body),Regular"&amp;22Saturday, August 8th, 2025 - NFA #1&amp;C&amp;"System Font,Regular"&amp;20&amp;K000000SAN DIEGO FOOTVOLLEY OPEN
2025 NFA TOUR - SAN DIEGO,CA&amp;R&amp;"Aptos Narrow (Body),Regular"&amp;24COURT 1</oddHeader>
  </headerFooter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2E68-4C60-5248-BA60-2B73837722F2}">
  <sheetPr codeName="Sheet42">
    <pageSetUpPr fitToPage="1"/>
  </sheetPr>
  <dimension ref="A1:I28"/>
  <sheetViews>
    <sheetView workbookViewId="0">
      <selection sqref="A1:I1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49.85546875" style="34" customWidth="1"/>
    <col min="9" max="9" width="41.4257812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11" t="s">
        <v>808</v>
      </c>
      <c r="B1" s="612"/>
      <c r="C1" s="612"/>
      <c r="D1" s="612"/>
      <c r="E1" s="612"/>
      <c r="F1" s="612"/>
      <c r="G1" s="612"/>
      <c r="H1" s="612"/>
      <c r="I1" s="613"/>
    </row>
    <row r="2" spans="1:9" ht="39.950000000000003" customHeight="1">
      <c r="A2" s="225" t="s">
        <v>378</v>
      </c>
      <c r="B2" s="214" t="s">
        <v>379</v>
      </c>
      <c r="C2" s="354" t="s">
        <v>719</v>
      </c>
      <c r="D2" s="214" t="s">
        <v>720</v>
      </c>
      <c r="E2" s="214" t="s">
        <v>381</v>
      </c>
      <c r="F2" s="214" t="s">
        <v>382</v>
      </c>
      <c r="G2" s="214" t="s">
        <v>195</v>
      </c>
      <c r="H2" s="214" t="s">
        <v>383</v>
      </c>
      <c r="I2" s="226" t="s">
        <v>721</v>
      </c>
    </row>
    <row r="3" spans="1:9" ht="38.1" customHeight="1">
      <c r="A3" s="304" t="s">
        <v>809</v>
      </c>
      <c r="B3" s="305">
        <v>1</v>
      </c>
      <c r="C3" s="306">
        <v>0.375</v>
      </c>
      <c r="D3" s="306" t="s">
        <v>810</v>
      </c>
      <c r="E3" s="270"/>
      <c r="F3" s="321" t="s">
        <v>811</v>
      </c>
      <c r="G3" s="271"/>
      <c r="H3" s="321" t="s">
        <v>812</v>
      </c>
      <c r="I3" s="348" t="s">
        <v>765</v>
      </c>
    </row>
    <row r="4" spans="1:9" ht="38.1" customHeight="1">
      <c r="A4" s="304" t="s">
        <v>809</v>
      </c>
      <c r="B4" s="305">
        <v>2</v>
      </c>
      <c r="C4" s="306">
        <v>0.38888888888888901</v>
      </c>
      <c r="D4" s="306" t="s">
        <v>739</v>
      </c>
      <c r="E4" s="270"/>
      <c r="F4" s="321" t="s">
        <v>813</v>
      </c>
      <c r="G4" s="271"/>
      <c r="H4" s="321" t="s">
        <v>814</v>
      </c>
      <c r="I4" s="348" t="s">
        <v>765</v>
      </c>
    </row>
    <row r="5" spans="1:9" ht="38.1" customHeight="1">
      <c r="A5" s="304" t="s">
        <v>809</v>
      </c>
      <c r="B5" s="305">
        <v>3</v>
      </c>
      <c r="C5" s="306">
        <v>0.40277777777777801</v>
      </c>
      <c r="D5" s="306" t="s">
        <v>815</v>
      </c>
      <c r="E5" s="270"/>
      <c r="F5" s="321" t="s">
        <v>816</v>
      </c>
      <c r="G5" s="271"/>
      <c r="H5" s="321" t="s">
        <v>817</v>
      </c>
      <c r="I5" s="348" t="s">
        <v>742</v>
      </c>
    </row>
    <row r="6" spans="1:9" ht="38.1" customHeight="1">
      <c r="A6" s="304" t="s">
        <v>809</v>
      </c>
      <c r="B6" s="305">
        <v>4</v>
      </c>
      <c r="C6" s="306">
        <v>0.41666666666666702</v>
      </c>
      <c r="D6" s="306" t="s">
        <v>723</v>
      </c>
      <c r="E6" s="270"/>
      <c r="F6" s="321" t="s">
        <v>811</v>
      </c>
      <c r="G6" s="271"/>
      <c r="H6" s="321" t="s">
        <v>814</v>
      </c>
      <c r="I6" s="348" t="s">
        <v>765</v>
      </c>
    </row>
    <row r="7" spans="1:9" ht="38.1" customHeight="1">
      <c r="A7" s="304" t="s">
        <v>809</v>
      </c>
      <c r="B7" s="307">
        <v>5</v>
      </c>
      <c r="C7" s="308">
        <v>0.43055555555555602</v>
      </c>
      <c r="D7" s="306" t="s">
        <v>818</v>
      </c>
      <c r="E7" s="272"/>
      <c r="F7" s="311" t="s">
        <v>813</v>
      </c>
      <c r="G7" s="253"/>
      <c r="H7" s="311" t="s">
        <v>812</v>
      </c>
      <c r="I7" s="348" t="s">
        <v>765</v>
      </c>
    </row>
    <row r="8" spans="1:9" ht="38.1" customHeight="1">
      <c r="A8" s="304" t="s">
        <v>809</v>
      </c>
      <c r="B8" s="309">
        <v>6</v>
      </c>
      <c r="C8" s="310">
        <v>0.44444444444444497</v>
      </c>
      <c r="D8" s="306" t="s">
        <v>749</v>
      </c>
      <c r="E8" s="252"/>
      <c r="F8" s="311" t="s">
        <v>819</v>
      </c>
      <c r="G8" s="253"/>
      <c r="H8" s="311" t="s">
        <v>817</v>
      </c>
      <c r="I8" s="348" t="s">
        <v>742</v>
      </c>
    </row>
    <row r="9" spans="1:9" ht="38.1" customHeight="1">
      <c r="A9" s="304" t="s">
        <v>809</v>
      </c>
      <c r="B9" s="309">
        <v>7</v>
      </c>
      <c r="C9" s="310">
        <v>0.45833333333333398</v>
      </c>
      <c r="D9" s="306" t="s">
        <v>762</v>
      </c>
      <c r="E9" s="252"/>
      <c r="F9" s="311" t="s">
        <v>812</v>
      </c>
      <c r="G9" s="253"/>
      <c r="H9" s="311" t="s">
        <v>814</v>
      </c>
      <c r="I9" s="348" t="s">
        <v>765</v>
      </c>
    </row>
    <row r="10" spans="1:9" ht="38.1" customHeight="1">
      <c r="A10" s="304" t="s">
        <v>809</v>
      </c>
      <c r="B10" s="309">
        <v>8</v>
      </c>
      <c r="C10" s="310">
        <v>0.47222222222222299</v>
      </c>
      <c r="D10" s="306" t="s">
        <v>820</v>
      </c>
      <c r="E10" s="252"/>
      <c r="F10" s="311" t="s">
        <v>813</v>
      </c>
      <c r="G10" s="253"/>
      <c r="H10" s="311" t="s">
        <v>811</v>
      </c>
      <c r="I10" s="348" t="s">
        <v>765</v>
      </c>
    </row>
    <row r="11" spans="1:9" ht="38.1" customHeight="1">
      <c r="A11" s="304" t="s">
        <v>809</v>
      </c>
      <c r="B11" s="309">
        <v>9</v>
      </c>
      <c r="C11" s="310">
        <v>0.48611111111111199</v>
      </c>
      <c r="D11" s="306" t="s">
        <v>821</v>
      </c>
      <c r="E11" s="252"/>
      <c r="F11" s="311" t="s">
        <v>819</v>
      </c>
      <c r="G11" s="253"/>
      <c r="H11" s="311" t="s">
        <v>816</v>
      </c>
      <c r="I11" s="348" t="s">
        <v>742</v>
      </c>
    </row>
    <row r="12" spans="1:9" ht="38.1" customHeight="1">
      <c r="A12" s="304" t="s">
        <v>809</v>
      </c>
      <c r="B12" s="309">
        <v>10</v>
      </c>
      <c r="C12" s="310">
        <v>0.500000000000001</v>
      </c>
      <c r="D12" s="306" t="s">
        <v>772</v>
      </c>
      <c r="E12" s="252"/>
      <c r="F12" s="345" t="s">
        <v>822</v>
      </c>
      <c r="G12" s="253"/>
      <c r="H12" s="345" t="s">
        <v>823</v>
      </c>
      <c r="I12" s="254"/>
    </row>
    <row r="13" spans="1:9" ht="38.1" customHeight="1">
      <c r="A13" s="304" t="s">
        <v>809</v>
      </c>
      <c r="B13" s="305">
        <v>11</v>
      </c>
      <c r="C13" s="306">
        <v>0.51388888888888995</v>
      </c>
      <c r="D13" s="306" t="s">
        <v>824</v>
      </c>
      <c r="E13" s="248"/>
      <c r="F13" s="346" t="s">
        <v>825</v>
      </c>
      <c r="G13" s="274"/>
      <c r="H13" s="346" t="s">
        <v>826</v>
      </c>
      <c r="I13" s="249"/>
    </row>
    <row r="14" spans="1:9" ht="38.1" customHeight="1">
      <c r="A14" s="304" t="s">
        <v>809</v>
      </c>
      <c r="B14" s="309">
        <v>12</v>
      </c>
      <c r="C14" s="310">
        <v>0.52777777777777901</v>
      </c>
      <c r="D14" s="306" t="s">
        <v>827</v>
      </c>
      <c r="E14" s="252"/>
      <c r="F14" s="345" t="s">
        <v>828</v>
      </c>
      <c r="G14" s="253"/>
      <c r="H14" s="346" t="s">
        <v>829</v>
      </c>
      <c r="I14" s="254"/>
    </row>
    <row r="15" spans="1:9" ht="38.1" customHeight="1">
      <c r="A15" s="304" t="s">
        <v>809</v>
      </c>
      <c r="B15" s="309">
        <v>13</v>
      </c>
      <c r="C15" s="310">
        <v>0.54166666666666796</v>
      </c>
      <c r="D15" s="306" t="s">
        <v>729</v>
      </c>
      <c r="E15" s="252"/>
      <c r="F15" s="346" t="s">
        <v>830</v>
      </c>
      <c r="G15" s="253"/>
      <c r="H15" s="346" t="s">
        <v>831</v>
      </c>
      <c r="I15" s="254"/>
    </row>
    <row r="16" spans="1:9" ht="38.1" customHeight="1">
      <c r="A16" s="304" t="s">
        <v>809</v>
      </c>
      <c r="B16" s="312">
        <v>14</v>
      </c>
      <c r="C16" s="313">
        <v>0.55555555555555702</v>
      </c>
      <c r="D16" s="306" t="s">
        <v>832</v>
      </c>
      <c r="E16" s="277"/>
      <c r="F16" s="347" t="s">
        <v>833</v>
      </c>
      <c r="G16" s="278"/>
      <c r="H16" s="347" t="s">
        <v>748</v>
      </c>
      <c r="I16" s="279"/>
    </row>
    <row r="17" spans="1:9" ht="38.1" customHeight="1">
      <c r="A17" s="213"/>
      <c r="B17" s="208">
        <v>15</v>
      </c>
      <c r="C17" s="209">
        <v>0.56944444444444597</v>
      </c>
      <c r="D17" s="209"/>
      <c r="E17" s="211" t="s">
        <v>834</v>
      </c>
      <c r="F17" s="211"/>
      <c r="G17" s="211"/>
      <c r="H17" s="211"/>
      <c r="I17" s="224"/>
    </row>
    <row r="18" spans="1:9" ht="38.1" customHeight="1">
      <c r="A18" s="314" t="s">
        <v>738</v>
      </c>
      <c r="B18" s="259">
        <v>16</v>
      </c>
      <c r="C18" s="243">
        <v>0.58333333333333504</v>
      </c>
      <c r="D18" s="243" t="s">
        <v>729</v>
      </c>
      <c r="E18" s="280"/>
      <c r="F18" s="349" t="s">
        <v>835</v>
      </c>
      <c r="G18" s="274"/>
      <c r="H18" s="350" t="s">
        <v>836</v>
      </c>
      <c r="I18" s="281"/>
    </row>
    <row r="19" spans="1:9" ht="38.1" customHeight="1">
      <c r="A19" s="315" t="s">
        <v>775</v>
      </c>
      <c r="B19" s="262">
        <v>17</v>
      </c>
      <c r="C19" s="263">
        <v>0.59722222222222399</v>
      </c>
      <c r="D19" s="298" t="s">
        <v>837</v>
      </c>
      <c r="E19" s="282"/>
      <c r="F19" s="349" t="s">
        <v>838</v>
      </c>
      <c r="G19" s="283"/>
      <c r="H19" s="350" t="s">
        <v>839</v>
      </c>
      <c r="I19" s="281"/>
    </row>
    <row r="20" spans="1:9" ht="38.1" customHeight="1">
      <c r="A20" s="320" t="s">
        <v>722</v>
      </c>
      <c r="B20" s="293">
        <v>18</v>
      </c>
      <c r="C20" s="286">
        <v>0.61111111111111305</v>
      </c>
      <c r="D20" s="294" t="s">
        <v>840</v>
      </c>
      <c r="E20" s="282"/>
      <c r="F20" s="349" t="s">
        <v>841</v>
      </c>
      <c r="G20" s="283"/>
      <c r="H20" s="350" t="s">
        <v>842</v>
      </c>
      <c r="I20" s="281"/>
    </row>
    <row r="21" spans="1:9" ht="38.1" customHeight="1">
      <c r="A21" s="299" t="s">
        <v>782</v>
      </c>
      <c r="B21" s="316">
        <v>19</v>
      </c>
      <c r="C21" s="298">
        <v>0.625000000000002</v>
      </c>
      <c r="D21" s="298" t="s">
        <v>843</v>
      </c>
      <c r="E21" s="257"/>
      <c r="F21" s="349" t="s">
        <v>844</v>
      </c>
      <c r="G21" s="258"/>
      <c r="H21" s="350" t="s">
        <v>845</v>
      </c>
      <c r="I21" s="257"/>
    </row>
    <row r="22" spans="1:9" ht="38.1" customHeight="1">
      <c r="A22" s="295" t="s">
        <v>722</v>
      </c>
      <c r="B22" s="293">
        <v>20</v>
      </c>
      <c r="C22" s="294">
        <v>0.63888888888889095</v>
      </c>
      <c r="D22" s="294" t="s">
        <v>846</v>
      </c>
      <c r="E22" s="257"/>
      <c r="F22" s="349" t="s">
        <v>847</v>
      </c>
      <c r="G22" s="258"/>
      <c r="H22" s="350" t="s">
        <v>848</v>
      </c>
      <c r="I22" s="257"/>
    </row>
    <row r="23" spans="1:9" ht="38.1" customHeight="1">
      <c r="A23" s="299" t="s">
        <v>849</v>
      </c>
      <c r="B23" s="262">
        <v>21</v>
      </c>
      <c r="C23" s="298">
        <v>0.65277777777778001</v>
      </c>
      <c r="D23" s="298" t="s">
        <v>850</v>
      </c>
      <c r="E23" s="257"/>
      <c r="F23" s="349" t="s">
        <v>851</v>
      </c>
      <c r="G23" s="258"/>
      <c r="H23" s="350" t="s">
        <v>852</v>
      </c>
      <c r="I23" s="257"/>
    </row>
    <row r="24" spans="1:9" ht="38.1" customHeight="1">
      <c r="A24" s="295" t="s">
        <v>793</v>
      </c>
      <c r="B24" s="293">
        <v>22</v>
      </c>
      <c r="C24" s="294">
        <v>0.66666666666666896</v>
      </c>
      <c r="D24" s="294" t="s">
        <v>853</v>
      </c>
      <c r="E24" s="257"/>
      <c r="F24" s="349" t="s">
        <v>854</v>
      </c>
      <c r="G24" s="258"/>
      <c r="H24" s="350" t="s">
        <v>855</v>
      </c>
      <c r="I24" s="257"/>
    </row>
    <row r="25" spans="1:9" ht="38.1" customHeight="1">
      <c r="A25" s="317" t="s">
        <v>856</v>
      </c>
      <c r="B25" s="318">
        <v>23</v>
      </c>
      <c r="C25" s="319">
        <v>0.68055555555555802</v>
      </c>
      <c r="D25" s="319" t="s">
        <v>857</v>
      </c>
      <c r="E25" s="257"/>
      <c r="F25" s="349" t="s">
        <v>858</v>
      </c>
      <c r="G25" s="258"/>
      <c r="H25" s="350" t="s">
        <v>859</v>
      </c>
      <c r="I25" s="257"/>
    </row>
    <row r="26" spans="1:9" ht="39.950000000000003" customHeight="1">
      <c r="A26" s="257"/>
      <c r="B26" s="276">
        <v>24</v>
      </c>
      <c r="C26" s="256">
        <v>0.69444444444444797</v>
      </c>
      <c r="D26" s="256"/>
      <c r="E26" s="257"/>
      <c r="F26" s="275"/>
      <c r="G26" s="258"/>
      <c r="H26" s="275"/>
      <c r="I26" s="257"/>
    </row>
    <row r="27" spans="1:9" ht="39.950000000000003" customHeight="1">
      <c r="A27" s="257"/>
      <c r="B27" s="250">
        <v>25</v>
      </c>
      <c r="C27" s="256">
        <v>0.70833333333333703</v>
      </c>
      <c r="D27" s="256"/>
      <c r="E27" s="257"/>
      <c r="F27" s="275"/>
      <c r="G27" s="258"/>
      <c r="H27" s="275"/>
      <c r="I27" s="257"/>
    </row>
    <row r="28" spans="1:9" ht="39.950000000000003" customHeight="1">
      <c r="A28" s="238"/>
      <c r="B28" s="239"/>
      <c r="C28" s="239"/>
      <c r="D28" s="239"/>
      <c r="E28" s="238"/>
      <c r="F28" s="240"/>
      <c r="G28" s="238"/>
      <c r="H28" s="241"/>
      <c r="I28" s="238"/>
    </row>
  </sheetData>
  <mergeCells count="1">
    <mergeCell ref="A1:I1"/>
  </mergeCells>
  <phoneticPr fontId="1" type="noConversion"/>
  <pageMargins left="0.25" right="0.25" top="0.75" bottom="0.75" header="0.3" footer="0.3"/>
  <pageSetup scale="52" orientation="landscape" r:id="rId1"/>
  <headerFooter>
    <oddHeader>&amp;L&amp;"Aptos Narrow (Body),Regular"&amp;22Saturday, August 8th, 2025 - NFA #1&amp;C&amp;"System Font,Regular"&amp;20&amp;K000000SAN DIEGO FOOTVOLLEY OPEN
2025 NFA TOUR - SAN DIEGO,CA&amp;R&amp;"Aptos Narrow (Body),Regular"&amp;24COURT 2</oddHeader>
  </headerFooter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F928-F132-1E4E-899F-2881C14A3F13}">
  <sheetPr codeName="Sheet43">
    <pageSetUpPr fitToPage="1"/>
  </sheetPr>
  <dimension ref="A1:I27"/>
  <sheetViews>
    <sheetView workbookViewId="0">
      <selection sqref="A1:I1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50" style="34" customWidth="1"/>
    <col min="9" max="9" width="41.710937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08" t="s">
        <v>412</v>
      </c>
      <c r="B1" s="609"/>
      <c r="C1" s="609"/>
      <c r="D1" s="609"/>
      <c r="E1" s="609"/>
      <c r="F1" s="609"/>
      <c r="G1" s="609"/>
      <c r="H1" s="609"/>
      <c r="I1" s="610"/>
    </row>
    <row r="2" spans="1:9" ht="39.950000000000003" customHeight="1">
      <c r="A2" s="222" t="s">
        <v>378</v>
      </c>
      <c r="B2" s="202" t="s">
        <v>379</v>
      </c>
      <c r="C2" s="355" t="s">
        <v>719</v>
      </c>
      <c r="D2" s="202" t="s">
        <v>720</v>
      </c>
      <c r="E2" s="202" t="s">
        <v>381</v>
      </c>
      <c r="F2" s="202" t="s">
        <v>382</v>
      </c>
      <c r="G2" s="202" t="s">
        <v>195</v>
      </c>
      <c r="H2" s="202" t="s">
        <v>383</v>
      </c>
      <c r="I2" s="223" t="s">
        <v>721</v>
      </c>
    </row>
    <row r="3" spans="1:9" ht="38.1" customHeight="1">
      <c r="A3" s="328" t="s">
        <v>722</v>
      </c>
      <c r="B3" s="329">
        <v>1</v>
      </c>
      <c r="C3" s="330">
        <v>0.375</v>
      </c>
      <c r="D3" s="330" t="s">
        <v>749</v>
      </c>
      <c r="E3" s="270"/>
      <c r="F3" s="338" t="s">
        <v>860</v>
      </c>
      <c r="G3" s="271"/>
      <c r="H3" s="338" t="s">
        <v>861</v>
      </c>
      <c r="I3" s="331"/>
    </row>
    <row r="4" spans="1:9" ht="38.1" customHeight="1">
      <c r="A4" s="328" t="s">
        <v>722</v>
      </c>
      <c r="B4" s="264">
        <v>2</v>
      </c>
      <c r="C4" s="218">
        <v>0.38888888888888901</v>
      </c>
      <c r="D4" s="218" t="s">
        <v>857</v>
      </c>
      <c r="E4" s="252"/>
      <c r="F4" s="217" t="s">
        <v>862</v>
      </c>
      <c r="G4" s="253"/>
      <c r="H4" s="217" t="s">
        <v>863</v>
      </c>
      <c r="I4" s="332"/>
    </row>
    <row r="5" spans="1:9" ht="38.1" customHeight="1">
      <c r="A5" s="328" t="s">
        <v>722</v>
      </c>
      <c r="B5" s="264">
        <v>3</v>
      </c>
      <c r="C5" s="218">
        <v>0.40277777777777801</v>
      </c>
      <c r="D5" s="218" t="s">
        <v>864</v>
      </c>
      <c r="E5" s="252"/>
      <c r="F5" s="350" t="s">
        <v>865</v>
      </c>
      <c r="G5" s="253"/>
      <c r="H5" s="217" t="s">
        <v>866</v>
      </c>
      <c r="I5" s="332"/>
    </row>
    <row r="6" spans="1:9" ht="38.1" customHeight="1">
      <c r="A6" s="328" t="s">
        <v>722</v>
      </c>
      <c r="B6" s="264">
        <v>4</v>
      </c>
      <c r="C6" s="218">
        <v>0.41666666666666702</v>
      </c>
      <c r="D6" s="218" t="s">
        <v>821</v>
      </c>
      <c r="E6" s="252"/>
      <c r="F6" s="217" t="s">
        <v>867</v>
      </c>
      <c r="G6" s="253"/>
      <c r="H6" s="217" t="s">
        <v>868</v>
      </c>
      <c r="I6" s="332"/>
    </row>
    <row r="7" spans="1:9" ht="38.1" customHeight="1">
      <c r="A7" s="328" t="s">
        <v>722</v>
      </c>
      <c r="B7" s="264">
        <v>5</v>
      </c>
      <c r="C7" s="218">
        <v>0.43055555555555602</v>
      </c>
      <c r="D7" s="218" t="s">
        <v>832</v>
      </c>
      <c r="E7" s="252"/>
      <c r="F7" s="217" t="s">
        <v>869</v>
      </c>
      <c r="G7" s="253"/>
      <c r="H7" s="217" t="s">
        <v>870</v>
      </c>
      <c r="I7" s="332"/>
    </row>
    <row r="8" spans="1:9" ht="38.1" customHeight="1">
      <c r="A8" s="334" t="s">
        <v>738</v>
      </c>
      <c r="B8" s="259">
        <v>6</v>
      </c>
      <c r="C8" s="243">
        <v>0.44444444444444398</v>
      </c>
      <c r="D8" s="243" t="s">
        <v>723</v>
      </c>
      <c r="E8" s="252"/>
      <c r="F8" s="265" t="s">
        <v>763</v>
      </c>
      <c r="G8" s="253"/>
      <c r="H8" s="265" t="s">
        <v>871</v>
      </c>
      <c r="I8" s="352" t="s">
        <v>765</v>
      </c>
    </row>
    <row r="9" spans="1:9" ht="38.1" customHeight="1">
      <c r="A9" s="328" t="s">
        <v>722</v>
      </c>
      <c r="B9" s="264">
        <v>7</v>
      </c>
      <c r="C9" s="218">
        <v>0.45833333333333298</v>
      </c>
      <c r="D9" s="218" t="s">
        <v>872</v>
      </c>
      <c r="E9" s="252"/>
      <c r="F9" s="350" t="s">
        <v>873</v>
      </c>
      <c r="G9" s="253"/>
      <c r="H9" s="350" t="s">
        <v>874</v>
      </c>
      <c r="I9" s="273"/>
    </row>
    <row r="10" spans="1:9" ht="38.1" customHeight="1">
      <c r="A10" s="328" t="s">
        <v>722</v>
      </c>
      <c r="B10" s="264">
        <v>8</v>
      </c>
      <c r="C10" s="218">
        <v>0.47222222222222199</v>
      </c>
      <c r="D10" s="218" t="s">
        <v>875</v>
      </c>
      <c r="E10" s="252"/>
      <c r="F10" s="350" t="s">
        <v>876</v>
      </c>
      <c r="G10" s="253"/>
      <c r="H10" s="350" t="s">
        <v>877</v>
      </c>
      <c r="I10" s="273"/>
    </row>
    <row r="11" spans="1:9" ht="38.1" customHeight="1">
      <c r="A11" s="334" t="s">
        <v>738</v>
      </c>
      <c r="B11" s="259">
        <v>9</v>
      </c>
      <c r="C11" s="243">
        <v>0.48611111111111099</v>
      </c>
      <c r="D11" s="243" t="s">
        <v>818</v>
      </c>
      <c r="E11" s="252"/>
      <c r="F11" s="265" t="s">
        <v>878</v>
      </c>
      <c r="G11" s="253"/>
      <c r="H11" s="265" t="s">
        <v>741</v>
      </c>
      <c r="I11" s="352" t="s">
        <v>742</v>
      </c>
    </row>
    <row r="12" spans="1:9" ht="38.1" customHeight="1">
      <c r="A12" s="328" t="s">
        <v>722</v>
      </c>
      <c r="B12" s="264">
        <v>10</v>
      </c>
      <c r="C12" s="218">
        <v>0.5</v>
      </c>
      <c r="D12" s="218" t="s">
        <v>879</v>
      </c>
      <c r="E12" s="252"/>
      <c r="F12" s="350" t="s">
        <v>829</v>
      </c>
      <c r="G12" s="253"/>
      <c r="H12" s="350" t="s">
        <v>880</v>
      </c>
      <c r="I12" s="254"/>
    </row>
    <row r="13" spans="1:9" ht="38.1" customHeight="1">
      <c r="A13" s="335" t="s">
        <v>775</v>
      </c>
      <c r="B13" s="336">
        <v>11</v>
      </c>
      <c r="C13" s="337">
        <v>0.51388888888888995</v>
      </c>
      <c r="D13" s="337" t="s">
        <v>881</v>
      </c>
      <c r="E13" s="248"/>
      <c r="F13" s="350" t="s">
        <v>882</v>
      </c>
      <c r="G13" s="274"/>
      <c r="H13" s="350" t="s">
        <v>883</v>
      </c>
      <c r="I13" s="249"/>
    </row>
    <row r="14" spans="1:9" ht="38.1" customHeight="1">
      <c r="A14" s="333" t="s">
        <v>722</v>
      </c>
      <c r="B14" s="264">
        <v>12</v>
      </c>
      <c r="C14" s="218">
        <v>0.52777777777777202</v>
      </c>
      <c r="D14" s="218" t="s">
        <v>884</v>
      </c>
      <c r="E14" s="252"/>
      <c r="F14" s="350" t="s">
        <v>885</v>
      </c>
      <c r="G14" s="253"/>
      <c r="H14" s="350" t="s">
        <v>886</v>
      </c>
      <c r="I14" s="254"/>
    </row>
    <row r="15" spans="1:9" ht="38.1" customHeight="1">
      <c r="A15" s="334" t="s">
        <v>738</v>
      </c>
      <c r="B15" s="259">
        <v>13</v>
      </c>
      <c r="C15" s="243">
        <v>0.54166666666665997</v>
      </c>
      <c r="D15" s="243" t="s">
        <v>821</v>
      </c>
      <c r="E15" s="252"/>
      <c r="F15" s="265" t="s">
        <v>750</v>
      </c>
      <c r="G15" s="253"/>
      <c r="H15" s="265" t="s">
        <v>887</v>
      </c>
      <c r="I15" s="352" t="s">
        <v>752</v>
      </c>
    </row>
    <row r="16" spans="1:9" ht="38.1" customHeight="1">
      <c r="A16" s="333" t="s">
        <v>722</v>
      </c>
      <c r="B16" s="264">
        <v>14</v>
      </c>
      <c r="C16" s="218">
        <v>0.55555555555554803</v>
      </c>
      <c r="D16" s="218" t="s">
        <v>888</v>
      </c>
      <c r="E16" s="252"/>
      <c r="F16" s="350" t="s">
        <v>889</v>
      </c>
      <c r="G16" s="253"/>
      <c r="H16" s="350" t="s">
        <v>890</v>
      </c>
      <c r="I16" s="254"/>
    </row>
    <row r="17" spans="1:9" ht="38.1" customHeight="1">
      <c r="A17" s="221" t="s">
        <v>722</v>
      </c>
      <c r="B17" s="264">
        <v>15</v>
      </c>
      <c r="C17" s="218">
        <v>0.56944444444443598</v>
      </c>
      <c r="D17" s="218" t="s">
        <v>891</v>
      </c>
      <c r="E17" s="280"/>
      <c r="F17" s="350" t="s">
        <v>892</v>
      </c>
      <c r="G17" s="274"/>
      <c r="H17" s="350" t="s">
        <v>893</v>
      </c>
      <c r="I17" s="281"/>
    </row>
    <row r="18" spans="1:9" ht="38.1" customHeight="1">
      <c r="A18" s="314" t="s">
        <v>738</v>
      </c>
      <c r="B18" s="259">
        <v>16</v>
      </c>
      <c r="C18" s="243">
        <v>0.58333333333332305</v>
      </c>
      <c r="D18" s="243" t="s">
        <v>824</v>
      </c>
      <c r="E18" s="280"/>
      <c r="F18" s="350" t="s">
        <v>894</v>
      </c>
      <c r="G18" s="274"/>
      <c r="H18" s="350" t="s">
        <v>895</v>
      </c>
      <c r="I18" s="281"/>
    </row>
    <row r="19" spans="1:9" ht="38.1" customHeight="1">
      <c r="A19" s="315" t="s">
        <v>775</v>
      </c>
      <c r="B19" s="262">
        <v>17</v>
      </c>
      <c r="C19" s="263">
        <v>0.597222222222211</v>
      </c>
      <c r="D19" s="298" t="s">
        <v>896</v>
      </c>
      <c r="E19" s="282"/>
      <c r="F19" s="350" t="s">
        <v>897</v>
      </c>
      <c r="G19" s="283"/>
      <c r="H19" s="350" t="s">
        <v>898</v>
      </c>
      <c r="I19" s="281"/>
    </row>
    <row r="20" spans="1:9" ht="38.1" customHeight="1">
      <c r="A20" s="314" t="s">
        <v>738</v>
      </c>
      <c r="B20" s="259">
        <v>18</v>
      </c>
      <c r="C20" s="243">
        <v>0.61111111111109895</v>
      </c>
      <c r="D20" s="260" t="s">
        <v>832</v>
      </c>
      <c r="E20" s="282"/>
      <c r="F20" s="350" t="s">
        <v>899</v>
      </c>
      <c r="G20" s="283"/>
      <c r="H20" s="350" t="s">
        <v>829</v>
      </c>
      <c r="I20" s="281"/>
    </row>
    <row r="21" spans="1:9" ht="38.1" customHeight="1">
      <c r="A21" s="261" t="s">
        <v>900</v>
      </c>
      <c r="B21" s="259">
        <v>19</v>
      </c>
      <c r="C21" s="260">
        <v>0.62499999999998701</v>
      </c>
      <c r="D21" s="260" t="s">
        <v>798</v>
      </c>
      <c r="E21" s="257"/>
      <c r="F21" s="350" t="s">
        <v>831</v>
      </c>
      <c r="G21" s="258"/>
      <c r="H21" s="350" t="s">
        <v>799</v>
      </c>
      <c r="I21" s="257"/>
    </row>
    <row r="22" spans="1:9" ht="38.1" customHeight="1">
      <c r="A22" s="196" t="s">
        <v>900</v>
      </c>
      <c r="B22" s="194">
        <v>20</v>
      </c>
      <c r="C22" s="197">
        <v>0.63888888888887496</v>
      </c>
      <c r="D22" s="197" t="s">
        <v>901</v>
      </c>
      <c r="E22" s="236"/>
      <c r="F22" s="350" t="s">
        <v>755</v>
      </c>
      <c r="G22" s="247"/>
      <c r="H22" s="350" t="s">
        <v>902</v>
      </c>
      <c r="I22" s="236"/>
    </row>
    <row r="23" spans="1:9" ht="38.1" customHeight="1">
      <c r="A23" s="196" t="s">
        <v>903</v>
      </c>
      <c r="B23" s="194">
        <v>21</v>
      </c>
      <c r="C23" s="197">
        <v>0.65277777777776302</v>
      </c>
      <c r="D23" s="197" t="s">
        <v>904</v>
      </c>
      <c r="E23" s="236"/>
      <c r="F23" s="350" t="s">
        <v>905</v>
      </c>
      <c r="G23" s="247"/>
      <c r="H23" s="350" t="s">
        <v>906</v>
      </c>
      <c r="I23" s="236"/>
    </row>
    <row r="24" spans="1:9" ht="38.1" customHeight="1">
      <c r="A24" s="236"/>
      <c r="B24" s="242">
        <v>22</v>
      </c>
      <c r="C24" s="237">
        <v>0.66666666666665098</v>
      </c>
      <c r="D24" s="237"/>
      <c r="E24" s="236"/>
      <c r="F24" s="323"/>
      <c r="G24" s="247"/>
      <c r="H24" s="325"/>
      <c r="I24" s="236"/>
    </row>
    <row r="25" spans="1:9" ht="38.1" customHeight="1">
      <c r="A25" s="236"/>
      <c r="B25" s="242">
        <v>23</v>
      </c>
      <c r="C25" s="237">
        <v>0.68055555555553904</v>
      </c>
      <c r="D25" s="237"/>
      <c r="E25" s="236"/>
      <c r="F25" s="323"/>
      <c r="G25" s="247"/>
      <c r="H25" s="325"/>
      <c r="I25" s="236"/>
    </row>
    <row r="26" spans="1:9" ht="39.950000000000003" customHeight="1">
      <c r="A26" s="236"/>
      <c r="B26" s="242">
        <v>24</v>
      </c>
      <c r="C26" s="237">
        <v>0.69444444444442699</v>
      </c>
      <c r="D26" s="237"/>
      <c r="E26" s="236"/>
      <c r="F26" s="323"/>
      <c r="G26" s="247"/>
      <c r="H26" s="325"/>
      <c r="I26" s="236"/>
    </row>
    <row r="27" spans="1:9" ht="39.950000000000003" customHeight="1">
      <c r="A27" s="238"/>
      <c r="B27" s="242">
        <v>25</v>
      </c>
      <c r="C27" s="239">
        <v>0.70833333333331505</v>
      </c>
      <c r="D27" s="239"/>
      <c r="E27" s="238"/>
      <c r="F27" s="324"/>
      <c r="G27" s="327"/>
      <c r="H27" s="326"/>
      <c r="I27" s="238"/>
    </row>
  </sheetData>
  <mergeCells count="1">
    <mergeCell ref="A1:I1"/>
  </mergeCells>
  <pageMargins left="0.25" right="0.25" top="0.75" bottom="0.75" header="0.3" footer="0.3"/>
  <pageSetup scale="52" orientation="landscape" r:id="rId1"/>
  <headerFooter>
    <oddHeader>&amp;L&amp;"Aptos Narrow (Body),Regular"&amp;22Saturday, August 8th, 2025 - NFA #1&amp;C&amp;"System Font,Regular"&amp;20&amp;K000000SAN DIEGO FOOTVOLLEY OPEN
2025 NFA TOUR - SAN DIEGO,CA&amp;R&amp;"Aptos Narrow (Body),Regular"&amp;24COURT 3</oddHeader>
  </headerFooter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9E91-5B0F-8949-BDF9-DC7FFA5BD723}">
  <sheetPr codeName="Sheet44">
    <pageSetUpPr fitToPage="1"/>
  </sheetPr>
  <dimension ref="A1:I27"/>
  <sheetViews>
    <sheetView workbookViewId="0">
      <selection sqref="A1:I1"/>
    </sheetView>
    <sheetView workbookViewId="1">
      <selection sqref="A1:I1"/>
    </sheetView>
  </sheetViews>
  <sheetFormatPr defaultColWidth="8.85546875" defaultRowHeight="39.950000000000003" customHeight="1"/>
  <cols>
    <col min="1" max="1" width="14.140625" style="33" bestFit="1" customWidth="1"/>
    <col min="2" max="2" width="14.85546875" style="33" customWidth="1"/>
    <col min="3" max="3" width="13.28515625" style="33" customWidth="1"/>
    <col min="4" max="4" width="15.42578125" style="33" customWidth="1"/>
    <col min="5" max="5" width="14" style="33" customWidth="1"/>
    <col min="6" max="6" width="50" style="33" customWidth="1"/>
    <col min="7" max="7" width="25" style="33" customWidth="1"/>
    <col min="8" max="8" width="50" style="34" customWidth="1"/>
    <col min="9" max="9" width="41.7109375" style="34" customWidth="1"/>
    <col min="10" max="11" width="14.85546875" style="34" bestFit="1" customWidth="1"/>
    <col min="12" max="12" width="12.140625" style="34" bestFit="1" customWidth="1"/>
    <col min="13" max="13" width="9.7109375" style="34" bestFit="1" customWidth="1"/>
    <col min="14" max="16384" width="8.85546875" style="34"/>
  </cols>
  <sheetData>
    <row r="1" spans="1:9" ht="39.950000000000003" customHeight="1">
      <c r="A1" s="614" t="s">
        <v>416</v>
      </c>
      <c r="B1" s="615"/>
      <c r="C1" s="615"/>
      <c r="D1" s="615"/>
      <c r="E1" s="615"/>
      <c r="F1" s="615"/>
      <c r="G1" s="615"/>
      <c r="H1" s="615"/>
      <c r="I1" s="616"/>
    </row>
    <row r="2" spans="1:9" ht="39.950000000000003" customHeight="1">
      <c r="A2" s="219" t="s">
        <v>378</v>
      </c>
      <c r="B2" s="216" t="s">
        <v>379</v>
      </c>
      <c r="C2" s="356" t="s">
        <v>907</v>
      </c>
      <c r="D2" s="216" t="s">
        <v>720</v>
      </c>
      <c r="E2" s="216" t="s">
        <v>381</v>
      </c>
      <c r="F2" s="216" t="s">
        <v>382</v>
      </c>
      <c r="G2" s="216" t="s">
        <v>195</v>
      </c>
      <c r="H2" s="216" t="s">
        <v>383</v>
      </c>
      <c r="I2" s="220" t="s">
        <v>721</v>
      </c>
    </row>
    <row r="3" spans="1:9" ht="38.1" customHeight="1">
      <c r="A3" s="284" t="s">
        <v>722</v>
      </c>
      <c r="B3" s="285">
        <v>1</v>
      </c>
      <c r="C3" s="286">
        <v>0.375</v>
      </c>
      <c r="D3" s="286" t="s">
        <v>908</v>
      </c>
      <c r="E3" s="275"/>
      <c r="F3" s="287" t="s">
        <v>909</v>
      </c>
      <c r="G3" s="339"/>
      <c r="H3" s="287" t="s">
        <v>910</v>
      </c>
      <c r="I3" s="340"/>
    </row>
    <row r="4" spans="1:9" ht="38.1" customHeight="1">
      <c r="A4" s="341" t="s">
        <v>722</v>
      </c>
      <c r="B4" s="293">
        <v>2</v>
      </c>
      <c r="C4" s="286">
        <v>0.38888888888888901</v>
      </c>
      <c r="D4" s="286" t="s">
        <v>911</v>
      </c>
      <c r="E4" s="252"/>
      <c r="F4" s="287" t="s">
        <v>912</v>
      </c>
      <c r="G4" s="253"/>
      <c r="H4" s="287" t="s">
        <v>913</v>
      </c>
      <c r="I4" s="273"/>
    </row>
    <row r="5" spans="1:9" ht="38.1" customHeight="1">
      <c r="A5" s="334" t="s">
        <v>738</v>
      </c>
      <c r="B5" s="259">
        <v>3</v>
      </c>
      <c r="C5" s="243">
        <v>0.40277777777777801</v>
      </c>
      <c r="D5" s="243" t="s">
        <v>810</v>
      </c>
      <c r="E5" s="252"/>
      <c r="F5" s="265" t="s">
        <v>764</v>
      </c>
      <c r="G5" s="253"/>
      <c r="H5" s="265" t="s">
        <v>871</v>
      </c>
      <c r="I5" s="352" t="s">
        <v>765</v>
      </c>
    </row>
    <row r="6" spans="1:9" ht="38.1" customHeight="1">
      <c r="A6" s="341" t="s">
        <v>722</v>
      </c>
      <c r="B6" s="293">
        <v>4</v>
      </c>
      <c r="C6" s="286">
        <v>0.41666666666666702</v>
      </c>
      <c r="D6" s="286" t="s">
        <v>772</v>
      </c>
      <c r="E6" s="252"/>
      <c r="F6" s="287" t="s">
        <v>914</v>
      </c>
      <c r="G6" s="253"/>
      <c r="H6" s="351" t="s">
        <v>915</v>
      </c>
      <c r="I6" s="273"/>
    </row>
    <row r="7" spans="1:9" ht="38.1" customHeight="1">
      <c r="A7" s="341" t="s">
        <v>722</v>
      </c>
      <c r="B7" s="293">
        <v>5</v>
      </c>
      <c r="C7" s="286">
        <v>0.43055555555555602</v>
      </c>
      <c r="D7" s="286" t="s">
        <v>916</v>
      </c>
      <c r="E7" s="252"/>
      <c r="F7" s="287" t="s">
        <v>917</v>
      </c>
      <c r="G7" s="253"/>
      <c r="H7" s="351" t="s">
        <v>918</v>
      </c>
      <c r="I7" s="273"/>
    </row>
    <row r="8" spans="1:9" ht="38.1" customHeight="1">
      <c r="A8" s="334" t="s">
        <v>738</v>
      </c>
      <c r="B8" s="259">
        <v>6</v>
      </c>
      <c r="C8" s="243">
        <v>0.44444444444444398</v>
      </c>
      <c r="D8" s="243" t="s">
        <v>815</v>
      </c>
      <c r="E8" s="252"/>
      <c r="F8" s="265" t="s">
        <v>887</v>
      </c>
      <c r="G8" s="253"/>
      <c r="H8" s="265" t="s">
        <v>751</v>
      </c>
      <c r="I8" s="352" t="s">
        <v>752</v>
      </c>
    </row>
    <row r="9" spans="1:9" ht="38.1" customHeight="1">
      <c r="A9" s="341" t="s">
        <v>722</v>
      </c>
      <c r="B9" s="293">
        <v>7</v>
      </c>
      <c r="C9" s="286">
        <v>0.45833333333333298</v>
      </c>
      <c r="D9" s="286" t="s">
        <v>919</v>
      </c>
      <c r="E9" s="252"/>
      <c r="F9" s="351" t="s">
        <v>920</v>
      </c>
      <c r="G9" s="253"/>
      <c r="H9" s="351" t="s">
        <v>921</v>
      </c>
      <c r="I9" s="273"/>
    </row>
    <row r="10" spans="1:9" ht="38.1" customHeight="1">
      <c r="A10" s="341" t="s">
        <v>722</v>
      </c>
      <c r="B10" s="293">
        <v>8</v>
      </c>
      <c r="C10" s="286">
        <v>0.47222222222222199</v>
      </c>
      <c r="D10" s="286" t="s">
        <v>922</v>
      </c>
      <c r="E10" s="252"/>
      <c r="F10" s="351" t="s">
        <v>923</v>
      </c>
      <c r="G10" s="253"/>
      <c r="H10" s="351" t="s">
        <v>924</v>
      </c>
      <c r="I10" s="273"/>
    </row>
    <row r="11" spans="1:9" ht="38.1" customHeight="1">
      <c r="A11" s="341" t="s">
        <v>722</v>
      </c>
      <c r="B11" s="293">
        <v>9</v>
      </c>
      <c r="C11" s="286">
        <v>0.48611111111111099</v>
      </c>
      <c r="D11" s="286" t="s">
        <v>925</v>
      </c>
      <c r="E11" s="252"/>
      <c r="F11" s="351" t="s">
        <v>926</v>
      </c>
      <c r="G11" s="253"/>
      <c r="H11" s="351" t="s">
        <v>927</v>
      </c>
      <c r="I11" s="273"/>
    </row>
    <row r="12" spans="1:9" ht="38.1" customHeight="1">
      <c r="A12" s="341" t="s">
        <v>722</v>
      </c>
      <c r="B12" s="293">
        <v>10</v>
      </c>
      <c r="C12" s="286">
        <v>0.5</v>
      </c>
      <c r="D12" s="286" t="s">
        <v>928</v>
      </c>
      <c r="E12" s="252"/>
      <c r="F12" s="351" t="s">
        <v>902</v>
      </c>
      <c r="G12" s="253"/>
      <c r="H12" s="351" t="s">
        <v>929</v>
      </c>
      <c r="I12" s="254"/>
    </row>
    <row r="13" spans="1:9" ht="38.1" customHeight="1">
      <c r="A13" s="335" t="s">
        <v>775</v>
      </c>
      <c r="B13" s="336">
        <v>11</v>
      </c>
      <c r="C13" s="337">
        <v>0.51388888888888995</v>
      </c>
      <c r="D13" s="337" t="s">
        <v>930</v>
      </c>
      <c r="E13" s="248"/>
      <c r="F13" s="351" t="s">
        <v>931</v>
      </c>
      <c r="G13" s="274"/>
      <c r="H13" s="351" t="s">
        <v>932</v>
      </c>
      <c r="I13" s="249"/>
    </row>
    <row r="14" spans="1:9" ht="38.1" customHeight="1">
      <c r="A14" s="341" t="s">
        <v>722</v>
      </c>
      <c r="B14" s="293">
        <v>12</v>
      </c>
      <c r="C14" s="286">
        <v>0.52777777777777801</v>
      </c>
      <c r="D14" s="286" t="s">
        <v>933</v>
      </c>
      <c r="E14" s="252"/>
      <c r="F14" s="351" t="s">
        <v>934</v>
      </c>
      <c r="G14" s="253"/>
      <c r="H14" s="351" t="s">
        <v>935</v>
      </c>
      <c r="I14" s="254"/>
    </row>
    <row r="15" spans="1:9" ht="38.1" customHeight="1">
      <c r="A15" s="334" t="s">
        <v>738</v>
      </c>
      <c r="B15" s="259">
        <v>13</v>
      </c>
      <c r="C15" s="243">
        <v>0.54166666666666696</v>
      </c>
      <c r="D15" s="243" t="s">
        <v>820</v>
      </c>
      <c r="E15" s="252"/>
      <c r="F15" s="265" t="s">
        <v>878</v>
      </c>
      <c r="G15" s="253"/>
      <c r="H15" s="265" t="s">
        <v>740</v>
      </c>
      <c r="I15" s="352" t="s">
        <v>742</v>
      </c>
    </row>
    <row r="16" spans="1:9" ht="38.1" customHeight="1">
      <c r="A16" s="341" t="s">
        <v>722</v>
      </c>
      <c r="B16" s="293">
        <v>14</v>
      </c>
      <c r="C16" s="286">
        <v>0.55555555555555602</v>
      </c>
      <c r="D16" s="286" t="s">
        <v>936</v>
      </c>
      <c r="E16" s="252"/>
      <c r="F16" s="351" t="s">
        <v>937</v>
      </c>
      <c r="G16" s="253"/>
      <c r="H16" s="351" t="s">
        <v>938</v>
      </c>
      <c r="I16" s="254"/>
    </row>
    <row r="17" spans="1:9" ht="38.1" customHeight="1">
      <c r="A17" s="284" t="s">
        <v>722</v>
      </c>
      <c r="B17" s="293">
        <v>15</v>
      </c>
      <c r="C17" s="286">
        <v>0.56944444444444497</v>
      </c>
      <c r="D17" s="286" t="s">
        <v>939</v>
      </c>
      <c r="E17" s="280"/>
      <c r="F17" s="351" t="s">
        <v>940</v>
      </c>
      <c r="G17" s="274"/>
      <c r="H17" s="351" t="s">
        <v>941</v>
      </c>
      <c r="I17" s="281"/>
    </row>
    <row r="18" spans="1:9" ht="38.1" customHeight="1">
      <c r="A18" s="314" t="s">
        <v>738</v>
      </c>
      <c r="B18" s="259">
        <v>16</v>
      </c>
      <c r="C18" s="243">
        <v>0.58333333333333404</v>
      </c>
      <c r="D18" s="243" t="s">
        <v>827</v>
      </c>
      <c r="E18" s="280"/>
      <c r="F18" s="351" t="s">
        <v>942</v>
      </c>
      <c r="G18" s="274"/>
      <c r="H18" s="351" t="s">
        <v>943</v>
      </c>
      <c r="I18" s="281"/>
    </row>
    <row r="19" spans="1:9" ht="38.1" customHeight="1">
      <c r="A19" s="315" t="s">
        <v>775</v>
      </c>
      <c r="B19" s="262">
        <v>17</v>
      </c>
      <c r="C19" s="263">
        <v>0.59722222222222299</v>
      </c>
      <c r="D19" s="298" t="s">
        <v>944</v>
      </c>
      <c r="E19" s="282"/>
      <c r="F19" s="351" t="s">
        <v>945</v>
      </c>
      <c r="G19" s="283"/>
      <c r="H19" s="351" t="s">
        <v>946</v>
      </c>
      <c r="I19" s="281"/>
    </row>
    <row r="20" spans="1:9" ht="38.1" customHeight="1">
      <c r="A20" s="255"/>
      <c r="B20" s="250">
        <v>18</v>
      </c>
      <c r="C20" s="251">
        <v>0.61111111111111205</v>
      </c>
      <c r="D20" s="256"/>
      <c r="E20" s="282"/>
      <c r="F20" s="275"/>
      <c r="G20" s="283"/>
      <c r="H20" s="275"/>
      <c r="I20" s="281"/>
    </row>
    <row r="21" spans="1:9" ht="38.1" customHeight="1">
      <c r="A21" s="255"/>
      <c r="B21" s="250">
        <v>19</v>
      </c>
      <c r="C21" s="256">
        <v>0.625000000000001</v>
      </c>
      <c r="D21" s="256"/>
      <c r="E21" s="257"/>
      <c r="F21" s="275"/>
      <c r="G21" s="258"/>
      <c r="H21" s="275"/>
      <c r="I21" s="254"/>
    </row>
    <row r="22" spans="1:9" ht="38.1" customHeight="1">
      <c r="A22" s="255"/>
      <c r="B22" s="250">
        <v>20</v>
      </c>
      <c r="C22" s="256">
        <v>0.63888888888888995</v>
      </c>
      <c r="D22" s="256"/>
      <c r="E22" s="257"/>
      <c r="F22" s="275"/>
      <c r="G22" s="258"/>
      <c r="H22" s="275"/>
      <c r="I22" s="254"/>
    </row>
    <row r="23" spans="1:9" ht="38.1" customHeight="1">
      <c r="A23" s="255"/>
      <c r="B23" s="250">
        <v>21</v>
      </c>
      <c r="C23" s="256">
        <v>0.65277777777777901</v>
      </c>
      <c r="D23" s="256"/>
      <c r="E23" s="257"/>
      <c r="F23" s="275"/>
      <c r="G23" s="258"/>
      <c r="H23" s="275"/>
      <c r="I23" s="254"/>
    </row>
    <row r="24" spans="1:9" ht="38.1" customHeight="1">
      <c r="A24" s="255"/>
      <c r="B24" s="250">
        <v>22</v>
      </c>
      <c r="C24" s="256">
        <v>0.66666666666666896</v>
      </c>
      <c r="D24" s="256"/>
      <c r="E24" s="257"/>
      <c r="F24" s="275"/>
      <c r="G24" s="258"/>
      <c r="H24" s="275"/>
      <c r="I24" s="254"/>
    </row>
    <row r="25" spans="1:9" ht="38.1" customHeight="1">
      <c r="A25" s="255"/>
      <c r="B25" s="250">
        <v>23</v>
      </c>
      <c r="C25" s="256">
        <v>0.68055555555555802</v>
      </c>
      <c r="D25" s="256"/>
      <c r="E25" s="257"/>
      <c r="F25" s="275"/>
      <c r="G25" s="258"/>
      <c r="H25" s="275"/>
      <c r="I25" s="254"/>
    </row>
    <row r="26" spans="1:9" ht="39.950000000000003" customHeight="1">
      <c r="A26" s="255"/>
      <c r="B26" s="250">
        <v>24</v>
      </c>
      <c r="C26" s="256">
        <v>0.69444444444444697</v>
      </c>
      <c r="D26" s="256"/>
      <c r="E26" s="257"/>
      <c r="F26" s="275"/>
      <c r="G26" s="258"/>
      <c r="H26" s="275"/>
      <c r="I26" s="254"/>
    </row>
    <row r="27" spans="1:9" ht="39.950000000000003" customHeight="1">
      <c r="A27" s="255"/>
      <c r="B27" s="250">
        <v>25</v>
      </c>
      <c r="C27" s="256">
        <v>0.70833333333333603</v>
      </c>
      <c r="D27" s="256"/>
      <c r="E27" s="257"/>
      <c r="F27" s="275"/>
      <c r="G27" s="258"/>
      <c r="H27" s="275"/>
      <c r="I27" s="254"/>
    </row>
  </sheetData>
  <mergeCells count="1">
    <mergeCell ref="A1:I1"/>
  </mergeCells>
  <pageMargins left="0.25" right="0.25" top="0.75" bottom="0.75" header="0.3" footer="0.3"/>
  <pageSetup scale="52" orientation="landscape" r:id="rId1"/>
  <headerFooter>
    <oddHeader>&amp;L&amp;"Aptos Narrow (Body),Regular"&amp;22Saturday, August 8th, 2025 - NFA #1&amp;C&amp;"Aptos,Regular"&amp;22&amp;K000000SAN DIEGO FOOTVOLLEY OPEN
2025 NFA TOUR - SAN DIEGO,CA&amp;R&amp;"Aptos Narrow (Body),Regular"&amp;24COURT 4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Zahn</dc:creator>
  <cp:keywords/>
  <dc:description/>
  <cp:lastModifiedBy/>
  <cp:revision/>
  <dcterms:created xsi:type="dcterms:W3CDTF">2024-05-28T16:20:37Z</dcterms:created>
  <dcterms:modified xsi:type="dcterms:W3CDTF">2025-10-26T04:22:34Z</dcterms:modified>
  <cp:category/>
  <cp:contentStatus/>
</cp:coreProperties>
</file>