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odrigos\Documents\projects\solar-calc\public\docs\"/>
    </mc:Choice>
  </mc:AlternateContent>
  <bookViews>
    <workbookView xWindow="0" yWindow="0" windowWidth="19200" windowHeight="7155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62" i="1" l="1"/>
  <c r="E154" i="1" l="1"/>
  <c r="E153" i="1"/>
  <c r="E152" i="1"/>
  <c r="E151" i="1"/>
  <c r="E150" i="1"/>
  <c r="F144" i="1"/>
  <c r="J154" i="1" s="1"/>
  <c r="F131" i="1"/>
  <c r="J153" i="1" s="1"/>
  <c r="F127" i="1"/>
  <c r="J152" i="1" s="1"/>
  <c r="F101" i="1"/>
  <c r="N65" i="1"/>
  <c r="M65" i="1"/>
  <c r="L65" i="1"/>
  <c r="K65" i="1"/>
  <c r="J65" i="1"/>
  <c r="I65" i="1"/>
  <c r="H65" i="1"/>
  <c r="G65" i="1"/>
  <c r="F65" i="1"/>
  <c r="E65" i="1"/>
  <c r="D65" i="1"/>
  <c r="C65" i="1"/>
  <c r="C63" i="1"/>
  <c r="O63" i="1"/>
  <c r="D63" i="1"/>
  <c r="E63" i="1"/>
  <c r="F63" i="1"/>
  <c r="G63" i="1"/>
  <c r="H63" i="1"/>
  <c r="I63" i="1"/>
  <c r="J63" i="1"/>
  <c r="K63" i="1"/>
  <c r="L63" i="1"/>
  <c r="M63" i="1"/>
  <c r="N63" i="1"/>
  <c r="F59" i="1"/>
  <c r="H26" i="1"/>
  <c r="H27" i="1"/>
  <c r="H25" i="1"/>
  <c r="H24" i="1"/>
  <c r="H23" i="1"/>
  <c r="G27" i="1"/>
  <c r="G26" i="1"/>
  <c r="G25" i="1"/>
  <c r="G24" i="1"/>
  <c r="G23" i="1"/>
  <c r="J24" i="1"/>
  <c r="J25" i="1"/>
  <c r="J26" i="1"/>
  <c r="J27" i="1"/>
  <c r="L24" i="1"/>
  <c r="L25" i="1"/>
  <c r="L26" i="1"/>
  <c r="L27" i="1"/>
  <c r="L23" i="1"/>
  <c r="J23" i="1"/>
  <c r="F133" i="1" l="1"/>
  <c r="C66" i="1"/>
  <c r="E66" i="1"/>
  <c r="G66" i="1"/>
  <c r="I66" i="1"/>
  <c r="K66" i="1"/>
  <c r="M66" i="1"/>
  <c r="D66" i="1"/>
  <c r="F66" i="1"/>
  <c r="H66" i="1"/>
  <c r="J66" i="1"/>
  <c r="L66" i="1"/>
  <c r="N66" i="1"/>
  <c r="G33" i="1"/>
  <c r="E29" i="1"/>
  <c r="G34" i="1"/>
  <c r="E30" i="1"/>
  <c r="F137" i="1" s="1"/>
  <c r="I142" i="1" s="1"/>
  <c r="F136" i="1" l="1"/>
  <c r="I140" i="1" s="1"/>
  <c r="G36" i="1"/>
  <c r="E41" i="1" l="1"/>
  <c r="E46" i="1" l="1"/>
  <c r="G48" i="1" s="1"/>
  <c r="E69" i="1" l="1"/>
  <c r="G75" i="1" l="1"/>
  <c r="H83" i="1" s="1"/>
  <c r="F95" i="1" s="1"/>
  <c r="H150" i="1"/>
  <c r="E70" i="1"/>
  <c r="J150" i="1" s="1"/>
  <c r="F86" i="1" l="1"/>
  <c r="F87" i="1" s="1"/>
  <c r="F113" i="1" s="1"/>
  <c r="F114" i="1"/>
  <c r="F109" i="1"/>
  <c r="E104" i="1"/>
  <c r="H151" i="1" s="1"/>
  <c r="E106" i="1" l="1"/>
  <c r="J151" i="1" s="1"/>
  <c r="F122" i="1"/>
  <c r="F110" i="1"/>
  <c r="E105" i="1" s="1"/>
  <c r="J155" i="1" l="1"/>
  <c r="F116" i="1"/>
  <c r="H114" i="1" s="1"/>
  <c r="F115" i="1"/>
  <c r="H113" i="1" s="1"/>
  <c r="M153" i="1" l="1"/>
  <c r="M152" i="1"/>
  <c r="M154" i="1"/>
  <c r="M150" i="1"/>
  <c r="M151" i="1"/>
</calcChain>
</file>

<file path=xl/sharedStrings.xml><?xml version="1.0" encoding="utf-8"?>
<sst xmlns="http://schemas.openxmlformats.org/spreadsheetml/2006/main" count="259" uniqueCount="213">
  <si>
    <t>Energía a Generar</t>
  </si>
  <si>
    <t>Factor de Seguridad</t>
  </si>
  <si>
    <t>Eficiencia del sistema</t>
  </si>
  <si>
    <t>HSP</t>
  </si>
  <si>
    <t>Potencia del Panel</t>
  </si>
  <si>
    <t>Voltaje del panel</t>
  </si>
  <si>
    <t>Disposición de paneles</t>
  </si>
  <si>
    <t>Capacidad del banco</t>
  </si>
  <si>
    <t>Dias de autonomía</t>
  </si>
  <si>
    <t>Eficiencia de descarga</t>
  </si>
  <si>
    <t>Cantidad de baterías</t>
  </si>
  <si>
    <t>Capacidad de Bateria</t>
  </si>
  <si>
    <t>Voltaje Bateria</t>
  </si>
  <si>
    <t>Regulador de carga</t>
  </si>
  <si>
    <t>Corriente del regulador</t>
  </si>
  <si>
    <t>Inversor de corriente</t>
  </si>
  <si>
    <t>Potencia requerida en CA</t>
  </si>
  <si>
    <t>Eficiencia del inversor</t>
  </si>
  <si>
    <t>Energía extra de autonomia</t>
  </si>
  <si>
    <t>Frecuencia de nubladez</t>
  </si>
  <si>
    <t>Maximos dias nublados</t>
  </si>
  <si>
    <t>Energía extra a generar</t>
  </si>
  <si>
    <t>Factor de Potencia</t>
  </si>
  <si>
    <t>Corriente Nominal</t>
  </si>
  <si>
    <t>Tabla de HSP</t>
  </si>
  <si>
    <t>Latitud</t>
  </si>
  <si>
    <t>Longitud</t>
  </si>
  <si>
    <t>Feb</t>
  </si>
  <si>
    <t>Ene</t>
  </si>
  <si>
    <t>Mar</t>
  </si>
  <si>
    <t>Abr</t>
  </si>
  <si>
    <t>May</t>
  </si>
  <si>
    <t>Jun</t>
  </si>
  <si>
    <t>Jul</t>
  </si>
  <si>
    <t>Ago</t>
  </si>
  <si>
    <t>Oct</t>
  </si>
  <si>
    <t>Nov</t>
  </si>
  <si>
    <t>Dic</t>
  </si>
  <si>
    <t>Sep</t>
  </si>
  <si>
    <t>Ángulo</t>
  </si>
  <si>
    <t>OPT</t>
  </si>
  <si>
    <t>OPT Ang</t>
  </si>
  <si>
    <t>Promedio</t>
  </si>
  <si>
    <t>Tilt 0</t>
  </si>
  <si>
    <t>7.01</t>
  </si>
  <si>
    <t>6.06</t>
  </si>
  <si>
    <t>4.86</t>
  </si>
  <si>
    <t>3.61</t>
  </si>
  <si>
    <t>2.70</t>
  </si>
  <si>
    <t>2.20</t>
  </si>
  <si>
    <t>2.43</t>
  </si>
  <si>
    <t>3.22</t>
  </si>
  <si>
    <t>4.49</t>
  </si>
  <si>
    <t>5.22</t>
  </si>
  <si>
    <t>6.41</t>
  </si>
  <si>
    <t>6.92</t>
  </si>
  <si>
    <t>4.59</t>
  </si>
  <si>
    <t>Tilt 19</t>
  </si>
  <si>
    <t>6.84</t>
  </si>
  <si>
    <t>6.17</t>
  </si>
  <si>
    <t>5.30</t>
  </si>
  <si>
    <t>4.28</t>
  </si>
  <si>
    <t>3.49</t>
  </si>
  <si>
    <t>2.96</t>
  </si>
  <si>
    <t>3.21</t>
  </si>
  <si>
    <t>3.95</t>
  </si>
  <si>
    <t>5.07</t>
  </si>
  <si>
    <t>5.44</t>
  </si>
  <si>
    <t>6.32</t>
  </si>
  <si>
    <t>6.68</t>
  </si>
  <si>
    <t>4.97</t>
  </si>
  <si>
    <t>Tilt 34</t>
  </si>
  <si>
    <t>6.31</t>
  </si>
  <si>
    <t>5.91</t>
  </si>
  <si>
    <t>5.34</t>
  </si>
  <si>
    <t>4.56</t>
  </si>
  <si>
    <t>3.90</t>
  </si>
  <si>
    <t>3.38</t>
  </si>
  <si>
    <t>3.64</t>
  </si>
  <si>
    <t>4.29</t>
  </si>
  <si>
    <t>5.31</t>
  </si>
  <si>
    <t>5.89</t>
  </si>
  <si>
    <t>6.12</t>
  </si>
  <si>
    <t>4.99</t>
  </si>
  <si>
    <t>Tilt 49</t>
  </si>
  <si>
    <t>5.48</t>
  </si>
  <si>
    <t>5.36</t>
  </si>
  <si>
    <t>5.11</t>
  </si>
  <si>
    <t>4.60</t>
  </si>
  <si>
    <t>4.10</t>
  </si>
  <si>
    <t>3.62</t>
  </si>
  <si>
    <t>3.86</t>
  </si>
  <si>
    <t>4.40</t>
  </si>
  <si>
    <t>4.92</t>
  </si>
  <si>
    <t>5.19</t>
  </si>
  <si>
    <t>5.27</t>
  </si>
  <si>
    <t>4.75</t>
  </si>
  <si>
    <t>Tilt 90</t>
  </si>
  <si>
    <t>2.55</t>
  </si>
  <si>
    <t>2.88</t>
  </si>
  <si>
    <t>3.26</t>
  </si>
  <si>
    <t>3.50</t>
  </si>
  <si>
    <t>3.48</t>
  </si>
  <si>
    <t>3.23</t>
  </si>
  <si>
    <t>3.37</t>
  </si>
  <si>
    <t>3.51</t>
  </si>
  <si>
    <t>2.79</t>
  </si>
  <si>
    <t>2.54</t>
  </si>
  <si>
    <t>3.09</t>
  </si>
  <si>
    <t>7.02</t>
  </si>
  <si>
    <t>6.19</t>
  </si>
  <si>
    <t>4.62</t>
  </si>
  <si>
    <t>4.11</t>
  </si>
  <si>
    <t>3.67</t>
  </si>
  <si>
    <t>3.89</t>
  </si>
  <si>
    <t>5.23</t>
  </si>
  <si>
    <t>6.43</t>
  </si>
  <si>
    <t>OPT ANG</t>
  </si>
  <si>
    <t>4.00</t>
  </si>
  <si>
    <t>14.0</t>
  </si>
  <si>
    <t>29.0</t>
  </si>
  <si>
    <t>44.0</t>
  </si>
  <si>
    <t>54.0</t>
  </si>
  <si>
    <t>59.0</t>
  </si>
  <si>
    <t>57.0</t>
  </si>
  <si>
    <t>48.0</t>
  </si>
  <si>
    <t>35.0</t>
  </si>
  <si>
    <t>19.0</t>
  </si>
  <si>
    <t>6.00</t>
  </si>
  <si>
    <t>1.00</t>
  </si>
  <si>
    <t>30.9</t>
  </si>
  <si>
    <t>Tabla de Consumos</t>
  </si>
  <si>
    <t>Dispositivo</t>
  </si>
  <si>
    <t>Cantidad</t>
  </si>
  <si>
    <t>Invierno</t>
  </si>
  <si>
    <t>Verano</t>
  </si>
  <si>
    <t>Luz bajo consumo</t>
  </si>
  <si>
    <t>TV 20"</t>
  </si>
  <si>
    <t>Decodificador digital</t>
  </si>
  <si>
    <t>Refrigerador</t>
  </si>
  <si>
    <t>PC Portable</t>
  </si>
  <si>
    <t>Consumo total promedio Invierno</t>
  </si>
  <si>
    <t>Consumo total promedio Verano</t>
  </si>
  <si>
    <t>Potencia Total</t>
  </si>
  <si>
    <t>Potencia Pico Total</t>
  </si>
  <si>
    <t>Corriente de Corto Circuito</t>
  </si>
  <si>
    <t>Panel Solar</t>
  </si>
  <si>
    <t>Modelo</t>
  </si>
  <si>
    <t>Solartec KS80T - SL*</t>
  </si>
  <si>
    <t>Costo USD IVA (10,5) incluido</t>
  </si>
  <si>
    <t>PARAMETROS GEOGRAFICOS Y DE RADIACIÓN SOLAR</t>
  </si>
  <si>
    <t>PARAMETROS DE CONSUMO Y ENERGÍA</t>
  </si>
  <si>
    <t>Cant</t>
  </si>
  <si>
    <t>[Wt]</t>
  </si>
  <si>
    <t>[Wpt]</t>
  </si>
  <si>
    <t>[W]</t>
  </si>
  <si>
    <t>Wh/día</t>
  </si>
  <si>
    <t>Ciudad Autónoma de Buenos Aires, Argentina</t>
  </si>
  <si>
    <t>Locación</t>
  </si>
  <si>
    <t>hs/día</t>
  </si>
  <si>
    <t>PANELES SOLARES SELECCIONADOS PARA LA INSTALACIÓN</t>
  </si>
  <si>
    <t>Energía Producida por el Panel</t>
  </si>
  <si>
    <t>Temp [°C]</t>
  </si>
  <si>
    <t>Cantidad de Paneles Solares</t>
  </si>
  <si>
    <t>Cantidad Total</t>
  </si>
  <si>
    <t>Consumo máximo del año</t>
  </si>
  <si>
    <t>W Nominal</t>
  </si>
  <si>
    <t>Energía diaria a generar</t>
  </si>
  <si>
    <t>Energia total a generar por día</t>
  </si>
  <si>
    <t>Costo de Inversión</t>
  </si>
  <si>
    <t>Parámetros del Sistema - Voltaje</t>
  </si>
  <si>
    <t>Voltaje</t>
  </si>
  <si>
    <t>Potencia Max</t>
  </si>
  <si>
    <t>Potencia total del sistema fotovoltaico</t>
  </si>
  <si>
    <t>Voltaje seleccionado para banco de baterías</t>
  </si>
  <si>
    <t>DIMENSIONAMIENTO DEL ARREGLO DE PANELES Y BANCO DE BATERÍAS</t>
  </si>
  <si>
    <t>Cantidad de paneles en serie</t>
  </si>
  <si>
    <t>Cantidad de paneles en paralelo</t>
  </si>
  <si>
    <t>Banco de baterías</t>
  </si>
  <si>
    <t>Profundidad máxima de descarga</t>
  </si>
  <si>
    <t>Datos de la Batería</t>
  </si>
  <si>
    <t>Disposición de las Baterías</t>
  </si>
  <si>
    <t>Cantidad de baterias en serie</t>
  </si>
  <si>
    <t>Cantidad de baterias en paralelo</t>
  </si>
  <si>
    <t>Moura CLEAN 12MF220</t>
  </si>
  <si>
    <t>Capacidad Total</t>
  </si>
  <si>
    <t>Corriente máxima de carga</t>
  </si>
  <si>
    <t>Corriente máxima de descarga</t>
  </si>
  <si>
    <t>Corrientes del banco</t>
  </si>
  <si>
    <t>C5 (máxima corriente de descarga)</t>
  </si>
  <si>
    <t>C20 (máxima corriente de carga)</t>
  </si>
  <si>
    <t>DIMENSIONAMIENTO DEL REGULADOR DE CARGA E INVERSOR</t>
  </si>
  <si>
    <t>SOLARTEC SC40</t>
  </si>
  <si>
    <t>Corriente</t>
  </si>
  <si>
    <t>Reguladores de Carga</t>
  </si>
  <si>
    <t>SOLARTEC SC20</t>
  </si>
  <si>
    <t>Corriente pico de salida en CA</t>
  </si>
  <si>
    <t>Datos del Inversor</t>
  </si>
  <si>
    <t>Potencia de Salida</t>
  </si>
  <si>
    <t>Voltaje de Entrada</t>
  </si>
  <si>
    <t>TGP 24 600</t>
  </si>
  <si>
    <t>Máxima corriente</t>
  </si>
  <si>
    <t>COSTO DE INVERSIÓN EN EQUIPOS</t>
  </si>
  <si>
    <t>Paneles Solares</t>
  </si>
  <si>
    <t>Componente</t>
  </si>
  <si>
    <t>Inversión</t>
  </si>
  <si>
    <t>Banco de Baterías</t>
  </si>
  <si>
    <t>&gt; 5000 W</t>
  </si>
  <si>
    <t>Este cálculo lo hago a mano. Si tengo 50A, uso uno de 40A y otro de 20A</t>
  </si>
  <si>
    <t>Cables</t>
  </si>
  <si>
    <t>Tablero</t>
  </si>
  <si>
    <t>Soportes</t>
  </si>
  <si>
    <t>Instalación (7 dias de trabajo)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</si>
</sst>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7">
    <numFmt numFmtId="164" formatCode="#,##0.000000"/>
    <numFmt numFmtId="165" formatCode="0.0"/>
    <numFmt numFmtId="166" formatCode="0&quot;°&quot;"/>
    <numFmt numFmtId="167" formatCode="0\ &quot;Wh/día&quot;"/>
    <numFmt numFmtId="168" formatCode="0\ &quot;W&quot;"/>
    <numFmt numFmtId="169" formatCode="0\ &quot;Wp&quot;"/>
    <numFmt numFmtId="170" formatCode="0\ &quot;V&quot;"/>
    <numFmt numFmtId="171" formatCode="0\ &quot;A&quot;"/>
    <numFmt numFmtId="172" formatCode="0.00\ &quot;A&quot;"/>
    <numFmt numFmtId="173" formatCode="[$USD]\ #,##0.00"/>
    <numFmt numFmtId="174" formatCode="0&quot;°C&quot;"/>
    <numFmt numFmtId="175" formatCode="0.0\ &quot;Wh/día&quot;"/>
    <numFmt numFmtId="176" formatCode="0\ &quot;días&quot;"/>
    <numFmt numFmtId="177" formatCode="0.0%"/>
    <numFmt numFmtId="178" formatCode="0\ &quot;Ah&quot;"/>
    <numFmt numFmtId="179" formatCode="0.0\ &quot;Ah&quot;"/>
    <numFmt numFmtId="180" formatCode="0.0\ &quot;VA&quot;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Times New Roman"/>
      <family val="1"/>
    </font>
    <font>
      <sz val="11"/>
      <color rgb="FF0061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FFFFFF"/>
        <bgColor indexed="64"/>
      </patternFill>
    </fill>
    <fill>
      <patternFill patternType="solid">
        <fgColor rgb="FFC6EFCE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2" borderId="0" applyNumberFormat="0" applyBorder="0" applyAlignment="0" applyProtection="0"/>
    <xf numFmtId="0" fontId="6" fillId="4" borderId="0" applyNumberFormat="0" applyBorder="0" applyAlignment="0" applyProtection="0"/>
  </cellStyleXfs>
  <cellXfs count="210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1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5" fillId="3" borderId="14" xfId="0" applyFont="1" applyFill="1" applyBorder="1" applyAlignment="1">
      <alignment vertical="center" wrapText="1"/>
    </xf>
    <xf numFmtId="0" fontId="5" fillId="3" borderId="14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11" xfId="0" applyBorder="1" applyAlignment="1">
      <alignment horizontal="center"/>
    </xf>
    <xf numFmtId="2" fontId="3" fillId="0" borderId="15" xfId="0" applyNumberFormat="1" applyFont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0" fontId="0" fillId="0" borderId="9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2" fontId="0" fillId="0" borderId="15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" fontId="0" fillId="0" borderId="3" xfId="0" applyNumberFormat="1" applyFill="1" applyBorder="1" applyAlignment="1">
      <alignment horizontal="center"/>
    </xf>
    <xf numFmtId="1" fontId="0" fillId="0" borderId="9" xfId="0" applyNumberFormat="1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1" fontId="0" fillId="0" borderId="8" xfId="0" applyNumberFormat="1" applyFill="1" applyBorder="1" applyAlignment="1">
      <alignment horizontal="center"/>
    </xf>
    <xf numFmtId="1" fontId="0" fillId="0" borderId="5" xfId="0" applyNumberFormat="1" applyFill="1" applyBorder="1" applyAlignment="1">
      <alignment horizontal="center"/>
    </xf>
    <xf numFmtId="1" fontId="0" fillId="0" borderId="6" xfId="0" applyNumberFormat="1" applyFill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1" fontId="0" fillId="0" borderId="6" xfId="0" applyNumberFormat="1" applyBorder="1" applyAlignment="1">
      <alignment horizontal="center"/>
    </xf>
    <xf numFmtId="0" fontId="0" fillId="0" borderId="11" xfId="0" applyBorder="1" applyAlignment="1"/>
    <xf numFmtId="0" fontId="0" fillId="0" borderId="12" xfId="0" applyBorder="1" applyAlignment="1"/>
    <xf numFmtId="0" fontId="0" fillId="0" borderId="13" xfId="0" applyBorder="1" applyAlignment="1"/>
    <xf numFmtId="166" fontId="0" fillId="0" borderId="1" xfId="0" applyNumberFormat="1" applyBorder="1" applyAlignment="1">
      <alignment horizontal="center"/>
    </xf>
    <xf numFmtId="166" fontId="0" fillId="0" borderId="11" xfId="0" applyNumberFormat="1" applyBorder="1" applyAlignment="1">
      <alignment horizontal="center"/>
    </xf>
    <xf numFmtId="166" fontId="0" fillId="0" borderId="12" xfId="0" applyNumberFormat="1" applyBorder="1" applyAlignment="1">
      <alignment horizontal="center"/>
    </xf>
    <xf numFmtId="166" fontId="0" fillId="0" borderId="10" xfId="0" applyNumberFormat="1" applyBorder="1" applyAlignment="1">
      <alignment horizontal="center"/>
    </xf>
    <xf numFmtId="166" fontId="0" fillId="0" borderId="15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165" fontId="0" fillId="0" borderId="11" xfId="0" applyNumberFormat="1" applyBorder="1" applyAlignment="1">
      <alignment horizontal="center"/>
    </xf>
    <xf numFmtId="165" fontId="0" fillId="0" borderId="12" xfId="0" applyNumberFormat="1" applyBorder="1" applyAlignment="1">
      <alignment horizontal="center"/>
    </xf>
    <xf numFmtId="165" fontId="0" fillId="0" borderId="13" xfId="0" applyNumberFormat="1" applyBorder="1" applyAlignment="1">
      <alignment horizontal="center"/>
    </xf>
    <xf numFmtId="0" fontId="0" fillId="0" borderId="1" xfId="0" applyFill="1" applyBorder="1"/>
    <xf numFmtId="0" fontId="0" fillId="0" borderId="0" xfId="0" applyBorder="1" applyAlignment="1">
      <alignment horizontal="left"/>
    </xf>
    <xf numFmtId="167" fontId="0" fillId="0" borderId="0" xfId="0" applyNumberFormat="1" applyBorder="1" applyAlignment="1">
      <alignment horizontal="center"/>
    </xf>
    <xf numFmtId="0" fontId="0" fillId="0" borderId="0" xfId="0" applyAlignment="1"/>
    <xf numFmtId="0" fontId="0" fillId="0" borderId="7" xfId="0" applyBorder="1" applyAlignment="1"/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3" xfId="0" applyBorder="1" applyAlignment="1">
      <alignment horizontal="left"/>
    </xf>
    <xf numFmtId="173" fontId="0" fillId="0" borderId="0" xfId="0" applyNumberFormat="1" applyBorder="1" applyAlignment="1">
      <alignment horizontal="center"/>
    </xf>
    <xf numFmtId="171" fontId="0" fillId="0" borderId="0" xfId="0" applyNumberFormat="1" applyBorder="1" applyAlignment="1">
      <alignment horizontal="center"/>
    </xf>
    <xf numFmtId="0" fontId="0" fillId="0" borderId="0" xfId="0" applyFill="1" applyBorder="1" applyAlignment="1"/>
    <xf numFmtId="9" fontId="0" fillId="0" borderId="10" xfId="1" applyFont="1" applyBorder="1" applyAlignment="1">
      <alignment horizontal="center"/>
    </xf>
    <xf numFmtId="9" fontId="0" fillId="0" borderId="15" xfId="1" applyFont="1" applyBorder="1" applyAlignment="1">
      <alignment horizontal="center"/>
    </xf>
    <xf numFmtId="9" fontId="0" fillId="0" borderId="16" xfId="1" applyFont="1" applyBorder="1" applyAlignment="1">
      <alignment horizontal="center"/>
    </xf>
    <xf numFmtId="1" fontId="6" fillId="4" borderId="2" xfId="3" applyNumberFormat="1" applyBorder="1" applyAlignment="1">
      <alignment horizontal="center"/>
    </xf>
    <xf numFmtId="1" fontId="6" fillId="4" borderId="3" xfId="3" applyNumberFormat="1" applyBorder="1" applyAlignment="1">
      <alignment horizontal="center"/>
    </xf>
    <xf numFmtId="1" fontId="6" fillId="4" borderId="7" xfId="3" applyNumberFormat="1" applyBorder="1" applyAlignment="1">
      <alignment horizontal="center"/>
    </xf>
    <xf numFmtId="1" fontId="6" fillId="4" borderId="0" xfId="3" applyNumberFormat="1" applyBorder="1" applyAlignment="1">
      <alignment horizontal="center"/>
    </xf>
    <xf numFmtId="1" fontId="6" fillId="4" borderId="4" xfId="3" applyNumberFormat="1" applyBorder="1" applyAlignment="1">
      <alignment horizontal="center"/>
    </xf>
    <xf numFmtId="1" fontId="6" fillId="4" borderId="5" xfId="3" applyNumberFormat="1" applyBorder="1" applyAlignment="1">
      <alignment horizontal="center"/>
    </xf>
    <xf numFmtId="174" fontId="6" fillId="4" borderId="11" xfId="3" applyNumberFormat="1" applyBorder="1" applyAlignment="1">
      <alignment horizontal="center"/>
    </xf>
    <xf numFmtId="174" fontId="6" fillId="4" borderId="12" xfId="3" applyNumberFormat="1" applyBorder="1" applyAlignment="1">
      <alignment horizontal="center"/>
    </xf>
    <xf numFmtId="174" fontId="6" fillId="4" borderId="13" xfId="3" applyNumberFormat="1" applyBorder="1" applyAlignment="1">
      <alignment horizontal="center"/>
    </xf>
    <xf numFmtId="0" fontId="7" fillId="0" borderId="0" xfId="0" applyFont="1"/>
    <xf numFmtId="2" fontId="6" fillId="4" borderId="12" xfId="3" applyNumberFormat="1" applyBorder="1" applyAlignment="1">
      <alignment horizontal="center"/>
    </xf>
    <xf numFmtId="2" fontId="6" fillId="4" borderId="1" xfId="3" applyNumberFormat="1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173" fontId="0" fillId="0" borderId="7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173" fontId="0" fillId="0" borderId="11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9" xfId="0" applyBorder="1" applyAlignment="1">
      <alignment horizontal="left"/>
    </xf>
    <xf numFmtId="173" fontId="0" fillId="0" borderId="0" xfId="0" applyNumberFormat="1" applyBorder="1" applyAlignment="1">
      <alignment horizontal="center"/>
    </xf>
    <xf numFmtId="173" fontId="0" fillId="0" borderId="8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173" fontId="0" fillId="0" borderId="4" xfId="0" applyNumberFormat="1" applyBorder="1" applyAlignment="1">
      <alignment horizontal="center"/>
    </xf>
    <xf numFmtId="0" fontId="2" fillId="2" borderId="0" xfId="2" applyFont="1" applyAlignment="1">
      <alignment horizontal="center"/>
    </xf>
    <xf numFmtId="0" fontId="0" fillId="0" borderId="4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173" fontId="6" fillId="4" borderId="4" xfId="3" applyNumberFormat="1" applyBorder="1" applyAlignment="1">
      <alignment horizontal="center"/>
    </xf>
    <xf numFmtId="173" fontId="6" fillId="4" borderId="5" xfId="3" applyNumberFormat="1" applyBorder="1" applyAlignment="1">
      <alignment horizontal="center"/>
    </xf>
    <xf numFmtId="173" fontId="6" fillId="4" borderId="6" xfId="3" applyNumberFormat="1" applyBorder="1" applyAlignment="1">
      <alignment horizontal="center"/>
    </xf>
    <xf numFmtId="171" fontId="6" fillId="4" borderId="7" xfId="3" applyNumberFormat="1" applyBorder="1" applyAlignment="1">
      <alignment horizontal="center"/>
    </xf>
    <xf numFmtId="171" fontId="6" fillId="4" borderId="0" xfId="3" applyNumberFormat="1" applyBorder="1" applyAlignment="1">
      <alignment horizontal="center"/>
    </xf>
    <xf numFmtId="171" fontId="6" fillId="4" borderId="8" xfId="3" applyNumberFormat="1" applyBorder="1" applyAlignment="1">
      <alignment horizontal="center"/>
    </xf>
    <xf numFmtId="168" fontId="6" fillId="4" borderId="2" xfId="3" applyNumberFormat="1" applyBorder="1" applyAlignment="1">
      <alignment horizontal="center"/>
    </xf>
    <xf numFmtId="168" fontId="6" fillId="4" borderId="3" xfId="3" applyNumberFormat="1" applyBorder="1" applyAlignment="1">
      <alignment horizontal="center"/>
    </xf>
    <xf numFmtId="168" fontId="6" fillId="4" borderId="9" xfId="3" applyNumberFormat="1" applyBorder="1" applyAlignment="1">
      <alignment horizontal="center"/>
    </xf>
    <xf numFmtId="170" fontId="6" fillId="4" borderId="7" xfId="3" applyNumberFormat="1" applyBorder="1" applyAlignment="1">
      <alignment horizontal="center"/>
    </xf>
    <xf numFmtId="170" fontId="6" fillId="4" borderId="0" xfId="3" applyNumberFormat="1" applyBorder="1" applyAlignment="1">
      <alignment horizontal="center"/>
    </xf>
    <xf numFmtId="170" fontId="6" fillId="4" borderId="8" xfId="3" applyNumberFormat="1" applyBorder="1" applyAlignment="1">
      <alignment horizontal="center"/>
    </xf>
    <xf numFmtId="0" fontId="0" fillId="0" borderId="7" xfId="0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6" fillId="4" borderId="15" xfId="3" applyBorder="1" applyAlignment="1">
      <alignment horizontal="center"/>
    </xf>
    <xf numFmtId="0" fontId="6" fillId="4" borderId="8" xfId="3" applyBorder="1" applyAlignment="1">
      <alignment horizontal="center"/>
    </xf>
    <xf numFmtId="172" fontId="0" fillId="0" borderId="11" xfId="0" applyNumberFormat="1" applyBorder="1" applyAlignment="1">
      <alignment horizontal="center"/>
    </xf>
    <xf numFmtId="172" fontId="0" fillId="0" borderId="13" xfId="0" applyNumberFormat="1" applyBorder="1" applyAlignment="1">
      <alignment horizontal="center"/>
    </xf>
    <xf numFmtId="173" fontId="0" fillId="0" borderId="12" xfId="0" applyNumberFormat="1" applyBorder="1" applyAlignment="1">
      <alignment horizontal="center"/>
    </xf>
    <xf numFmtId="173" fontId="0" fillId="0" borderId="13" xfId="0" applyNumberFormat="1" applyBorder="1" applyAlignment="1">
      <alignment horizontal="center"/>
    </xf>
    <xf numFmtId="0" fontId="0" fillId="0" borderId="11" xfId="0" applyFill="1" applyBorder="1" applyAlignment="1">
      <alignment horizontal="left"/>
    </xf>
    <xf numFmtId="0" fontId="0" fillId="0" borderId="12" xfId="0" applyFill="1" applyBorder="1" applyAlignment="1">
      <alignment horizontal="left"/>
    </xf>
    <xf numFmtId="0" fontId="0" fillId="0" borderId="13" xfId="0" applyFill="1" applyBorder="1" applyAlignment="1">
      <alignment horizontal="left"/>
    </xf>
    <xf numFmtId="1" fontId="6" fillId="4" borderId="11" xfId="3" applyNumberFormat="1" applyBorder="1" applyAlignment="1">
      <alignment horizontal="center"/>
    </xf>
    <xf numFmtId="1" fontId="6" fillId="4" borderId="12" xfId="3" applyNumberFormat="1" applyBorder="1" applyAlignment="1">
      <alignment horizontal="center"/>
    </xf>
    <xf numFmtId="1" fontId="6" fillId="4" borderId="13" xfId="3" applyNumberFormat="1" applyBorder="1" applyAlignment="1">
      <alignment horizontal="center"/>
    </xf>
    <xf numFmtId="171" fontId="6" fillId="4" borderId="2" xfId="3" applyNumberFormat="1" applyBorder="1" applyAlignment="1">
      <alignment horizontal="center"/>
    </xf>
    <xf numFmtId="171" fontId="6" fillId="4" borderId="3" xfId="3" applyNumberFormat="1" applyBorder="1" applyAlignment="1">
      <alignment horizontal="center"/>
    </xf>
    <xf numFmtId="171" fontId="6" fillId="4" borderId="9" xfId="3" applyNumberFormat="1" applyBorder="1" applyAlignment="1">
      <alignment horizontal="center"/>
    </xf>
    <xf numFmtId="0" fontId="0" fillId="0" borderId="2" xfId="0" applyBorder="1" applyAlignment="1"/>
    <xf numFmtId="0" fontId="0" fillId="0" borderId="3" xfId="0" applyBorder="1" applyAlignment="1"/>
    <xf numFmtId="0" fontId="0" fillId="0" borderId="9" xfId="0" applyBorder="1" applyAlignment="1"/>
    <xf numFmtId="0" fontId="0" fillId="0" borderId="7" xfId="0" applyBorder="1" applyAlignment="1"/>
    <xf numFmtId="0" fontId="0" fillId="0" borderId="0" xfId="0" applyBorder="1" applyAlignment="1"/>
    <xf numFmtId="0" fontId="0" fillId="0" borderId="8" xfId="0" applyBorder="1" applyAlignment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9" xfId="0" applyBorder="1" applyAlignment="1">
      <alignment horizontal="center"/>
    </xf>
    <xf numFmtId="180" fontId="0" fillId="0" borderId="11" xfId="0" applyNumberFormat="1" applyBorder="1" applyAlignment="1">
      <alignment horizontal="center"/>
    </xf>
    <xf numFmtId="180" fontId="0" fillId="0" borderId="13" xfId="0" applyNumberFormat="1" applyBorder="1" applyAlignment="1">
      <alignment horizontal="center"/>
    </xf>
    <xf numFmtId="0" fontId="0" fillId="0" borderId="4" xfId="0" applyFill="1" applyBorder="1" applyAlignment="1"/>
    <xf numFmtId="0" fontId="0" fillId="0" borderId="5" xfId="0" applyFill="1" applyBorder="1" applyAlignment="1"/>
    <xf numFmtId="0" fontId="0" fillId="0" borderId="6" xfId="0" applyFill="1" applyBorder="1" applyAlignment="1"/>
    <xf numFmtId="0" fontId="6" fillId="4" borderId="7" xfId="3" applyBorder="1" applyAlignment="1">
      <alignment horizontal="center"/>
    </xf>
    <xf numFmtId="0" fontId="6" fillId="4" borderId="0" xfId="3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171" fontId="0" fillId="0" borderId="13" xfId="0" applyNumberFormat="1" applyBorder="1" applyAlignment="1">
      <alignment horizontal="center"/>
    </xf>
    <xf numFmtId="171" fontId="0" fillId="0" borderId="2" xfId="0" applyNumberFormat="1" applyBorder="1" applyAlignment="1">
      <alignment horizontal="center"/>
    </xf>
    <xf numFmtId="171" fontId="0" fillId="0" borderId="9" xfId="0" applyNumberFormat="1" applyBorder="1" applyAlignment="1">
      <alignment horizontal="center"/>
    </xf>
    <xf numFmtId="172" fontId="0" fillId="0" borderId="4" xfId="0" applyNumberFormat="1" applyBorder="1" applyAlignment="1">
      <alignment horizontal="center"/>
    </xf>
    <xf numFmtId="172" fontId="0" fillId="0" borderId="6" xfId="0" applyNumberFormat="1" applyBorder="1" applyAlignment="1">
      <alignment horizontal="center"/>
    </xf>
    <xf numFmtId="178" fontId="0" fillId="0" borderId="11" xfId="0" applyNumberFormat="1" applyBorder="1" applyAlignment="1">
      <alignment horizontal="center"/>
    </xf>
    <xf numFmtId="178" fontId="0" fillId="0" borderId="13" xfId="0" applyNumberFormat="1" applyBorder="1" applyAlignment="1">
      <alignment horizontal="center"/>
    </xf>
    <xf numFmtId="171" fontId="0" fillId="0" borderId="4" xfId="0" applyNumberFormat="1" applyBorder="1" applyAlignment="1">
      <alignment horizontal="center"/>
    </xf>
    <xf numFmtId="171" fontId="0" fillId="0" borderId="6" xfId="0" applyNumberFormat="1" applyBorder="1" applyAlignment="1">
      <alignment horizontal="center"/>
    </xf>
    <xf numFmtId="0" fontId="0" fillId="0" borderId="8" xfId="0" applyFill="1" applyBorder="1" applyAlignment="1">
      <alignment horizontal="left"/>
    </xf>
    <xf numFmtId="177" fontId="6" fillId="4" borderId="4" xfId="3" applyNumberFormat="1" applyBorder="1" applyAlignment="1">
      <alignment horizontal="center"/>
    </xf>
    <xf numFmtId="177" fontId="6" fillId="4" borderId="6" xfId="3" applyNumberFormat="1" applyBorder="1" applyAlignment="1">
      <alignment horizontal="center"/>
    </xf>
    <xf numFmtId="0" fontId="0" fillId="0" borderId="6" xfId="0" applyFill="1" applyBorder="1" applyAlignment="1">
      <alignment horizontal="left"/>
    </xf>
    <xf numFmtId="178" fontId="6" fillId="4" borderId="2" xfId="3" applyNumberFormat="1" applyBorder="1" applyAlignment="1">
      <alignment horizontal="center"/>
    </xf>
    <xf numFmtId="178" fontId="6" fillId="4" borderId="3" xfId="3" applyNumberFormat="1" applyBorder="1" applyAlignment="1">
      <alignment horizontal="center"/>
    </xf>
    <xf numFmtId="178" fontId="6" fillId="4" borderId="9" xfId="3" applyNumberFormat="1" applyBorder="1" applyAlignment="1">
      <alignment horizontal="center"/>
    </xf>
    <xf numFmtId="176" fontId="6" fillId="4" borderId="2" xfId="3" applyNumberFormat="1" applyBorder="1" applyAlignment="1">
      <alignment horizontal="center"/>
    </xf>
    <xf numFmtId="176" fontId="6" fillId="4" borderId="9" xfId="3" applyNumberFormat="1" applyBorder="1" applyAlignment="1">
      <alignment horizontal="center"/>
    </xf>
    <xf numFmtId="177" fontId="6" fillId="4" borderId="7" xfId="3" applyNumberFormat="1" applyBorder="1" applyAlignment="1">
      <alignment horizontal="center"/>
    </xf>
    <xf numFmtId="177" fontId="6" fillId="4" borderId="8" xfId="3" applyNumberFormat="1" applyBorder="1" applyAlignment="1">
      <alignment horizontal="center"/>
    </xf>
    <xf numFmtId="179" fontId="0" fillId="0" borderId="11" xfId="0" applyNumberFormat="1" applyBorder="1" applyAlignment="1">
      <alignment horizontal="center"/>
    </xf>
    <xf numFmtId="179" fontId="0" fillId="0" borderId="13" xfId="0" applyNumberFormat="1" applyBorder="1" applyAlignment="1">
      <alignment horizontal="center"/>
    </xf>
    <xf numFmtId="170" fontId="0" fillId="0" borderId="11" xfId="0" applyNumberFormat="1" applyBorder="1" applyAlignment="1">
      <alignment horizontal="center"/>
    </xf>
    <xf numFmtId="170" fontId="0" fillId="0" borderId="13" xfId="0" applyNumberFormat="1" applyBorder="1" applyAlignment="1">
      <alignment horizontal="center"/>
    </xf>
    <xf numFmtId="168" fontId="0" fillId="0" borderId="11" xfId="0" applyNumberFormat="1" applyBorder="1" applyAlignment="1">
      <alignment horizontal="center"/>
    </xf>
    <xf numFmtId="168" fontId="0" fillId="0" borderId="13" xfId="0" applyNumberFormat="1" applyBorder="1" applyAlignment="1">
      <alignment horizontal="center"/>
    </xf>
    <xf numFmtId="0" fontId="2" fillId="2" borderId="0" xfId="2" applyFont="1" applyBorder="1" applyAlignment="1">
      <alignment horizontal="center"/>
    </xf>
    <xf numFmtId="170" fontId="6" fillId="4" borderId="2" xfId="3" applyNumberFormat="1" applyBorder="1" applyAlignment="1">
      <alignment horizontal="center"/>
    </xf>
    <xf numFmtId="170" fontId="6" fillId="4" borderId="9" xfId="3" applyNumberFormat="1" applyBorder="1" applyAlignment="1">
      <alignment horizontal="center"/>
    </xf>
    <xf numFmtId="170" fontId="6" fillId="4" borderId="4" xfId="3" applyNumberFormat="1" applyBorder="1" applyAlignment="1">
      <alignment horizontal="center"/>
    </xf>
    <xf numFmtId="170" fontId="6" fillId="4" borderId="6" xfId="3" applyNumberFormat="1" applyBorder="1" applyAlignment="1">
      <alignment horizontal="center"/>
    </xf>
    <xf numFmtId="168" fontId="6" fillId="4" borderId="7" xfId="3" applyNumberFormat="1" applyBorder="1" applyAlignment="1">
      <alignment horizontal="center"/>
    </xf>
    <xf numFmtId="168" fontId="6" fillId="4" borderId="8" xfId="3" applyNumberFormat="1" applyBorder="1" applyAlignment="1">
      <alignment horizontal="center"/>
    </xf>
    <xf numFmtId="0" fontId="6" fillId="4" borderId="4" xfId="3" applyBorder="1" applyAlignment="1">
      <alignment horizontal="center"/>
    </xf>
    <xf numFmtId="0" fontId="6" fillId="4" borderId="6" xfId="3" applyBorder="1" applyAlignment="1">
      <alignment horizontal="center"/>
    </xf>
    <xf numFmtId="167" fontId="0" fillId="0" borderId="11" xfId="0" applyNumberFormat="1" applyBorder="1" applyAlignment="1">
      <alignment horizontal="center"/>
    </xf>
    <xf numFmtId="9" fontId="6" fillId="4" borderId="2" xfId="3" applyNumberFormat="1" applyBorder="1" applyAlignment="1">
      <alignment horizontal="center"/>
    </xf>
    <xf numFmtId="9" fontId="6" fillId="4" borderId="9" xfId="3" applyNumberFormat="1" applyBorder="1" applyAlignment="1">
      <alignment horizontal="center"/>
    </xf>
    <xf numFmtId="9" fontId="6" fillId="4" borderId="7" xfId="3" applyNumberFormat="1" applyBorder="1" applyAlignment="1">
      <alignment horizontal="center"/>
    </xf>
    <xf numFmtId="9" fontId="6" fillId="4" borderId="8" xfId="3" applyNumberFormat="1" applyBorder="1" applyAlignment="1">
      <alignment horizontal="center"/>
    </xf>
    <xf numFmtId="175" fontId="0" fillId="0" borderId="4" xfId="0" applyNumberFormat="1" applyBorder="1" applyAlignment="1">
      <alignment horizontal="center"/>
    </xf>
    <xf numFmtId="175" fontId="0" fillId="0" borderId="6" xfId="0" applyNumberFormat="1" applyBorder="1" applyAlignment="1">
      <alignment horizontal="center"/>
    </xf>
    <xf numFmtId="172" fontId="6" fillId="4" borderId="0" xfId="3" applyNumberFormat="1" applyBorder="1" applyAlignment="1">
      <alignment horizontal="center"/>
    </xf>
    <xf numFmtId="172" fontId="6" fillId="4" borderId="8" xfId="3" applyNumberFormat="1" applyBorder="1" applyAlignment="1">
      <alignment horizontal="center"/>
    </xf>
    <xf numFmtId="169" fontId="6" fillId="4" borderId="3" xfId="3" applyNumberFormat="1" applyBorder="1" applyAlignment="1">
      <alignment horizontal="center"/>
    </xf>
    <xf numFmtId="169" fontId="6" fillId="4" borderId="9" xfId="3" applyNumberFormat="1" applyBorder="1" applyAlignment="1">
      <alignment horizontal="center"/>
    </xf>
    <xf numFmtId="167" fontId="0" fillId="0" borderId="1" xfId="0" applyNumberFormat="1" applyBorder="1" applyAlignment="1">
      <alignment horizontal="center"/>
    </xf>
    <xf numFmtId="168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left"/>
    </xf>
    <xf numFmtId="0" fontId="6" fillId="4" borderId="11" xfId="3" applyBorder="1" applyAlignment="1">
      <alignment horizontal="center"/>
    </xf>
    <xf numFmtId="0" fontId="6" fillId="4" borderId="13" xfId="3" applyBorder="1" applyAlignment="1">
      <alignment horizontal="center"/>
    </xf>
    <xf numFmtId="176" fontId="6" fillId="4" borderId="7" xfId="3" applyNumberFormat="1" applyBorder="1" applyAlignment="1">
      <alignment horizontal="center"/>
    </xf>
    <xf numFmtId="176" fontId="6" fillId="4" borderId="8" xfId="3" applyNumberFormat="1" applyBorder="1" applyAlignment="1">
      <alignment horizontal="center"/>
    </xf>
    <xf numFmtId="167" fontId="0" fillId="0" borderId="13" xfId="0" applyNumberFormat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164" fontId="0" fillId="0" borderId="1" xfId="0" applyNumberFormat="1" applyBorder="1" applyAlignment="1">
      <alignment horizontal="center"/>
    </xf>
  </cellXfs>
  <cellStyles count="4">
    <cellStyle name="Buena" xfId="3" builtinId="26"/>
    <cellStyle name="Énfasis1" xfId="2" builtinId="29"/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O162"/>
  <sheetViews>
    <sheetView tabSelected="1" topLeftCell="A127" workbookViewId="0">
      <selection activeCell="F144" sqref="F144:H144"/>
    </sheetView>
  </sheetViews>
  <sheetFormatPr baseColWidth="10" defaultColWidth="9.140625" defaultRowHeight="15" x14ac:dyDescent="0.25"/>
  <cols>
    <col min="2" max="2" width="11.42578125" customWidth="1"/>
    <col min="3" max="4" width="6.85546875" customWidth="1"/>
    <col min="5" max="5" width="8" customWidth="1"/>
    <col min="6" max="14" width="6.85546875" customWidth="1"/>
    <col min="15" max="15" width="10" customWidth="1"/>
    <col min="17" max="17" width="18.28515625" bestFit="1" customWidth="1"/>
    <col min="18" max="18" width="8.85546875" bestFit="1" customWidth="1"/>
    <col min="19" max="19" width="8.7109375" bestFit="1" customWidth="1"/>
    <col min="20" max="20" width="13.7109375" bestFit="1" customWidth="1"/>
    <col min="21" max="21" width="18" bestFit="1" customWidth="1"/>
    <col min="22" max="22" width="9.28515625" bestFit="1" customWidth="1"/>
    <col min="23" max="23" width="9.42578125" bestFit="1" customWidth="1"/>
    <col min="24" max="24" width="9.28515625" bestFit="1" customWidth="1"/>
    <col min="27" max="27" width="27.140625" bestFit="1" customWidth="1"/>
    <col min="28" max="28" width="18.42578125" bestFit="1" customWidth="1"/>
  </cols>
  <sheetData>
    <row r="3" spans="2:15" x14ac:dyDescent="0.25">
      <c r="B3" s="103" t="s">
        <v>150</v>
      </c>
      <c r="C3" s="103"/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</row>
    <row r="5" spans="2:15" x14ac:dyDescent="0.25">
      <c r="B5" s="7" t="s">
        <v>25</v>
      </c>
      <c r="C5" s="209">
        <v>-34.576653</v>
      </c>
      <c r="D5" s="209"/>
      <c r="F5" s="200" t="s">
        <v>158</v>
      </c>
      <c r="G5" s="200"/>
      <c r="H5" s="200" t="s">
        <v>157</v>
      </c>
      <c r="I5" s="200"/>
      <c r="J5" s="200"/>
      <c r="K5" s="200"/>
      <c r="L5" s="200"/>
      <c r="M5" s="200"/>
      <c r="N5" s="200"/>
    </row>
    <row r="6" spans="2:15" x14ac:dyDescent="0.25">
      <c r="B6" s="7" t="s">
        <v>26</v>
      </c>
      <c r="C6" s="209">
        <v>-58.453485000000001</v>
      </c>
      <c r="D6" s="209"/>
    </row>
    <row r="8" spans="2:15" x14ac:dyDescent="0.25">
      <c r="B8" s="141" t="s">
        <v>24</v>
      </c>
      <c r="C8" s="143"/>
    </row>
    <row r="9" spans="2:15" x14ac:dyDescent="0.25">
      <c r="B9" s="23" t="s">
        <v>39</v>
      </c>
      <c r="C9" s="20" t="s">
        <v>28</v>
      </c>
      <c r="D9" s="20" t="s">
        <v>27</v>
      </c>
      <c r="E9" s="20" t="s">
        <v>29</v>
      </c>
      <c r="F9" s="20" t="s">
        <v>30</v>
      </c>
      <c r="G9" s="20" t="s">
        <v>31</v>
      </c>
      <c r="H9" s="21" t="s">
        <v>32</v>
      </c>
      <c r="I9" s="20" t="s">
        <v>33</v>
      </c>
      <c r="J9" s="20" t="s">
        <v>34</v>
      </c>
      <c r="K9" s="20" t="s">
        <v>38</v>
      </c>
      <c r="L9" s="20" t="s">
        <v>35</v>
      </c>
      <c r="M9" s="20" t="s">
        <v>36</v>
      </c>
      <c r="N9" s="20" t="s">
        <v>37</v>
      </c>
      <c r="O9" s="23" t="s">
        <v>42</v>
      </c>
    </row>
    <row r="10" spans="2:15" x14ac:dyDescent="0.25">
      <c r="B10" s="45">
        <v>0</v>
      </c>
      <c r="C10" s="19">
        <v>7.01</v>
      </c>
      <c r="D10" s="19">
        <v>6.06</v>
      </c>
      <c r="E10" s="19">
        <v>4.8600000000000003</v>
      </c>
      <c r="F10" s="19">
        <v>3.61</v>
      </c>
      <c r="G10" s="19">
        <v>2.7</v>
      </c>
      <c r="H10" s="16">
        <v>2.2000000000000002</v>
      </c>
      <c r="I10" s="19">
        <v>2.4300000000000002</v>
      </c>
      <c r="J10" s="19">
        <v>3.22</v>
      </c>
      <c r="K10" s="19">
        <v>4.49</v>
      </c>
      <c r="L10" s="19">
        <v>5.22</v>
      </c>
      <c r="M10" s="19">
        <v>6.41</v>
      </c>
      <c r="N10" s="19">
        <v>6.92</v>
      </c>
      <c r="O10" s="28">
        <v>4.59</v>
      </c>
    </row>
    <row r="11" spans="2:15" x14ac:dyDescent="0.25">
      <c r="B11" s="46">
        <v>19</v>
      </c>
      <c r="C11" s="19">
        <v>6.84</v>
      </c>
      <c r="D11" s="19">
        <v>6.17</v>
      </c>
      <c r="E11" s="19">
        <v>5.3</v>
      </c>
      <c r="F11" s="19">
        <v>4.28</v>
      </c>
      <c r="G11" s="19">
        <v>3.49</v>
      </c>
      <c r="H11" s="16">
        <v>2.96</v>
      </c>
      <c r="I11" s="19">
        <v>3.21</v>
      </c>
      <c r="J11" s="19">
        <v>3.95</v>
      </c>
      <c r="K11" s="19">
        <v>5.07</v>
      </c>
      <c r="L11" s="19">
        <v>5.44</v>
      </c>
      <c r="M11" s="19">
        <v>6.32</v>
      </c>
      <c r="N11" s="19">
        <v>6.68</v>
      </c>
      <c r="O11" s="28">
        <v>4.97</v>
      </c>
    </row>
    <row r="12" spans="2:15" x14ac:dyDescent="0.25">
      <c r="B12" s="46">
        <v>34</v>
      </c>
      <c r="C12" s="19">
        <v>6.31</v>
      </c>
      <c r="D12" s="19">
        <v>5.91</v>
      </c>
      <c r="E12" s="19">
        <v>5.34</v>
      </c>
      <c r="F12" s="19">
        <v>4.5599999999999996</v>
      </c>
      <c r="G12" s="19">
        <v>3.9</v>
      </c>
      <c r="H12" s="16">
        <v>3.38</v>
      </c>
      <c r="I12" s="19">
        <v>3.64</v>
      </c>
      <c r="J12" s="19">
        <v>4.29</v>
      </c>
      <c r="K12" s="19">
        <v>5.22</v>
      </c>
      <c r="L12" s="19">
        <v>5.31</v>
      </c>
      <c r="M12" s="19">
        <v>5.89</v>
      </c>
      <c r="N12" s="19">
        <v>6.12</v>
      </c>
      <c r="O12" s="28">
        <v>4.99</v>
      </c>
    </row>
    <row r="13" spans="2:15" x14ac:dyDescent="0.25">
      <c r="B13" s="46">
        <v>49</v>
      </c>
      <c r="C13" s="75">
        <v>5.48</v>
      </c>
      <c r="D13" s="75">
        <v>5.36</v>
      </c>
      <c r="E13" s="75">
        <v>5.1100000000000003</v>
      </c>
      <c r="F13" s="75">
        <v>4.5999999999999996</v>
      </c>
      <c r="G13" s="75">
        <v>4.0999999999999996</v>
      </c>
      <c r="H13" s="76">
        <v>2.73</v>
      </c>
      <c r="I13" s="75">
        <v>3.86</v>
      </c>
      <c r="J13" s="75">
        <v>4.4000000000000004</v>
      </c>
      <c r="K13" s="75">
        <v>5.1100000000000003</v>
      </c>
      <c r="L13" s="75">
        <v>4.92</v>
      </c>
      <c r="M13" s="75">
        <v>5.19</v>
      </c>
      <c r="N13" s="75">
        <v>5.27</v>
      </c>
      <c r="O13" s="17">
        <v>4.75</v>
      </c>
    </row>
    <row r="14" spans="2:15" x14ac:dyDescent="0.25">
      <c r="B14" s="46">
        <v>90</v>
      </c>
      <c r="C14" s="19">
        <v>2.5499999999999998</v>
      </c>
      <c r="D14" s="19">
        <v>2.88</v>
      </c>
      <c r="E14" s="19">
        <v>3.26</v>
      </c>
      <c r="F14" s="19">
        <v>3.5</v>
      </c>
      <c r="G14" s="19">
        <v>3.48</v>
      </c>
      <c r="H14" s="16">
        <v>3.23</v>
      </c>
      <c r="I14" s="19">
        <v>3.37</v>
      </c>
      <c r="J14" s="19">
        <v>3.5</v>
      </c>
      <c r="K14" s="19">
        <v>3.51</v>
      </c>
      <c r="L14" s="19">
        <v>2.79</v>
      </c>
      <c r="M14" s="19">
        <v>2.54</v>
      </c>
      <c r="N14" s="19">
        <v>2.4300000000000002</v>
      </c>
      <c r="O14" s="28">
        <v>3.09</v>
      </c>
    </row>
    <row r="15" spans="2:15" x14ac:dyDescent="0.25">
      <c r="B15" s="24" t="s">
        <v>40</v>
      </c>
      <c r="C15" s="47">
        <v>7.02</v>
      </c>
      <c r="D15" s="19">
        <v>6.19</v>
      </c>
      <c r="E15" s="19">
        <v>5.36</v>
      </c>
      <c r="F15" s="19">
        <v>4.62</v>
      </c>
      <c r="G15" s="19">
        <v>4.1100000000000003</v>
      </c>
      <c r="H15" s="16">
        <v>3.67</v>
      </c>
      <c r="I15" s="19">
        <v>3.89</v>
      </c>
      <c r="J15" s="19">
        <v>4.4000000000000004</v>
      </c>
      <c r="K15" s="19">
        <v>5.23</v>
      </c>
      <c r="L15" s="19">
        <v>5.44</v>
      </c>
      <c r="M15" s="19">
        <v>6.43</v>
      </c>
      <c r="N15" s="19">
        <v>6.92</v>
      </c>
      <c r="O15" s="28">
        <v>5.27</v>
      </c>
    </row>
    <row r="16" spans="2:15" x14ac:dyDescent="0.25">
      <c r="B16" s="23" t="s">
        <v>41</v>
      </c>
      <c r="C16" s="43">
        <v>4</v>
      </c>
      <c r="D16" s="44">
        <v>14</v>
      </c>
      <c r="E16" s="44">
        <v>29</v>
      </c>
      <c r="F16" s="44">
        <v>44</v>
      </c>
      <c r="G16" s="44">
        <v>54</v>
      </c>
      <c r="H16" s="42">
        <v>59</v>
      </c>
      <c r="I16" s="44">
        <v>57</v>
      </c>
      <c r="J16" s="44">
        <v>48</v>
      </c>
      <c r="K16" s="44">
        <v>35</v>
      </c>
      <c r="L16" s="44">
        <v>19</v>
      </c>
      <c r="M16" s="44">
        <v>6</v>
      </c>
      <c r="N16" s="44">
        <v>1</v>
      </c>
      <c r="O16" s="42">
        <v>30.9</v>
      </c>
    </row>
    <row r="19" spans="2:15" x14ac:dyDescent="0.25">
      <c r="B19" s="103" t="s">
        <v>151</v>
      </c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</row>
    <row r="21" spans="2:15" x14ac:dyDescent="0.25">
      <c r="B21" s="89" t="s">
        <v>131</v>
      </c>
      <c r="C21" s="87"/>
      <c r="D21" s="88"/>
      <c r="I21" s="89" t="s">
        <v>134</v>
      </c>
      <c r="J21" s="88"/>
      <c r="K21" s="89" t="s">
        <v>135</v>
      </c>
      <c r="L21" s="88"/>
    </row>
    <row r="22" spans="2:15" x14ac:dyDescent="0.25">
      <c r="B22" s="206" t="s">
        <v>132</v>
      </c>
      <c r="C22" s="207"/>
      <c r="D22" s="208"/>
      <c r="E22" s="25" t="s">
        <v>152</v>
      </c>
      <c r="F22" s="26" t="s">
        <v>155</v>
      </c>
      <c r="G22" s="26" t="s">
        <v>153</v>
      </c>
      <c r="H22" s="27" t="s">
        <v>154</v>
      </c>
      <c r="I22" s="25" t="s">
        <v>159</v>
      </c>
      <c r="J22" s="27" t="s">
        <v>156</v>
      </c>
      <c r="K22" s="25" t="s">
        <v>159</v>
      </c>
      <c r="L22" s="27" t="s">
        <v>156</v>
      </c>
    </row>
    <row r="23" spans="2:15" x14ac:dyDescent="0.25">
      <c r="B23" s="141" t="s">
        <v>136</v>
      </c>
      <c r="C23" s="142"/>
      <c r="D23" s="143"/>
      <c r="E23" s="65">
        <v>5</v>
      </c>
      <c r="F23" s="66">
        <v>10</v>
      </c>
      <c r="G23" s="31">
        <f>F23*E23</f>
        <v>50</v>
      </c>
      <c r="H23" s="32">
        <f>F23*E23</f>
        <v>50</v>
      </c>
      <c r="I23" s="67">
        <v>7</v>
      </c>
      <c r="J23" s="37">
        <f>I23*F23*E23</f>
        <v>350</v>
      </c>
      <c r="K23" s="67">
        <v>5</v>
      </c>
      <c r="L23" s="37">
        <f>K23*F23*E23</f>
        <v>250</v>
      </c>
    </row>
    <row r="24" spans="2:15" x14ac:dyDescent="0.25">
      <c r="B24" s="98" t="s">
        <v>137</v>
      </c>
      <c r="C24" s="84"/>
      <c r="D24" s="85"/>
      <c r="E24" s="67">
        <v>1</v>
      </c>
      <c r="F24" s="68">
        <v>75</v>
      </c>
      <c r="G24" s="33">
        <f t="shared" ref="G24:G27" si="0">F24*E24</f>
        <v>75</v>
      </c>
      <c r="H24" s="34">
        <f t="shared" ref="H24:H27" si="1">F24*E24</f>
        <v>75</v>
      </c>
      <c r="I24" s="67">
        <v>4</v>
      </c>
      <c r="J24" s="37">
        <f>I24*F24*E24</f>
        <v>300</v>
      </c>
      <c r="K24" s="67">
        <v>3</v>
      </c>
      <c r="L24" s="37">
        <f>K24*F24*E24</f>
        <v>225</v>
      </c>
    </row>
    <row r="25" spans="2:15" x14ac:dyDescent="0.25">
      <c r="B25" s="98" t="s">
        <v>138</v>
      </c>
      <c r="C25" s="84"/>
      <c r="D25" s="85"/>
      <c r="E25" s="67">
        <v>1</v>
      </c>
      <c r="F25" s="68">
        <v>30</v>
      </c>
      <c r="G25" s="33">
        <f t="shared" si="0"/>
        <v>30</v>
      </c>
      <c r="H25" s="34">
        <f t="shared" si="1"/>
        <v>30</v>
      </c>
      <c r="I25" s="67">
        <v>4</v>
      </c>
      <c r="J25" s="37">
        <f>I25*F25*E25</f>
        <v>120</v>
      </c>
      <c r="K25" s="67">
        <v>3</v>
      </c>
      <c r="L25" s="37">
        <f>K25*F25*E25</f>
        <v>90</v>
      </c>
    </row>
    <row r="26" spans="2:15" x14ac:dyDescent="0.25">
      <c r="B26" s="98" t="s">
        <v>139</v>
      </c>
      <c r="C26" s="84"/>
      <c r="D26" s="85"/>
      <c r="E26" s="67">
        <v>1</v>
      </c>
      <c r="F26" s="68">
        <v>80</v>
      </c>
      <c r="G26" s="33">
        <f t="shared" si="0"/>
        <v>80</v>
      </c>
      <c r="H26" s="34">
        <f>F26*E26*8</f>
        <v>640</v>
      </c>
      <c r="I26" s="67">
        <v>8</v>
      </c>
      <c r="J26" s="37">
        <f>I26*F26*E26</f>
        <v>640</v>
      </c>
      <c r="K26" s="67">
        <v>8</v>
      </c>
      <c r="L26" s="37">
        <f>K26*F26*E26</f>
        <v>640</v>
      </c>
    </row>
    <row r="27" spans="2:15" x14ac:dyDescent="0.25">
      <c r="B27" s="99" t="s">
        <v>140</v>
      </c>
      <c r="C27" s="100"/>
      <c r="D27" s="101"/>
      <c r="E27" s="69">
        <v>1</v>
      </c>
      <c r="F27" s="70">
        <v>40</v>
      </c>
      <c r="G27" s="35">
        <f t="shared" si="0"/>
        <v>40</v>
      </c>
      <c r="H27" s="36">
        <f t="shared" si="1"/>
        <v>40</v>
      </c>
      <c r="I27" s="69">
        <v>4</v>
      </c>
      <c r="J27" s="38">
        <f>I27*F27*E27</f>
        <v>160</v>
      </c>
      <c r="K27" s="69">
        <v>3</v>
      </c>
      <c r="L27" s="38">
        <f>K27*F27*E27</f>
        <v>120</v>
      </c>
    </row>
    <row r="29" spans="2:15" x14ac:dyDescent="0.25">
      <c r="B29" s="90" t="s">
        <v>143</v>
      </c>
      <c r="C29" s="91"/>
      <c r="D29" s="92"/>
      <c r="E29" s="199">
        <f>SUM(G23:G27)</f>
        <v>275</v>
      </c>
      <c r="F29" s="199"/>
    </row>
    <row r="30" spans="2:15" x14ac:dyDescent="0.25">
      <c r="B30" s="90" t="s">
        <v>144</v>
      </c>
      <c r="C30" s="91"/>
      <c r="D30" s="92"/>
      <c r="E30" s="199">
        <f>SUM(H23:H27)</f>
        <v>835</v>
      </c>
      <c r="F30" s="199"/>
    </row>
    <row r="31" spans="2:15" x14ac:dyDescent="0.25">
      <c r="B31" s="39" t="s">
        <v>22</v>
      </c>
      <c r="C31" s="40"/>
      <c r="D31" s="41"/>
      <c r="E31" s="201">
        <v>0.7</v>
      </c>
      <c r="F31" s="202"/>
    </row>
    <row r="33" spans="2:8" x14ac:dyDescent="0.25">
      <c r="B33" s="200" t="s">
        <v>141</v>
      </c>
      <c r="C33" s="200"/>
      <c r="D33" s="200"/>
      <c r="E33" s="200"/>
      <c r="F33" s="200"/>
      <c r="G33" s="198">
        <f>SUM(J23:J27)</f>
        <v>1570</v>
      </c>
      <c r="H33" s="198"/>
    </row>
    <row r="34" spans="2:8" x14ac:dyDescent="0.25">
      <c r="B34" s="200" t="s">
        <v>142</v>
      </c>
      <c r="C34" s="200"/>
      <c r="D34" s="200"/>
      <c r="E34" s="200"/>
      <c r="F34" s="200"/>
      <c r="G34" s="198">
        <f>SUM(L23:L27)</f>
        <v>1325</v>
      </c>
      <c r="H34" s="198"/>
    </row>
    <row r="36" spans="2:8" x14ac:dyDescent="0.25">
      <c r="B36" s="90" t="s">
        <v>165</v>
      </c>
      <c r="C36" s="91"/>
      <c r="D36" s="91"/>
      <c r="E36" s="91"/>
      <c r="F36" s="92"/>
      <c r="G36" s="187">
        <f>MAX(G33:H34)</f>
        <v>1570</v>
      </c>
      <c r="H36" s="88"/>
    </row>
    <row r="37" spans="2:8" x14ac:dyDescent="0.25">
      <c r="B37" s="52"/>
      <c r="C37" s="52"/>
      <c r="D37" s="52"/>
      <c r="E37" s="52"/>
      <c r="F37" s="52"/>
      <c r="G37" s="53"/>
      <c r="H37" s="30"/>
    </row>
    <row r="38" spans="2:8" x14ac:dyDescent="0.25">
      <c r="B38" s="89" t="s">
        <v>167</v>
      </c>
      <c r="C38" s="87"/>
      <c r="D38" s="88"/>
      <c r="E38" s="52"/>
      <c r="F38" s="52"/>
      <c r="G38" s="53"/>
      <c r="H38" s="30"/>
    </row>
    <row r="39" spans="2:8" x14ac:dyDescent="0.25">
      <c r="B39" s="93" t="s">
        <v>1</v>
      </c>
      <c r="C39" s="94"/>
      <c r="D39" s="95"/>
      <c r="E39" s="188">
        <v>1.1000000000000001</v>
      </c>
      <c r="F39" s="189"/>
      <c r="G39" s="53"/>
      <c r="H39" s="30"/>
    </row>
    <row r="40" spans="2:8" x14ac:dyDescent="0.25">
      <c r="B40" s="77" t="s">
        <v>2</v>
      </c>
      <c r="C40" s="78"/>
      <c r="D40" s="79"/>
      <c r="E40" s="190">
        <v>0.6</v>
      </c>
      <c r="F40" s="191"/>
      <c r="G40" s="53"/>
      <c r="H40" s="30"/>
    </row>
    <row r="41" spans="2:8" x14ac:dyDescent="0.25">
      <c r="B41" s="80" t="s">
        <v>0</v>
      </c>
      <c r="C41" s="81"/>
      <c r="D41" s="82"/>
      <c r="E41" s="192">
        <f>G36*E39/E40</f>
        <v>2878.3333333333339</v>
      </c>
      <c r="F41" s="193"/>
      <c r="G41" s="53"/>
      <c r="H41" s="30"/>
    </row>
    <row r="42" spans="2:8" x14ac:dyDescent="0.25">
      <c r="B42" s="53"/>
      <c r="C42" s="53"/>
      <c r="D42" s="53"/>
      <c r="E42" s="53"/>
      <c r="F42" s="53"/>
      <c r="G42" s="53"/>
      <c r="H42" s="30"/>
    </row>
    <row r="43" spans="2:8" x14ac:dyDescent="0.25">
      <c r="B43" s="89" t="s">
        <v>18</v>
      </c>
      <c r="C43" s="87"/>
      <c r="D43" s="88"/>
      <c r="E43" s="53"/>
      <c r="F43" s="53"/>
      <c r="G43" s="53"/>
      <c r="H43" s="30"/>
    </row>
    <row r="44" spans="2:8" x14ac:dyDescent="0.25">
      <c r="B44" s="93" t="s">
        <v>20</v>
      </c>
      <c r="C44" s="94"/>
      <c r="D44" s="94"/>
      <c r="E44" s="168">
        <v>3</v>
      </c>
      <c r="F44" s="169"/>
      <c r="G44" s="53"/>
      <c r="H44" s="30"/>
    </row>
    <row r="45" spans="2:8" x14ac:dyDescent="0.25">
      <c r="B45" s="77" t="s">
        <v>19</v>
      </c>
      <c r="C45" s="78"/>
      <c r="D45" s="78"/>
      <c r="E45" s="203">
        <v>15</v>
      </c>
      <c r="F45" s="204"/>
      <c r="G45" s="53"/>
      <c r="H45" s="30"/>
    </row>
    <row r="46" spans="2:8" x14ac:dyDescent="0.25">
      <c r="B46" s="80" t="s">
        <v>21</v>
      </c>
      <c r="C46" s="81"/>
      <c r="D46" s="81"/>
      <c r="E46" s="192">
        <f>E41/E45*E44</f>
        <v>575.66666666666686</v>
      </c>
      <c r="F46" s="193"/>
      <c r="G46" s="53"/>
      <c r="H46" s="30"/>
    </row>
    <row r="48" spans="2:8" x14ac:dyDescent="0.25">
      <c r="B48" s="90" t="s">
        <v>168</v>
      </c>
      <c r="C48" s="91"/>
      <c r="D48" s="91"/>
      <c r="E48" s="91"/>
      <c r="F48" s="92"/>
      <c r="G48" s="187">
        <f>E46+E41</f>
        <v>3454.0000000000009</v>
      </c>
      <c r="H48" s="205"/>
    </row>
    <row r="51" spans="2:15" x14ac:dyDescent="0.25">
      <c r="B51" s="103" t="s">
        <v>160</v>
      </c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</row>
    <row r="53" spans="2:15" x14ac:dyDescent="0.25">
      <c r="B53" s="89" t="s">
        <v>146</v>
      </c>
      <c r="C53" s="88"/>
    </row>
    <row r="54" spans="2:15" x14ac:dyDescent="0.25">
      <c r="B54" s="93" t="s">
        <v>4</v>
      </c>
      <c r="C54" s="94"/>
      <c r="D54" s="94"/>
      <c r="E54" s="95"/>
      <c r="F54" s="196">
        <v>80</v>
      </c>
      <c r="G54" s="196"/>
      <c r="H54" s="197"/>
    </row>
    <row r="55" spans="2:15" x14ac:dyDescent="0.25">
      <c r="B55" s="77" t="s">
        <v>5</v>
      </c>
      <c r="C55" s="78"/>
      <c r="D55" s="78"/>
      <c r="E55" s="79"/>
      <c r="F55" s="116">
        <v>12</v>
      </c>
      <c r="G55" s="116"/>
      <c r="H55" s="117"/>
    </row>
    <row r="56" spans="2:15" x14ac:dyDescent="0.25">
      <c r="B56" s="77" t="s">
        <v>145</v>
      </c>
      <c r="C56" s="78"/>
      <c r="D56" s="78"/>
      <c r="E56" s="79"/>
      <c r="F56" s="194">
        <v>5.01</v>
      </c>
      <c r="G56" s="194"/>
      <c r="H56" s="195"/>
    </row>
    <row r="57" spans="2:15" x14ac:dyDescent="0.25">
      <c r="B57" s="77" t="s">
        <v>23</v>
      </c>
      <c r="C57" s="78"/>
      <c r="D57" s="78"/>
      <c r="E57" s="79"/>
      <c r="F57" s="194">
        <v>4.5999999999999996</v>
      </c>
      <c r="G57" s="194"/>
      <c r="H57" s="195"/>
    </row>
    <row r="58" spans="2:15" x14ac:dyDescent="0.25">
      <c r="B58" s="118" t="s">
        <v>147</v>
      </c>
      <c r="C58" s="119"/>
      <c r="D58" s="119"/>
      <c r="E58" s="161"/>
      <c r="F58" s="121" t="s">
        <v>148</v>
      </c>
      <c r="G58" s="121"/>
      <c r="H58" s="121"/>
    </row>
    <row r="59" spans="2:15" x14ac:dyDescent="0.25">
      <c r="B59" s="104" t="s">
        <v>149</v>
      </c>
      <c r="C59" s="105"/>
      <c r="D59" s="105"/>
      <c r="E59" s="164"/>
      <c r="F59" s="107">
        <f>2859.74/8</f>
        <v>357.46749999999997</v>
      </c>
      <c r="G59" s="107"/>
      <c r="H59" s="108"/>
    </row>
    <row r="61" spans="2:15" x14ac:dyDescent="0.25">
      <c r="B61" s="89" t="s">
        <v>161</v>
      </c>
      <c r="C61" s="87"/>
      <c r="D61" s="87"/>
      <c r="E61" s="88"/>
    </row>
    <row r="62" spans="2:15" x14ac:dyDescent="0.25">
      <c r="B62" s="23"/>
      <c r="C62" s="20" t="s">
        <v>28</v>
      </c>
      <c r="D62" s="20" t="s">
        <v>27</v>
      </c>
      <c r="E62" s="20" t="s">
        <v>29</v>
      </c>
      <c r="F62" s="20" t="s">
        <v>30</v>
      </c>
      <c r="G62" s="20" t="s">
        <v>31</v>
      </c>
      <c r="H62" s="21" t="s">
        <v>32</v>
      </c>
      <c r="I62" s="20" t="s">
        <v>33</v>
      </c>
      <c r="J62" s="20" t="s">
        <v>34</v>
      </c>
      <c r="K62" s="20" t="s">
        <v>38</v>
      </c>
      <c r="L62" s="20" t="s">
        <v>35</v>
      </c>
      <c r="M62" s="20" t="s">
        <v>36</v>
      </c>
      <c r="N62" s="20" t="s">
        <v>37</v>
      </c>
      <c r="O62" s="23" t="s">
        <v>42</v>
      </c>
    </row>
    <row r="63" spans="2:15" x14ac:dyDescent="0.25">
      <c r="B63" s="7" t="s">
        <v>3</v>
      </c>
      <c r="C63" s="14">
        <f>C13</f>
        <v>5.48</v>
      </c>
      <c r="D63" s="14">
        <f t="shared" ref="D63:O63" si="2">D13</f>
        <v>5.36</v>
      </c>
      <c r="E63" s="14">
        <f t="shared" si="2"/>
        <v>5.1100000000000003</v>
      </c>
      <c r="F63" s="14">
        <f t="shared" si="2"/>
        <v>4.5999999999999996</v>
      </c>
      <c r="G63" s="14">
        <f t="shared" si="2"/>
        <v>4.0999999999999996</v>
      </c>
      <c r="H63" s="14">
        <f t="shared" si="2"/>
        <v>2.73</v>
      </c>
      <c r="I63" s="14">
        <f t="shared" si="2"/>
        <v>3.86</v>
      </c>
      <c r="J63" s="14">
        <f t="shared" si="2"/>
        <v>4.4000000000000004</v>
      </c>
      <c r="K63" s="14">
        <f t="shared" si="2"/>
        <v>5.1100000000000003</v>
      </c>
      <c r="L63" s="14">
        <f t="shared" si="2"/>
        <v>4.92</v>
      </c>
      <c r="M63" s="14">
        <f t="shared" si="2"/>
        <v>5.19</v>
      </c>
      <c r="N63" s="14">
        <f t="shared" si="2"/>
        <v>5.27</v>
      </c>
      <c r="O63" s="29">
        <f t="shared" si="2"/>
        <v>4.75</v>
      </c>
    </row>
    <row r="64" spans="2:15" x14ac:dyDescent="0.25">
      <c r="B64" s="7" t="s">
        <v>162</v>
      </c>
      <c r="C64" s="71">
        <v>60</v>
      </c>
      <c r="D64" s="72">
        <v>45</v>
      </c>
      <c r="E64" s="72">
        <v>45</v>
      </c>
      <c r="F64" s="72">
        <v>35</v>
      </c>
      <c r="G64" s="72">
        <v>35</v>
      </c>
      <c r="H64" s="72">
        <v>25</v>
      </c>
      <c r="I64" s="72">
        <v>25</v>
      </c>
      <c r="J64" s="72">
        <v>35</v>
      </c>
      <c r="K64" s="72">
        <v>35</v>
      </c>
      <c r="L64" s="72">
        <v>45</v>
      </c>
      <c r="M64" s="72">
        <v>45</v>
      </c>
      <c r="N64" s="73">
        <v>60</v>
      </c>
    </row>
    <row r="65" spans="2:15" x14ac:dyDescent="0.25">
      <c r="B65" s="51" t="s">
        <v>166</v>
      </c>
      <c r="C65" s="15">
        <f t="shared" ref="C65:N65" si="3">$F$54*(1-(ABS(25-C64)*0.8/100))</f>
        <v>57.599999999999994</v>
      </c>
      <c r="D65" s="20">
        <f t="shared" si="3"/>
        <v>67.2</v>
      </c>
      <c r="E65" s="20">
        <f t="shared" si="3"/>
        <v>67.2</v>
      </c>
      <c r="F65" s="20">
        <f t="shared" si="3"/>
        <v>73.600000000000009</v>
      </c>
      <c r="G65" s="20">
        <f t="shared" si="3"/>
        <v>73.600000000000009</v>
      </c>
      <c r="H65" s="20">
        <f t="shared" si="3"/>
        <v>80</v>
      </c>
      <c r="I65" s="20">
        <f t="shared" si="3"/>
        <v>80</v>
      </c>
      <c r="J65" s="20">
        <f t="shared" si="3"/>
        <v>73.600000000000009</v>
      </c>
      <c r="K65" s="20">
        <f t="shared" si="3"/>
        <v>73.600000000000009</v>
      </c>
      <c r="L65" s="20">
        <f t="shared" si="3"/>
        <v>67.2</v>
      </c>
      <c r="M65" s="20">
        <f t="shared" si="3"/>
        <v>67.2</v>
      </c>
      <c r="N65" s="22">
        <f t="shared" si="3"/>
        <v>57.599999999999994</v>
      </c>
    </row>
    <row r="66" spans="2:15" x14ac:dyDescent="0.25">
      <c r="B66" s="7" t="s">
        <v>156</v>
      </c>
      <c r="C66" s="48">
        <f>C65*C63</f>
        <v>315.64799999999997</v>
      </c>
      <c r="D66" s="49">
        <f t="shared" ref="D66:N66" si="4">D65*D63</f>
        <v>360.19200000000006</v>
      </c>
      <c r="E66" s="49">
        <f t="shared" si="4"/>
        <v>343.39200000000005</v>
      </c>
      <c r="F66" s="49">
        <f t="shared" si="4"/>
        <v>338.56</v>
      </c>
      <c r="G66" s="49">
        <f t="shared" si="4"/>
        <v>301.76</v>
      </c>
      <c r="H66" s="49">
        <f t="shared" si="4"/>
        <v>218.4</v>
      </c>
      <c r="I66" s="49">
        <f t="shared" si="4"/>
        <v>308.8</v>
      </c>
      <c r="J66" s="49">
        <f t="shared" si="4"/>
        <v>323.84000000000009</v>
      </c>
      <c r="K66" s="49">
        <f t="shared" si="4"/>
        <v>376.09600000000006</v>
      </c>
      <c r="L66" s="49">
        <f t="shared" si="4"/>
        <v>330.62400000000002</v>
      </c>
      <c r="M66" s="49">
        <f t="shared" si="4"/>
        <v>348.76800000000003</v>
      </c>
      <c r="N66" s="50">
        <f t="shared" si="4"/>
        <v>303.55199999999996</v>
      </c>
    </row>
    <row r="68" spans="2:15" x14ac:dyDescent="0.25">
      <c r="B68" s="89" t="s">
        <v>163</v>
      </c>
      <c r="C68" s="87"/>
      <c r="D68" s="87"/>
      <c r="E68" s="143"/>
    </row>
    <row r="69" spans="2:15" x14ac:dyDescent="0.25">
      <c r="B69" s="90" t="s">
        <v>164</v>
      </c>
      <c r="C69" s="91"/>
      <c r="D69" s="92"/>
      <c r="E69" s="89">
        <f>ROUNDUP(G48/H66,0)</f>
        <v>16</v>
      </c>
      <c r="F69" s="88"/>
    </row>
    <row r="70" spans="2:15" x14ac:dyDescent="0.25">
      <c r="B70" s="8" t="s">
        <v>169</v>
      </c>
      <c r="C70" s="9"/>
      <c r="D70" s="10"/>
      <c r="E70" s="86">
        <f>E69*F59</f>
        <v>5719.48</v>
      </c>
      <c r="F70" s="88"/>
    </row>
    <row r="71" spans="2:15" x14ac:dyDescent="0.25">
      <c r="B71" s="6"/>
      <c r="C71" s="6"/>
      <c r="D71" s="6"/>
      <c r="E71" s="59"/>
      <c r="F71" s="30"/>
    </row>
    <row r="72" spans="2:15" x14ac:dyDescent="0.25">
      <c r="B72" s="6"/>
      <c r="C72" s="6"/>
      <c r="D72" s="6"/>
      <c r="E72" s="59"/>
      <c r="F72" s="30"/>
    </row>
    <row r="73" spans="2:15" x14ac:dyDescent="0.25">
      <c r="B73" s="178" t="s">
        <v>175</v>
      </c>
      <c r="C73" s="178"/>
      <c r="D73" s="178"/>
      <c r="E73" s="178"/>
      <c r="F73" s="178"/>
      <c r="G73" s="178"/>
      <c r="H73" s="178"/>
      <c r="I73" s="178"/>
      <c r="J73" s="178"/>
      <c r="K73" s="178"/>
      <c r="L73" s="178"/>
      <c r="M73" s="178"/>
      <c r="N73" s="178"/>
      <c r="O73" s="178"/>
    </row>
    <row r="75" spans="2:15" x14ac:dyDescent="0.25">
      <c r="B75" s="89" t="s">
        <v>173</v>
      </c>
      <c r="C75" s="87"/>
      <c r="D75" s="87"/>
      <c r="E75" s="87"/>
      <c r="F75" s="88"/>
      <c r="G75" s="176">
        <f>E69*H65</f>
        <v>1280</v>
      </c>
      <c r="H75" s="177"/>
    </row>
    <row r="76" spans="2:15" x14ac:dyDescent="0.25">
      <c r="B76" s="52"/>
      <c r="C76" s="52"/>
      <c r="D76" s="52"/>
      <c r="E76" s="52"/>
      <c r="F76" s="52"/>
      <c r="G76" s="53"/>
      <c r="H76" s="53"/>
    </row>
    <row r="77" spans="2:15" x14ac:dyDescent="0.25">
      <c r="B77" s="89" t="s">
        <v>170</v>
      </c>
      <c r="C77" s="87"/>
      <c r="D77" s="87"/>
      <c r="E77" s="88"/>
      <c r="F77" s="52"/>
      <c r="G77" s="53"/>
      <c r="H77" s="53"/>
    </row>
    <row r="78" spans="2:15" x14ac:dyDescent="0.25">
      <c r="B78" s="89" t="s">
        <v>172</v>
      </c>
      <c r="C78" s="88"/>
      <c r="D78" s="89" t="s">
        <v>171</v>
      </c>
      <c r="E78" s="88"/>
      <c r="F78" s="52"/>
      <c r="G78" s="53"/>
      <c r="H78" s="53"/>
    </row>
    <row r="79" spans="2:15" x14ac:dyDescent="0.25">
      <c r="B79" s="183">
        <v>1000</v>
      </c>
      <c r="C79" s="184"/>
      <c r="D79" s="179">
        <v>12</v>
      </c>
      <c r="E79" s="180"/>
      <c r="F79" s="52"/>
      <c r="G79" s="53"/>
      <c r="H79" s="53"/>
    </row>
    <row r="80" spans="2:15" x14ac:dyDescent="0.25">
      <c r="B80" s="183">
        <v>5000</v>
      </c>
      <c r="C80" s="184"/>
      <c r="D80" s="115">
        <v>24</v>
      </c>
      <c r="E80" s="117"/>
      <c r="F80" s="52"/>
      <c r="G80" s="53"/>
      <c r="H80" s="53"/>
    </row>
    <row r="81" spans="2:9" x14ac:dyDescent="0.25">
      <c r="B81" s="185" t="s">
        <v>207</v>
      </c>
      <c r="C81" s="186"/>
      <c r="D81" s="181">
        <v>48</v>
      </c>
      <c r="E81" s="182"/>
      <c r="F81" s="52"/>
      <c r="G81" s="53"/>
      <c r="H81" s="53"/>
    </row>
    <row r="82" spans="2:9" x14ac:dyDescent="0.25">
      <c r="B82" s="30"/>
      <c r="C82" s="30"/>
      <c r="D82" s="30"/>
      <c r="E82" s="30"/>
      <c r="F82" s="52"/>
      <c r="G82" s="53"/>
      <c r="H82" s="53"/>
    </row>
    <row r="83" spans="2:9" x14ac:dyDescent="0.25">
      <c r="B83" s="89" t="s">
        <v>174</v>
      </c>
      <c r="C83" s="87"/>
      <c r="D83" s="87"/>
      <c r="E83" s="87"/>
      <c r="F83" s="87"/>
      <c r="G83" s="88"/>
      <c r="H83" s="174">
        <f>IF(G75&lt;B79,D79,IF(G75&lt;B80,D80,D81))</f>
        <v>24</v>
      </c>
      <c r="I83" s="175"/>
    </row>
    <row r="85" spans="2:9" x14ac:dyDescent="0.25">
      <c r="B85" s="141" t="s">
        <v>6</v>
      </c>
      <c r="C85" s="142"/>
      <c r="D85" s="143"/>
    </row>
    <row r="86" spans="2:9" x14ac:dyDescent="0.25">
      <c r="B86" s="90" t="s">
        <v>176</v>
      </c>
      <c r="C86" s="91"/>
      <c r="D86" s="91"/>
      <c r="E86" s="92"/>
      <c r="F86" s="18">
        <f>ROUNDUP(H83/F55,0)</f>
        <v>2</v>
      </c>
    </row>
    <row r="87" spans="2:9" x14ac:dyDescent="0.25">
      <c r="B87" s="90" t="s">
        <v>177</v>
      </c>
      <c r="C87" s="91"/>
      <c r="D87" s="91"/>
      <c r="E87" s="92"/>
      <c r="F87" s="23">
        <f>ROUNDUP(E69/F86,0)</f>
        <v>8</v>
      </c>
    </row>
    <row r="89" spans="2:9" x14ac:dyDescent="0.25">
      <c r="B89" s="141" t="s">
        <v>178</v>
      </c>
      <c r="C89" s="142"/>
      <c r="D89" s="143"/>
    </row>
    <row r="90" spans="2:9" x14ac:dyDescent="0.25">
      <c r="B90" s="93" t="s">
        <v>8</v>
      </c>
      <c r="C90" s="94"/>
      <c r="D90" s="94"/>
      <c r="E90" s="94"/>
      <c r="F90" s="168">
        <v>3</v>
      </c>
      <c r="G90" s="169"/>
    </row>
    <row r="91" spans="2:9" x14ac:dyDescent="0.25">
      <c r="B91" s="77" t="s">
        <v>179</v>
      </c>
      <c r="C91" s="78"/>
      <c r="D91" s="78"/>
      <c r="E91" s="78"/>
      <c r="F91" s="170">
        <v>0.8</v>
      </c>
      <c r="G91" s="171"/>
    </row>
    <row r="92" spans="2:9" x14ac:dyDescent="0.25">
      <c r="B92" s="77" t="s">
        <v>9</v>
      </c>
      <c r="C92" s="78"/>
      <c r="D92" s="78"/>
      <c r="E92" s="78"/>
      <c r="F92" s="170">
        <v>0.9</v>
      </c>
      <c r="G92" s="171"/>
    </row>
    <row r="93" spans="2:9" x14ac:dyDescent="0.25">
      <c r="B93" s="80" t="s">
        <v>17</v>
      </c>
      <c r="C93" s="81"/>
      <c r="D93" s="81"/>
      <c r="E93" s="81"/>
      <c r="F93" s="162">
        <v>0.84</v>
      </c>
      <c r="G93" s="163"/>
    </row>
    <row r="95" spans="2:9" x14ac:dyDescent="0.25">
      <c r="B95" s="90" t="s">
        <v>7</v>
      </c>
      <c r="C95" s="91"/>
      <c r="D95" s="91"/>
      <c r="E95" s="91"/>
      <c r="F95" s="172">
        <f>(G36*(F90+1))/(H83*F91*F92*F93)</f>
        <v>432.64991181657837</v>
      </c>
      <c r="G95" s="173"/>
    </row>
    <row r="97" spans="2:8" x14ac:dyDescent="0.25">
      <c r="B97" s="89" t="s">
        <v>180</v>
      </c>
      <c r="C97" s="87"/>
      <c r="D97" s="88"/>
    </row>
    <row r="98" spans="2:8" x14ac:dyDescent="0.25">
      <c r="B98" s="93" t="s">
        <v>11</v>
      </c>
      <c r="C98" s="94"/>
      <c r="D98" s="94"/>
      <c r="E98" s="95"/>
      <c r="F98" s="165">
        <v>220</v>
      </c>
      <c r="G98" s="166"/>
      <c r="H98" s="167"/>
    </row>
    <row r="99" spans="2:8" x14ac:dyDescent="0.25">
      <c r="B99" s="77" t="s">
        <v>12</v>
      </c>
      <c r="C99" s="78"/>
      <c r="D99" s="78"/>
      <c r="E99" s="79"/>
      <c r="F99" s="115">
        <v>12</v>
      </c>
      <c r="G99" s="116"/>
      <c r="H99" s="117"/>
    </row>
    <row r="100" spans="2:8" x14ac:dyDescent="0.25">
      <c r="B100" s="118" t="s">
        <v>147</v>
      </c>
      <c r="C100" s="119"/>
      <c r="D100" s="119"/>
      <c r="E100" s="161"/>
      <c r="F100" s="120" t="s">
        <v>184</v>
      </c>
      <c r="G100" s="121"/>
      <c r="H100" s="121"/>
    </row>
    <row r="101" spans="2:8" x14ac:dyDescent="0.25">
      <c r="B101" s="104" t="s">
        <v>149</v>
      </c>
      <c r="C101" s="105"/>
      <c r="D101" s="105"/>
      <c r="E101" s="164"/>
      <c r="F101" s="106">
        <f>4406.82/8</f>
        <v>550.85249999999996</v>
      </c>
      <c r="G101" s="107"/>
      <c r="H101" s="108"/>
    </row>
    <row r="103" spans="2:8" x14ac:dyDescent="0.25">
      <c r="B103" s="89" t="s">
        <v>10</v>
      </c>
      <c r="C103" s="87"/>
      <c r="D103" s="88"/>
    </row>
    <row r="104" spans="2:8" x14ac:dyDescent="0.25">
      <c r="B104" s="90" t="s">
        <v>164</v>
      </c>
      <c r="C104" s="91"/>
      <c r="D104" s="92"/>
      <c r="E104" s="89">
        <f>ROUNDUP((H83*F95)/(F99*F98),0)</f>
        <v>4</v>
      </c>
      <c r="F104" s="88"/>
      <c r="G104" s="30"/>
    </row>
    <row r="105" spans="2:8" x14ac:dyDescent="0.25">
      <c r="B105" s="56" t="s">
        <v>185</v>
      </c>
      <c r="C105" s="57"/>
      <c r="D105" s="58"/>
      <c r="E105" s="157">
        <f>F110*F98</f>
        <v>440</v>
      </c>
      <c r="F105" s="158"/>
      <c r="G105" s="30"/>
    </row>
    <row r="106" spans="2:8" x14ac:dyDescent="0.25">
      <c r="B106" s="8" t="s">
        <v>169</v>
      </c>
      <c r="C106" s="9"/>
      <c r="D106" s="10"/>
      <c r="E106" s="86">
        <f>E104*F101</f>
        <v>2203.41</v>
      </c>
      <c r="F106" s="88"/>
      <c r="G106" s="30"/>
    </row>
    <row r="107" spans="2:8" x14ac:dyDescent="0.25">
      <c r="B107" s="52"/>
      <c r="C107" s="52"/>
      <c r="D107" s="52"/>
      <c r="E107" s="52"/>
      <c r="F107" s="30"/>
      <c r="G107" s="30"/>
    </row>
    <row r="108" spans="2:8" x14ac:dyDescent="0.25">
      <c r="B108" s="89" t="s">
        <v>181</v>
      </c>
      <c r="C108" s="87"/>
      <c r="D108" s="88"/>
    </row>
    <row r="109" spans="2:8" x14ac:dyDescent="0.25">
      <c r="B109" s="90" t="s">
        <v>182</v>
      </c>
      <c r="C109" s="91"/>
      <c r="D109" s="91"/>
      <c r="E109" s="92"/>
      <c r="F109" s="23">
        <f>ROUNDUP(H83/F99, 0)</f>
        <v>2</v>
      </c>
      <c r="G109" s="54"/>
    </row>
    <row r="110" spans="2:8" x14ac:dyDescent="0.25">
      <c r="B110" s="90" t="s">
        <v>183</v>
      </c>
      <c r="C110" s="91"/>
      <c r="D110" s="91"/>
      <c r="E110" s="92"/>
      <c r="F110" s="23">
        <f>ROUNDUP(E104/F109,0)</f>
        <v>2</v>
      </c>
      <c r="G110" s="13"/>
    </row>
    <row r="112" spans="2:8" x14ac:dyDescent="0.25">
      <c r="B112" s="141" t="s">
        <v>188</v>
      </c>
      <c r="C112" s="142"/>
      <c r="D112" s="143"/>
    </row>
    <row r="113" spans="2:15" x14ac:dyDescent="0.25">
      <c r="B113" s="93" t="s">
        <v>186</v>
      </c>
      <c r="C113" s="94"/>
      <c r="D113" s="94"/>
      <c r="E113" s="94"/>
      <c r="F113" s="153">
        <f>1.25*F87*F57</f>
        <v>46</v>
      </c>
      <c r="G113" s="154"/>
      <c r="H113" s="89" t="str">
        <f>IF(F113&gt;F115,"ERROR. La coriente de carga supera el límite máximo C20","OK")</f>
        <v>OK</v>
      </c>
      <c r="I113" s="88"/>
    </row>
    <row r="114" spans="2:15" x14ac:dyDescent="0.25">
      <c r="B114" s="80" t="s">
        <v>187</v>
      </c>
      <c r="C114" s="81"/>
      <c r="D114" s="81"/>
      <c r="E114" s="81"/>
      <c r="F114" s="155">
        <f>(E29/E31)/(H83*F93)</f>
        <v>19.486961451247168</v>
      </c>
      <c r="G114" s="156"/>
      <c r="H114" s="89" t="str">
        <f>IF(F114&gt;F116,"ERROR. La corriente de descarga supera la corriente máxima de descarga C5","OK")</f>
        <v>OK</v>
      </c>
      <c r="I114" s="88"/>
    </row>
    <row r="115" spans="2:15" x14ac:dyDescent="0.25">
      <c r="B115" s="1" t="s">
        <v>189</v>
      </c>
      <c r="C115" s="2"/>
      <c r="D115" s="2"/>
      <c r="E115" s="2"/>
      <c r="F115" s="153">
        <f>F98/5*F110</f>
        <v>88</v>
      </c>
      <c r="G115" s="154"/>
    </row>
    <row r="116" spans="2:15" x14ac:dyDescent="0.25">
      <c r="B116" s="3" t="s">
        <v>190</v>
      </c>
      <c r="C116" s="4"/>
      <c r="D116" s="4"/>
      <c r="E116" s="4"/>
      <c r="F116" s="159">
        <f>F98/20*F110</f>
        <v>22</v>
      </c>
      <c r="G116" s="160"/>
    </row>
    <row r="119" spans="2:15" x14ac:dyDescent="0.25">
      <c r="B119" s="103" t="s">
        <v>191</v>
      </c>
      <c r="C119" s="103"/>
      <c r="D119" s="103"/>
      <c r="E119" s="103"/>
      <c r="F119" s="103"/>
      <c r="G119" s="103"/>
      <c r="H119" s="103"/>
      <c r="I119" s="103"/>
      <c r="J119" s="103"/>
      <c r="K119" s="103"/>
      <c r="L119" s="103"/>
      <c r="M119" s="103"/>
      <c r="N119" s="103"/>
      <c r="O119" s="103"/>
    </row>
    <row r="121" spans="2:15" x14ac:dyDescent="0.25">
      <c r="B121" s="89" t="s">
        <v>13</v>
      </c>
      <c r="C121" s="87"/>
      <c r="D121" s="88"/>
    </row>
    <row r="122" spans="2:15" x14ac:dyDescent="0.25">
      <c r="B122" s="90" t="s">
        <v>14</v>
      </c>
      <c r="C122" s="91"/>
      <c r="D122" s="91"/>
      <c r="E122" s="92"/>
      <c r="F122" s="151">
        <f>1.25*(F87*F56)</f>
        <v>50.099999999999994</v>
      </c>
      <c r="G122" s="152"/>
      <c r="I122" s="74" t="s">
        <v>208</v>
      </c>
    </row>
    <row r="123" spans="2:15" x14ac:dyDescent="0.25">
      <c r="C123" s="52"/>
      <c r="D123" s="52"/>
      <c r="E123" s="52"/>
      <c r="F123" s="60"/>
      <c r="G123" s="60"/>
    </row>
    <row r="124" spans="2:15" x14ac:dyDescent="0.25">
      <c r="B124" s="89" t="s">
        <v>194</v>
      </c>
      <c r="C124" s="87"/>
      <c r="D124" s="88"/>
      <c r="E124" s="52"/>
      <c r="F124" s="60"/>
      <c r="G124" s="60"/>
    </row>
    <row r="125" spans="2:15" x14ac:dyDescent="0.25">
      <c r="B125" s="135" t="s">
        <v>193</v>
      </c>
      <c r="C125" s="136"/>
      <c r="D125" s="136"/>
      <c r="E125" s="137"/>
      <c r="F125" s="132">
        <v>40</v>
      </c>
      <c r="G125" s="133"/>
      <c r="H125" s="134"/>
    </row>
    <row r="126" spans="2:15" x14ac:dyDescent="0.25">
      <c r="B126" s="138" t="s">
        <v>147</v>
      </c>
      <c r="C126" s="139"/>
      <c r="D126" s="139"/>
      <c r="E126" s="140"/>
      <c r="F126" s="149" t="s">
        <v>192</v>
      </c>
      <c r="G126" s="150"/>
      <c r="H126" s="121"/>
    </row>
    <row r="127" spans="2:15" x14ac:dyDescent="0.25">
      <c r="B127" s="146" t="s">
        <v>149</v>
      </c>
      <c r="C127" s="147"/>
      <c r="D127" s="147"/>
      <c r="E127" s="148"/>
      <c r="F127" s="106">
        <f>1741.48/8</f>
        <v>217.685</v>
      </c>
      <c r="G127" s="107"/>
      <c r="H127" s="108"/>
    </row>
    <row r="128" spans="2:15" x14ac:dyDescent="0.25">
      <c r="B128" s="126" t="s">
        <v>133</v>
      </c>
      <c r="C128" s="127"/>
      <c r="D128" s="127"/>
      <c r="E128" s="128"/>
      <c r="F128" s="129">
        <v>1</v>
      </c>
      <c r="G128" s="130"/>
      <c r="H128" s="131"/>
    </row>
    <row r="129" spans="2:10" x14ac:dyDescent="0.25">
      <c r="B129" s="135" t="s">
        <v>193</v>
      </c>
      <c r="C129" s="136"/>
      <c r="D129" s="136"/>
      <c r="E129" s="137"/>
      <c r="F129" s="132">
        <v>20</v>
      </c>
      <c r="G129" s="133"/>
      <c r="H129" s="134"/>
    </row>
    <row r="130" spans="2:10" x14ac:dyDescent="0.25">
      <c r="B130" s="138" t="s">
        <v>147</v>
      </c>
      <c r="C130" s="139"/>
      <c r="D130" s="139"/>
      <c r="E130" s="140"/>
      <c r="F130" s="149" t="s">
        <v>195</v>
      </c>
      <c r="G130" s="150"/>
      <c r="H130" s="121"/>
    </row>
    <row r="131" spans="2:10" x14ac:dyDescent="0.25">
      <c r="B131" s="146" t="s">
        <v>149</v>
      </c>
      <c r="C131" s="147"/>
      <c r="D131" s="147"/>
      <c r="E131" s="148"/>
      <c r="F131" s="106">
        <f>1135.94/8</f>
        <v>141.99250000000001</v>
      </c>
      <c r="G131" s="107"/>
      <c r="H131" s="108"/>
    </row>
    <row r="132" spans="2:10" x14ac:dyDescent="0.25">
      <c r="B132" s="126" t="s">
        <v>133</v>
      </c>
      <c r="C132" s="127"/>
      <c r="D132" s="127"/>
      <c r="E132" s="128"/>
      <c r="F132" s="129">
        <v>1</v>
      </c>
      <c r="G132" s="130"/>
      <c r="H132" s="131"/>
    </row>
    <row r="133" spans="2:10" x14ac:dyDescent="0.25">
      <c r="B133" s="126" t="s">
        <v>169</v>
      </c>
      <c r="C133" s="127"/>
      <c r="D133" s="127"/>
      <c r="E133" s="128"/>
      <c r="F133" s="86">
        <f>F131*F132+F127*F128</f>
        <v>359.67750000000001</v>
      </c>
      <c r="G133" s="124"/>
      <c r="H133" s="125"/>
    </row>
    <row r="134" spans="2:10" x14ac:dyDescent="0.25">
      <c r="B134" s="61"/>
      <c r="C134" s="61"/>
      <c r="D134" s="61"/>
      <c r="E134" s="61"/>
      <c r="F134" s="59"/>
      <c r="G134" s="59"/>
      <c r="H134" s="59"/>
    </row>
    <row r="135" spans="2:10" x14ac:dyDescent="0.25">
      <c r="B135" s="141" t="s">
        <v>15</v>
      </c>
      <c r="C135" s="142"/>
      <c r="D135" s="143"/>
    </row>
    <row r="136" spans="2:10" x14ac:dyDescent="0.25">
      <c r="B136" s="90" t="s">
        <v>16</v>
      </c>
      <c r="C136" s="91"/>
      <c r="D136" s="91"/>
      <c r="E136" s="92"/>
      <c r="F136" s="144">
        <f>E29*1.25/E31</f>
        <v>491.07142857142861</v>
      </c>
      <c r="G136" s="145"/>
    </row>
    <row r="137" spans="2:10" x14ac:dyDescent="0.25">
      <c r="B137" s="90" t="s">
        <v>196</v>
      </c>
      <c r="C137" s="91"/>
      <c r="D137" s="91"/>
      <c r="E137" s="92"/>
      <c r="F137" s="122">
        <f>(E30)/(220*E31)</f>
        <v>5.4220779220779223</v>
      </c>
      <c r="G137" s="123"/>
    </row>
    <row r="139" spans="2:10" x14ac:dyDescent="0.25">
      <c r="B139" s="89" t="s">
        <v>197</v>
      </c>
      <c r="C139" s="87"/>
      <c r="D139" s="88"/>
    </row>
    <row r="140" spans="2:10" x14ac:dyDescent="0.25">
      <c r="B140" s="93" t="s">
        <v>198</v>
      </c>
      <c r="C140" s="94"/>
      <c r="D140" s="94"/>
      <c r="E140" s="94"/>
      <c r="F140" s="112">
        <v>600</v>
      </c>
      <c r="G140" s="113"/>
      <c r="H140" s="114"/>
      <c r="I140" s="89" t="str">
        <f>IF(F136&gt;F140,"ERROR. La potencia requerida es mayor a la que puede dar el inversor","OK")</f>
        <v>OK</v>
      </c>
      <c r="J140" s="88"/>
    </row>
    <row r="141" spans="2:10" x14ac:dyDescent="0.25">
      <c r="B141" s="77" t="s">
        <v>199</v>
      </c>
      <c r="C141" s="78"/>
      <c r="D141" s="78"/>
      <c r="E141" s="78"/>
      <c r="F141" s="115">
        <v>24</v>
      </c>
      <c r="G141" s="116"/>
      <c r="H141" s="117"/>
    </row>
    <row r="142" spans="2:10" x14ac:dyDescent="0.25">
      <c r="B142" s="77" t="s">
        <v>201</v>
      </c>
      <c r="C142" s="78"/>
      <c r="D142" s="78"/>
      <c r="E142" s="79"/>
      <c r="F142" s="109">
        <v>11</v>
      </c>
      <c r="G142" s="110"/>
      <c r="H142" s="111"/>
      <c r="I142" s="89" t="str">
        <f>IF(F137&gt;F142,"ERROR. La corriente de salida es mayor a la que puede soportar el inversor","OK")</f>
        <v>OK</v>
      </c>
      <c r="J142" s="88"/>
    </row>
    <row r="143" spans="2:10" x14ac:dyDescent="0.25">
      <c r="B143" s="118" t="s">
        <v>147</v>
      </c>
      <c r="C143" s="119"/>
      <c r="D143" s="119"/>
      <c r="E143" s="119"/>
      <c r="F143" s="120" t="s">
        <v>200</v>
      </c>
      <c r="G143" s="121"/>
      <c r="H143" s="121"/>
    </row>
    <row r="144" spans="2:10" x14ac:dyDescent="0.25">
      <c r="B144" s="104" t="s">
        <v>149</v>
      </c>
      <c r="C144" s="105"/>
      <c r="D144" s="105"/>
      <c r="E144" s="105"/>
      <c r="F144" s="106">
        <f>7981.16/8</f>
        <v>997.64499999999998</v>
      </c>
      <c r="G144" s="107"/>
      <c r="H144" s="108"/>
    </row>
    <row r="147" spans="2:15" x14ac:dyDescent="0.25">
      <c r="B147" s="103" t="s">
        <v>202</v>
      </c>
      <c r="C147" s="103"/>
      <c r="D147" s="103"/>
      <c r="E147" s="103"/>
      <c r="F147" s="103"/>
      <c r="G147" s="103"/>
      <c r="H147" s="103"/>
      <c r="I147" s="103"/>
      <c r="J147" s="103"/>
      <c r="K147" s="103"/>
      <c r="L147" s="103"/>
      <c r="M147" s="103"/>
      <c r="N147" s="103"/>
      <c r="O147" s="103"/>
    </row>
    <row r="149" spans="2:15" x14ac:dyDescent="0.25">
      <c r="B149" s="90" t="s">
        <v>204</v>
      </c>
      <c r="C149" s="91"/>
      <c r="D149" s="92"/>
      <c r="E149" s="89" t="s">
        <v>147</v>
      </c>
      <c r="F149" s="87"/>
      <c r="G149" s="88"/>
      <c r="H149" s="89" t="s">
        <v>133</v>
      </c>
      <c r="I149" s="88"/>
      <c r="J149" s="89" t="s">
        <v>205</v>
      </c>
      <c r="K149" s="87"/>
      <c r="L149" s="88"/>
      <c r="M149" s="55"/>
      <c r="N149" s="54"/>
      <c r="O149" s="54"/>
    </row>
    <row r="150" spans="2:15" x14ac:dyDescent="0.25">
      <c r="B150" s="77" t="s">
        <v>203</v>
      </c>
      <c r="C150" s="78"/>
      <c r="D150" s="79"/>
      <c r="E150" s="98" t="str">
        <f>F58</f>
        <v>Solartec KS80T - SL*</v>
      </c>
      <c r="F150" s="84"/>
      <c r="G150" s="85"/>
      <c r="H150" s="98">
        <f>E69</f>
        <v>16</v>
      </c>
      <c r="I150" s="85"/>
      <c r="J150" s="83">
        <f>E70</f>
        <v>5719.48</v>
      </c>
      <c r="K150" s="84"/>
      <c r="L150" s="85"/>
      <c r="M150" s="62">
        <f t="shared" ref="M150:M153" si="5">J150/$J$155</f>
        <v>0.61630916317918361</v>
      </c>
    </row>
    <row r="151" spans="2:15" x14ac:dyDescent="0.25">
      <c r="B151" s="77" t="s">
        <v>206</v>
      </c>
      <c r="C151" s="78"/>
      <c r="D151" s="79"/>
      <c r="E151" s="98" t="str">
        <f>F100</f>
        <v>Moura CLEAN 12MF220</v>
      </c>
      <c r="F151" s="84"/>
      <c r="G151" s="85"/>
      <c r="H151" s="98">
        <f>E104</f>
        <v>4</v>
      </c>
      <c r="I151" s="85"/>
      <c r="J151" s="83">
        <f>E106</f>
        <v>2203.41</v>
      </c>
      <c r="K151" s="84"/>
      <c r="L151" s="85"/>
      <c r="M151" s="63">
        <f t="shared" si="5"/>
        <v>0.23743098555124681</v>
      </c>
    </row>
    <row r="152" spans="2:15" x14ac:dyDescent="0.25">
      <c r="B152" s="77" t="s">
        <v>13</v>
      </c>
      <c r="C152" s="78"/>
      <c r="D152" s="79"/>
      <c r="E152" s="98" t="str">
        <f>F126</f>
        <v>SOLARTEC SC40</v>
      </c>
      <c r="F152" s="84"/>
      <c r="G152" s="85"/>
      <c r="H152" s="98">
        <v>1</v>
      </c>
      <c r="I152" s="85"/>
      <c r="J152" s="83">
        <f>F127</f>
        <v>217.685</v>
      </c>
      <c r="K152" s="96"/>
      <c r="L152" s="97"/>
      <c r="M152" s="63">
        <f t="shared" si="5"/>
        <v>2.3456898212190724E-2</v>
      </c>
    </row>
    <row r="153" spans="2:15" x14ac:dyDescent="0.25">
      <c r="B153" s="77" t="s">
        <v>13</v>
      </c>
      <c r="C153" s="78"/>
      <c r="D153" s="79"/>
      <c r="E153" s="98" t="str">
        <f>F130</f>
        <v>SOLARTEC SC20</v>
      </c>
      <c r="F153" s="84"/>
      <c r="G153" s="85"/>
      <c r="H153" s="98">
        <v>1</v>
      </c>
      <c r="I153" s="85"/>
      <c r="J153" s="83">
        <f>F131</f>
        <v>141.99250000000001</v>
      </c>
      <c r="K153" s="96"/>
      <c r="L153" s="97"/>
      <c r="M153" s="63">
        <f t="shared" si="5"/>
        <v>1.5300565585109178E-2</v>
      </c>
    </row>
    <row r="154" spans="2:15" x14ac:dyDescent="0.25">
      <c r="B154" s="3" t="s">
        <v>15</v>
      </c>
      <c r="C154" s="4"/>
      <c r="D154" s="5"/>
      <c r="E154" s="99" t="str">
        <f>F143</f>
        <v>TGP 24 600</v>
      </c>
      <c r="F154" s="100"/>
      <c r="G154" s="101"/>
      <c r="H154" s="99">
        <v>1</v>
      </c>
      <c r="I154" s="101"/>
      <c r="J154" s="102">
        <f>F144</f>
        <v>997.64499999999998</v>
      </c>
      <c r="K154" s="100"/>
      <c r="L154" s="101"/>
      <c r="M154" s="64">
        <f>J154/$J$155</f>
        <v>0.10750238747226963</v>
      </c>
    </row>
    <row r="155" spans="2:15" x14ac:dyDescent="0.25">
      <c r="J155" s="86">
        <f>SUM(J150:L154)</f>
        <v>9280.2124999999996</v>
      </c>
      <c r="K155" s="87"/>
      <c r="L155" s="88"/>
    </row>
    <row r="157" spans="2:15" x14ac:dyDescent="0.25">
      <c r="B157" s="90" t="s">
        <v>204</v>
      </c>
      <c r="C157" s="91"/>
      <c r="D157" s="91"/>
      <c r="E157" s="91"/>
      <c r="F157" s="91"/>
      <c r="G157" s="91"/>
      <c r="H157" s="91"/>
      <c r="I157" s="92"/>
      <c r="J157" s="89" t="s">
        <v>205</v>
      </c>
      <c r="K157" s="87"/>
      <c r="L157" s="88"/>
    </row>
    <row r="158" spans="2:15" x14ac:dyDescent="0.25">
      <c r="B158" s="93" t="s">
        <v>209</v>
      </c>
      <c r="C158" s="94"/>
      <c r="D158" s="94"/>
      <c r="E158" s="94"/>
      <c r="F158" s="94"/>
      <c r="G158" s="94"/>
      <c r="H158" s="94"/>
      <c r="I158" s="95"/>
      <c r="J158" s="83">
        <v>650</v>
      </c>
      <c r="K158" s="84"/>
      <c r="L158" s="85"/>
    </row>
    <row r="159" spans="2:15" x14ac:dyDescent="0.25">
      <c r="B159" s="77" t="s">
        <v>210</v>
      </c>
      <c r="C159" s="78"/>
      <c r="D159" s="78"/>
      <c r="E159" s="78"/>
      <c r="F159" s="78"/>
      <c r="G159" s="78"/>
      <c r="H159" s="78"/>
      <c r="I159" s="79"/>
      <c r="J159" s="83">
        <v>550</v>
      </c>
      <c r="K159" s="84"/>
      <c r="L159" s="85"/>
    </row>
    <row r="160" spans="2:15" x14ac:dyDescent="0.25">
      <c r="B160" s="77" t="s">
        <v>211</v>
      </c>
      <c r="C160" s="78"/>
      <c r="D160" s="78"/>
      <c r="E160" s="78"/>
      <c r="F160" s="78"/>
      <c r="G160" s="78"/>
      <c r="H160" s="78"/>
      <c r="I160" s="79"/>
      <c r="J160" s="83">
        <v>800</v>
      </c>
      <c r="K160" s="84"/>
      <c r="L160" s="85"/>
    </row>
    <row r="161" spans="2:12" x14ac:dyDescent="0.25">
      <c r="B161" s="80" t="s">
        <v>212</v>
      </c>
      <c r="C161" s="81"/>
      <c r="D161" s="81"/>
      <c r="E161" s="81"/>
      <c r="F161" s="81"/>
      <c r="G161" s="81"/>
      <c r="H161" s="81"/>
      <c r="I161" s="82"/>
      <c r="J161" s="83">
        <v>1400</v>
      </c>
      <c r="K161" s="84"/>
      <c r="L161" s="85"/>
    </row>
    <row r="162" spans="2:12" x14ac:dyDescent="0.25">
      <c r="J162" s="86">
        <f>SUM(J158:L161)</f>
        <v>3400</v>
      </c>
      <c r="K162" s="87"/>
      <c r="L162" s="88"/>
    </row>
  </sheetData>
  <mergeCells count="193">
    <mergeCell ref="B19:O19"/>
    <mergeCell ref="F5:G5"/>
    <mergeCell ref="H5:N5"/>
    <mergeCell ref="G33:H33"/>
    <mergeCell ref="I21:J21"/>
    <mergeCell ref="K21:L21"/>
    <mergeCell ref="B3:O3"/>
    <mergeCell ref="B21:D21"/>
    <mergeCell ref="B22:D22"/>
    <mergeCell ref="B23:D23"/>
    <mergeCell ref="C5:D5"/>
    <mergeCell ref="C6:D6"/>
    <mergeCell ref="B8:C8"/>
    <mergeCell ref="B24:D24"/>
    <mergeCell ref="B25:D25"/>
    <mergeCell ref="B26:D26"/>
    <mergeCell ref="B27:D27"/>
    <mergeCell ref="G34:H34"/>
    <mergeCell ref="E29:F29"/>
    <mergeCell ref="E30:F30"/>
    <mergeCell ref="B33:F33"/>
    <mergeCell ref="B34:F34"/>
    <mergeCell ref="E31:F31"/>
    <mergeCell ref="B29:D29"/>
    <mergeCell ref="B46:D46"/>
    <mergeCell ref="E44:F44"/>
    <mergeCell ref="E45:F45"/>
    <mergeCell ref="E46:F46"/>
    <mergeCell ref="B30:D30"/>
    <mergeCell ref="F92:G92"/>
    <mergeCell ref="B95:E95"/>
    <mergeCell ref="B92:E92"/>
    <mergeCell ref="B61:E61"/>
    <mergeCell ref="B36:F36"/>
    <mergeCell ref="G36:H36"/>
    <mergeCell ref="B38:D38"/>
    <mergeCell ref="B40:D40"/>
    <mergeCell ref="B39:D39"/>
    <mergeCell ref="B41:D41"/>
    <mergeCell ref="E39:F39"/>
    <mergeCell ref="E40:F40"/>
    <mergeCell ref="E41:F41"/>
    <mergeCell ref="B59:E59"/>
    <mergeCell ref="B53:C53"/>
    <mergeCell ref="F58:H58"/>
    <mergeCell ref="F59:H59"/>
    <mergeCell ref="F57:H57"/>
    <mergeCell ref="F56:H56"/>
    <mergeCell ref="B51:O51"/>
    <mergeCell ref="B54:E54"/>
    <mergeCell ref="B55:E55"/>
    <mergeCell ref="B56:E56"/>
    <mergeCell ref="B57:E57"/>
    <mergeCell ref="H83:I83"/>
    <mergeCell ref="B75:F75"/>
    <mergeCell ref="G75:H75"/>
    <mergeCell ref="B73:O73"/>
    <mergeCell ref="B78:C78"/>
    <mergeCell ref="D78:E78"/>
    <mergeCell ref="D79:E79"/>
    <mergeCell ref="D80:E80"/>
    <mergeCell ref="D81:E81"/>
    <mergeCell ref="B79:C79"/>
    <mergeCell ref="B80:C80"/>
    <mergeCell ref="B81:C81"/>
    <mergeCell ref="B69:D69"/>
    <mergeCell ref="B68:E68"/>
    <mergeCell ref="E69:F69"/>
    <mergeCell ref="E70:F70"/>
    <mergeCell ref="B43:D43"/>
    <mergeCell ref="B44:D44"/>
    <mergeCell ref="B45:D45"/>
    <mergeCell ref="F90:G90"/>
    <mergeCell ref="F91:G91"/>
    <mergeCell ref="B90:E90"/>
    <mergeCell ref="B91:E91"/>
    <mergeCell ref="B85:D85"/>
    <mergeCell ref="B86:E86"/>
    <mergeCell ref="B87:E87"/>
    <mergeCell ref="B89:D89"/>
    <mergeCell ref="B77:E77"/>
    <mergeCell ref="B83:G83"/>
    <mergeCell ref="B58:E58"/>
    <mergeCell ref="F55:H55"/>
    <mergeCell ref="F54:H54"/>
    <mergeCell ref="G48:H48"/>
    <mergeCell ref="B48:F48"/>
    <mergeCell ref="B97:D97"/>
    <mergeCell ref="B100:E100"/>
    <mergeCell ref="F93:G93"/>
    <mergeCell ref="B93:E93"/>
    <mergeCell ref="E104:F104"/>
    <mergeCell ref="F100:H100"/>
    <mergeCell ref="B101:E101"/>
    <mergeCell ref="F101:H101"/>
    <mergeCell ref="F98:H98"/>
    <mergeCell ref="F99:H99"/>
    <mergeCell ref="B104:D104"/>
    <mergeCell ref="F95:G95"/>
    <mergeCell ref="E106:F106"/>
    <mergeCell ref="B103:D103"/>
    <mergeCell ref="E105:F105"/>
    <mergeCell ref="B108:D108"/>
    <mergeCell ref="B109:E109"/>
    <mergeCell ref="B110:E110"/>
    <mergeCell ref="B98:E98"/>
    <mergeCell ref="B99:E99"/>
    <mergeCell ref="F116:G116"/>
    <mergeCell ref="H113:I113"/>
    <mergeCell ref="H114:I114"/>
    <mergeCell ref="B119:O119"/>
    <mergeCell ref="F122:G122"/>
    <mergeCell ref="B122:E122"/>
    <mergeCell ref="B121:D121"/>
    <mergeCell ref="B112:D112"/>
    <mergeCell ref="B113:E113"/>
    <mergeCell ref="B114:E114"/>
    <mergeCell ref="F113:G113"/>
    <mergeCell ref="F114:G114"/>
    <mergeCell ref="F115:G115"/>
    <mergeCell ref="F125:H125"/>
    <mergeCell ref="B125:E125"/>
    <mergeCell ref="B126:E126"/>
    <mergeCell ref="B124:D124"/>
    <mergeCell ref="B129:E129"/>
    <mergeCell ref="F129:H129"/>
    <mergeCell ref="B135:D135"/>
    <mergeCell ref="F136:G136"/>
    <mergeCell ref="B136:E136"/>
    <mergeCell ref="B127:E127"/>
    <mergeCell ref="F127:H127"/>
    <mergeCell ref="F126:H126"/>
    <mergeCell ref="B130:E130"/>
    <mergeCell ref="F130:H130"/>
    <mergeCell ref="B131:E131"/>
    <mergeCell ref="F131:H131"/>
    <mergeCell ref="B143:E143"/>
    <mergeCell ref="F143:H143"/>
    <mergeCell ref="F137:G137"/>
    <mergeCell ref="B137:E137"/>
    <mergeCell ref="B139:D139"/>
    <mergeCell ref="F133:H133"/>
    <mergeCell ref="B133:E133"/>
    <mergeCell ref="F128:H128"/>
    <mergeCell ref="B128:E128"/>
    <mergeCell ref="B132:E132"/>
    <mergeCell ref="F132:H132"/>
    <mergeCell ref="E149:G149"/>
    <mergeCell ref="E150:G150"/>
    <mergeCell ref="E151:G151"/>
    <mergeCell ref="H151:I151"/>
    <mergeCell ref="J151:L151"/>
    <mergeCell ref="B152:D152"/>
    <mergeCell ref="B151:D151"/>
    <mergeCell ref="I140:J140"/>
    <mergeCell ref="B147:O147"/>
    <mergeCell ref="B150:D150"/>
    <mergeCell ref="B149:D149"/>
    <mergeCell ref="H149:I149"/>
    <mergeCell ref="J149:L149"/>
    <mergeCell ref="H150:I150"/>
    <mergeCell ref="J150:L150"/>
    <mergeCell ref="B144:E144"/>
    <mergeCell ref="F144:H144"/>
    <mergeCell ref="F142:H142"/>
    <mergeCell ref="B142:E142"/>
    <mergeCell ref="I142:J142"/>
    <mergeCell ref="B140:E140"/>
    <mergeCell ref="F140:H140"/>
    <mergeCell ref="B141:E141"/>
    <mergeCell ref="F141:H141"/>
    <mergeCell ref="J155:L155"/>
    <mergeCell ref="B153:D153"/>
    <mergeCell ref="J152:L152"/>
    <mergeCell ref="J153:L153"/>
    <mergeCell ref="H152:I152"/>
    <mergeCell ref="H153:I153"/>
    <mergeCell ref="E154:G154"/>
    <mergeCell ref="H154:I154"/>
    <mergeCell ref="J154:L154"/>
    <mergeCell ref="E153:G153"/>
    <mergeCell ref="E152:G152"/>
    <mergeCell ref="B160:I160"/>
    <mergeCell ref="B161:I161"/>
    <mergeCell ref="J158:L158"/>
    <mergeCell ref="J159:L159"/>
    <mergeCell ref="J160:L160"/>
    <mergeCell ref="J161:L161"/>
    <mergeCell ref="J162:L162"/>
    <mergeCell ref="J157:L157"/>
    <mergeCell ref="B157:I157"/>
    <mergeCell ref="B158:I158"/>
    <mergeCell ref="B159:I159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6:S12"/>
  <sheetViews>
    <sheetView workbookViewId="0">
      <selection activeCell="E4" sqref="E4"/>
    </sheetView>
  </sheetViews>
  <sheetFormatPr baseColWidth="10" defaultColWidth="9.140625" defaultRowHeight="15" x14ac:dyDescent="0.25"/>
  <sheetData>
    <row r="6" spans="6:19" x14ac:dyDescent="0.25">
      <c r="F6" s="11" t="s">
        <v>43</v>
      </c>
      <c r="G6" s="12" t="s">
        <v>44</v>
      </c>
      <c r="H6" s="12" t="s">
        <v>45</v>
      </c>
      <c r="I6" s="12" t="s">
        <v>46</v>
      </c>
      <c r="J6" s="12" t="s">
        <v>47</v>
      </c>
      <c r="K6" s="12" t="s">
        <v>48</v>
      </c>
      <c r="L6" s="12" t="s">
        <v>49</v>
      </c>
      <c r="M6" s="12" t="s">
        <v>50</v>
      </c>
      <c r="N6" s="12" t="s">
        <v>51</v>
      </c>
      <c r="O6" s="12" t="s">
        <v>52</v>
      </c>
      <c r="P6" s="12" t="s">
        <v>53</v>
      </c>
      <c r="Q6" s="12" t="s">
        <v>54</v>
      </c>
      <c r="R6" s="12" t="s">
        <v>55</v>
      </c>
      <c r="S6" s="12" t="s">
        <v>56</v>
      </c>
    </row>
    <row r="7" spans="6:19" x14ac:dyDescent="0.25">
      <c r="F7" s="11" t="s">
        <v>57</v>
      </c>
      <c r="G7" s="12" t="s">
        <v>58</v>
      </c>
      <c r="H7" s="12" t="s">
        <v>59</v>
      </c>
      <c r="I7" s="12" t="s">
        <v>60</v>
      </c>
      <c r="J7" s="12" t="s">
        <v>61</v>
      </c>
      <c r="K7" s="12" t="s">
        <v>62</v>
      </c>
      <c r="L7" s="12" t="s">
        <v>63</v>
      </c>
      <c r="M7" s="12" t="s">
        <v>64</v>
      </c>
      <c r="N7" s="12" t="s">
        <v>65</v>
      </c>
      <c r="O7" s="12" t="s">
        <v>66</v>
      </c>
      <c r="P7" s="12" t="s">
        <v>67</v>
      </c>
      <c r="Q7" s="12" t="s">
        <v>68</v>
      </c>
      <c r="R7" s="12" t="s">
        <v>69</v>
      </c>
      <c r="S7" s="12" t="s">
        <v>70</v>
      </c>
    </row>
    <row r="8" spans="6:19" x14ac:dyDescent="0.25">
      <c r="F8" s="11" t="s">
        <v>71</v>
      </c>
      <c r="G8" s="12" t="s">
        <v>72</v>
      </c>
      <c r="H8" s="12" t="s">
        <v>73</v>
      </c>
      <c r="I8" s="12" t="s">
        <v>74</v>
      </c>
      <c r="J8" s="12" t="s">
        <v>75</v>
      </c>
      <c r="K8" s="12" t="s">
        <v>76</v>
      </c>
      <c r="L8" s="12" t="s">
        <v>77</v>
      </c>
      <c r="M8" s="12" t="s">
        <v>78</v>
      </c>
      <c r="N8" s="12" t="s">
        <v>79</v>
      </c>
      <c r="O8" s="12" t="s">
        <v>53</v>
      </c>
      <c r="P8" s="12" t="s">
        <v>80</v>
      </c>
      <c r="Q8" s="12" t="s">
        <v>81</v>
      </c>
      <c r="R8" s="12" t="s">
        <v>82</v>
      </c>
      <c r="S8" s="12" t="s">
        <v>83</v>
      </c>
    </row>
    <row r="9" spans="6:19" x14ac:dyDescent="0.25">
      <c r="F9" s="11" t="s">
        <v>84</v>
      </c>
      <c r="G9" s="12" t="s">
        <v>85</v>
      </c>
      <c r="H9" s="12" t="s">
        <v>86</v>
      </c>
      <c r="I9" s="12" t="s">
        <v>87</v>
      </c>
      <c r="J9" s="12" t="s">
        <v>88</v>
      </c>
      <c r="K9" s="12" t="s">
        <v>89</v>
      </c>
      <c r="L9" s="12" t="s">
        <v>90</v>
      </c>
      <c r="M9" s="12" t="s">
        <v>91</v>
      </c>
      <c r="N9" s="12" t="s">
        <v>92</v>
      </c>
      <c r="O9" s="12" t="s">
        <v>87</v>
      </c>
      <c r="P9" s="12" t="s">
        <v>93</v>
      </c>
      <c r="Q9" s="12" t="s">
        <v>94</v>
      </c>
      <c r="R9" s="12" t="s">
        <v>95</v>
      </c>
      <c r="S9" s="12" t="s">
        <v>96</v>
      </c>
    </row>
    <row r="10" spans="6:19" x14ac:dyDescent="0.25">
      <c r="F10" s="11" t="s">
        <v>97</v>
      </c>
      <c r="G10" s="12" t="s">
        <v>98</v>
      </c>
      <c r="H10" s="12" t="s">
        <v>99</v>
      </c>
      <c r="I10" s="12" t="s">
        <v>100</v>
      </c>
      <c r="J10" s="12" t="s">
        <v>101</v>
      </c>
      <c r="K10" s="12" t="s">
        <v>102</v>
      </c>
      <c r="L10" s="12" t="s">
        <v>103</v>
      </c>
      <c r="M10" s="12" t="s">
        <v>104</v>
      </c>
      <c r="N10" s="12" t="s">
        <v>101</v>
      </c>
      <c r="O10" s="12" t="s">
        <v>105</v>
      </c>
      <c r="P10" s="12" t="s">
        <v>106</v>
      </c>
      <c r="Q10" s="12" t="s">
        <v>107</v>
      </c>
      <c r="R10" s="12" t="s">
        <v>50</v>
      </c>
      <c r="S10" s="12" t="s">
        <v>108</v>
      </c>
    </row>
    <row r="11" spans="6:19" x14ac:dyDescent="0.25">
      <c r="F11" s="11" t="s">
        <v>40</v>
      </c>
      <c r="G11" s="12" t="s">
        <v>109</v>
      </c>
      <c r="H11" s="12" t="s">
        <v>110</v>
      </c>
      <c r="I11" s="12" t="s">
        <v>86</v>
      </c>
      <c r="J11" s="12" t="s">
        <v>111</v>
      </c>
      <c r="K11" s="12" t="s">
        <v>112</v>
      </c>
      <c r="L11" s="12" t="s">
        <v>113</v>
      </c>
      <c r="M11" s="12" t="s">
        <v>114</v>
      </c>
      <c r="N11" s="12" t="s">
        <v>92</v>
      </c>
      <c r="O11" s="12" t="s">
        <v>115</v>
      </c>
      <c r="P11" s="12" t="s">
        <v>67</v>
      </c>
      <c r="Q11" s="12" t="s">
        <v>116</v>
      </c>
      <c r="R11" s="12" t="s">
        <v>55</v>
      </c>
      <c r="S11" s="12" t="s">
        <v>95</v>
      </c>
    </row>
    <row r="12" spans="6:19" ht="30" x14ac:dyDescent="0.25">
      <c r="F12" s="11" t="s">
        <v>117</v>
      </c>
      <c r="G12" s="12" t="s">
        <v>118</v>
      </c>
      <c r="H12" s="12" t="s">
        <v>119</v>
      </c>
      <c r="I12" s="12" t="s">
        <v>120</v>
      </c>
      <c r="J12" s="12" t="s">
        <v>121</v>
      </c>
      <c r="K12" s="12" t="s">
        <v>122</v>
      </c>
      <c r="L12" s="12" t="s">
        <v>123</v>
      </c>
      <c r="M12" s="12" t="s">
        <v>124</v>
      </c>
      <c r="N12" s="12" t="s">
        <v>125</v>
      </c>
      <c r="O12" s="12" t="s">
        <v>126</v>
      </c>
      <c r="P12" s="12" t="s">
        <v>127</v>
      </c>
      <c r="Q12" s="12" t="s">
        <v>128</v>
      </c>
      <c r="R12" s="12" t="s">
        <v>129</v>
      </c>
      <c r="S12" s="12" t="s">
        <v>130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Fundación Energizar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Fundación Energizar</dc:creator>
  <cp:lastModifiedBy>Rodrigo Spirolazzi</cp:lastModifiedBy>
  <dcterms:created xsi:type="dcterms:W3CDTF">2014-04-16T18:59:49Z</dcterms:created>
  <dcterms:modified xsi:type="dcterms:W3CDTF">2017-12-20T17:27:04Z</dcterms:modified>
</cp:coreProperties>
</file>