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Finanical Staement" sheetId="7" r:id="rId1"/>
    <sheet name="Model" sheetId="1" r:id="rId2"/>
    <sheet name="Scenarios" sheetId="3" r:id="rId3"/>
    <sheet name="Comps" sheetId="8" r:id="rId4"/>
    <sheet name="WACC " sheetId="10" r:id="rId5"/>
    <sheet name="Beta" sheetId="11" r:id="rId6"/>
    <sheet name="Summary" sheetId="12" r:id="rId7"/>
    <sheet name="LBO Model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<sst xmlns="http://schemas.openxmlformats.org/spreadsheetml/2006/main" count="731" uniqueCount="438">
  <si>
    <t>Alkem laboratories Limited</t>
  </si>
  <si>
    <t>Financial Analysis &amp; DCF Analysis</t>
  </si>
  <si>
    <t>Income Statement</t>
  </si>
  <si>
    <t>Income</t>
  </si>
  <si>
    <t>Revenue</t>
  </si>
  <si>
    <t>Cost Of Good Sold (COGS)</t>
  </si>
  <si>
    <t>Gross Profit</t>
  </si>
  <si>
    <t>Expenses</t>
  </si>
  <si>
    <t>Salaries and benefits</t>
  </si>
  <si>
    <t>Other SG&amp;A Expenses</t>
  </si>
  <si>
    <t>EBITDA</t>
  </si>
  <si>
    <t>Depreciation &amp; Amortiztion Expenses</t>
  </si>
  <si>
    <t>EBIT</t>
  </si>
  <si>
    <t>Interest</t>
  </si>
  <si>
    <t>Other Income (Expenses)</t>
  </si>
  <si>
    <t>Earning Before Tax</t>
  </si>
  <si>
    <t>Taxes</t>
  </si>
  <si>
    <t>Net Earning</t>
  </si>
  <si>
    <t>BALANCE SHEET</t>
  </si>
  <si>
    <t>Assets</t>
  </si>
  <si>
    <t>Current Assets:</t>
  </si>
  <si>
    <t>Cash</t>
  </si>
  <si>
    <t>Bank Deposits</t>
  </si>
  <si>
    <t xml:space="preserve">                                                                                                                                                  </t>
  </si>
  <si>
    <t>A/c Receivables</t>
  </si>
  <si>
    <t>Inventory</t>
  </si>
  <si>
    <t>Other Current assets</t>
  </si>
  <si>
    <t>Non-Current Assets:</t>
  </si>
  <si>
    <t>Property &amp; Equipments</t>
  </si>
  <si>
    <t>Goodwill</t>
  </si>
  <si>
    <t>Financial Assets</t>
  </si>
  <si>
    <t>Other Non- Current Assets</t>
  </si>
  <si>
    <t>Total Aseets</t>
  </si>
  <si>
    <t>Liabilities</t>
  </si>
  <si>
    <t>Current Liabilities</t>
  </si>
  <si>
    <t>A/c Payable</t>
  </si>
  <si>
    <t>Other Current Liability</t>
  </si>
  <si>
    <t>Non-Current Liabilities:</t>
  </si>
  <si>
    <t>Debt</t>
  </si>
  <si>
    <t>Other Non-current Liability</t>
  </si>
  <si>
    <t>Total Liabilities</t>
  </si>
  <si>
    <t>Shareholder's Equity</t>
  </si>
  <si>
    <t>Equity Capital</t>
  </si>
  <si>
    <t>Retained Earning</t>
  </si>
  <si>
    <t>Non-Controlling Interest</t>
  </si>
  <si>
    <t>Total Liabilities &amp; Shareholder;s Equity</t>
  </si>
  <si>
    <t>Cash Flow Statement</t>
  </si>
  <si>
    <t>Operating Cash Flow</t>
  </si>
  <si>
    <t>Plus: Depreciation &amp; Amortization</t>
  </si>
  <si>
    <t>Plus/Less: Adjustment for non-operating Items</t>
  </si>
  <si>
    <t>Plus/Less: Adjustment for operating Asset and Liabilities</t>
  </si>
  <si>
    <t>Cash From Operations</t>
  </si>
  <si>
    <t>Investing Cash Flow</t>
  </si>
  <si>
    <t>Investments In Property &amp; Equipment</t>
  </si>
  <si>
    <t>Sale of property, plant and Equipment</t>
  </si>
  <si>
    <t>Purchases/ sale of investment</t>
  </si>
  <si>
    <t>Dividend Received</t>
  </si>
  <si>
    <t>Interest Received</t>
  </si>
  <si>
    <t>Rent Received</t>
  </si>
  <si>
    <t>Cash From Investing</t>
  </si>
  <si>
    <t>Financing Cash Flow</t>
  </si>
  <si>
    <t>Issuance(repayment)of debt</t>
  </si>
  <si>
    <t>Issuance(repayment)of preferences Shares -NCI</t>
  </si>
  <si>
    <t>Dividend Paid</t>
  </si>
  <si>
    <t>Interest Paid</t>
  </si>
  <si>
    <t>Cash From Financing</t>
  </si>
  <si>
    <t>Net Increase(Decrease) in cash</t>
  </si>
  <si>
    <t>Opening Cash Balances</t>
  </si>
  <si>
    <t>Closing Cash Balances</t>
  </si>
  <si>
    <t>Ratios And Assumptions</t>
  </si>
  <si>
    <t>Scenarios</t>
  </si>
  <si>
    <t>Bull Case</t>
  </si>
  <si>
    <t>Units</t>
  </si>
  <si>
    <t>Revenue  Growth</t>
  </si>
  <si>
    <t>%</t>
  </si>
  <si>
    <t>Cost of Good Sold(%of Revenue</t>
  </si>
  <si>
    <t>Salaries and benefits(%of Revenue)</t>
  </si>
  <si>
    <t>Other SG&amp;A Expenses (%of Revenue)</t>
  </si>
  <si>
    <t>Depreciation &amp; Amortiztion Expenses (%of PP&amp;E)</t>
  </si>
  <si>
    <t>Interest(% of Debt)</t>
  </si>
  <si>
    <t>Other Income (Expenses) (%of Revenue)</t>
  </si>
  <si>
    <t>Tax Rate (% of Earning before Tax)</t>
  </si>
  <si>
    <t>Dividends Payout</t>
  </si>
  <si>
    <t>Days</t>
  </si>
  <si>
    <t>Capital Asset Turnover Ratio</t>
  </si>
  <si>
    <t>Times</t>
  </si>
  <si>
    <r>
      <rPr>
        <sz val="18"/>
        <color theme="1"/>
        <rFont val="Calibri"/>
        <charset val="134"/>
      </rPr>
      <t>₹</t>
    </r>
    <r>
      <rPr>
        <sz val="18"/>
        <color theme="1"/>
        <rFont val="Book Antiqua"/>
        <charset val="134"/>
      </rPr>
      <t xml:space="preserve"> IN MM</t>
    </r>
  </si>
  <si>
    <t>Supporting Schedules</t>
  </si>
  <si>
    <t>Working Capital</t>
  </si>
  <si>
    <t>Account Receivable</t>
  </si>
  <si>
    <t>Accounts Payable</t>
  </si>
  <si>
    <t>Others</t>
  </si>
  <si>
    <t>Total</t>
  </si>
  <si>
    <t>Depreciation Schedules</t>
  </si>
  <si>
    <t>PPE Opening</t>
  </si>
  <si>
    <t>Plus: Capex</t>
  </si>
  <si>
    <t>Less: Depreciation</t>
  </si>
  <si>
    <t>PPE Closing</t>
  </si>
  <si>
    <t>Debt &amp; Interest Schedule</t>
  </si>
  <si>
    <t>Debt Opening</t>
  </si>
  <si>
    <t>Issuances(Repayment)</t>
  </si>
  <si>
    <t>Debt Closing</t>
  </si>
  <si>
    <t>Interest Expenses</t>
  </si>
  <si>
    <t>DCF Model</t>
  </si>
  <si>
    <t>Assumptions</t>
  </si>
  <si>
    <t>Transaction Date</t>
  </si>
  <si>
    <t>Fiscal Year End</t>
  </si>
  <si>
    <t>Tax Rate</t>
  </si>
  <si>
    <t>EV/EBITDA</t>
  </si>
  <si>
    <t>Discount Rate</t>
  </si>
  <si>
    <t>Perpectual Growth</t>
  </si>
  <si>
    <t>Shares Outstanding</t>
  </si>
  <si>
    <t>in MM</t>
  </si>
  <si>
    <t>Current Price</t>
  </si>
  <si>
    <t>Discounted Cash Flow</t>
  </si>
  <si>
    <t>Entry</t>
  </si>
  <si>
    <t>Exit</t>
  </si>
  <si>
    <t>Terminal Value</t>
  </si>
  <si>
    <t>Date</t>
  </si>
  <si>
    <t>Time Periods</t>
  </si>
  <si>
    <t>Year Frac</t>
  </si>
  <si>
    <t>Average</t>
  </si>
  <si>
    <t>Less: Cash Taxes</t>
  </si>
  <si>
    <t>NOPAT</t>
  </si>
  <si>
    <t>Less: Capex</t>
  </si>
  <si>
    <t>Less: Changes in Net Working Capital (NWT)</t>
  </si>
  <si>
    <t>Unlevered FCFF</t>
  </si>
  <si>
    <t>Transaction FCFF</t>
  </si>
  <si>
    <t>Intrinsic Value</t>
  </si>
  <si>
    <t>Market Value</t>
  </si>
  <si>
    <t>Enterprise Value</t>
  </si>
  <si>
    <t>Market Cap</t>
  </si>
  <si>
    <t>Plus: Cash And Cash Equivalent</t>
  </si>
  <si>
    <t>Plus: Non Controlling Interest</t>
  </si>
  <si>
    <t>Less: Debt</t>
  </si>
  <si>
    <t>Less: Cash And Cash Equivalent</t>
  </si>
  <si>
    <t>Less: Non Controlling Interest</t>
  </si>
  <si>
    <t>Plus: Debt</t>
  </si>
  <si>
    <t>Equity Value</t>
  </si>
  <si>
    <t xml:space="preserve"> </t>
  </si>
  <si>
    <t>Equity Value / Share</t>
  </si>
  <si>
    <t>Growth %</t>
  </si>
  <si>
    <t>Base Case</t>
  </si>
  <si>
    <t>Bear Case</t>
  </si>
  <si>
    <t>Annual Growth Tapering</t>
  </si>
  <si>
    <t>Comps Valuation</t>
  </si>
  <si>
    <t>All Data are in ₹ MM</t>
  </si>
  <si>
    <t>Market Data</t>
  </si>
  <si>
    <t>Financial Data</t>
  </si>
  <si>
    <t>Valuation</t>
  </si>
  <si>
    <t>Price</t>
  </si>
  <si>
    <t>Shares</t>
  </si>
  <si>
    <t>Market Cap.</t>
  </si>
  <si>
    <t>Cash &amp; Cash Euiv.</t>
  </si>
  <si>
    <t>EV</t>
  </si>
  <si>
    <t>Sales</t>
  </si>
  <si>
    <t>Earnings</t>
  </si>
  <si>
    <t>EV/Sales</t>
  </si>
  <si>
    <t>P/E</t>
  </si>
  <si>
    <t>Effect.</t>
  </si>
  <si>
    <t>Company Name</t>
  </si>
  <si>
    <r>
      <rPr>
        <b/>
        <sz val="11"/>
        <color rgb="FF00B0F0"/>
        <rFont val="Calibri"/>
        <charset val="134"/>
        <scheme val="minor"/>
      </rPr>
      <t>(</t>
    </r>
    <r>
      <rPr>
        <b/>
        <sz val="11"/>
        <color rgb="FF00B0F0"/>
        <rFont val="Calibri"/>
        <charset val="134"/>
      </rPr>
      <t>₹</t>
    </r>
    <r>
      <rPr>
        <b/>
        <sz val="11"/>
        <color rgb="FF00B0F0"/>
        <rFont val="Calibri"/>
        <charset val="134"/>
        <scheme val="minor"/>
      </rPr>
      <t>/Share)</t>
    </r>
  </si>
  <si>
    <t>₹MM</t>
  </si>
  <si>
    <t>x</t>
  </si>
  <si>
    <t>Tax rate</t>
  </si>
  <si>
    <t>Dr. Reddy</t>
  </si>
  <si>
    <t>ZYDUSLIFE</t>
  </si>
  <si>
    <t>Torrent</t>
  </si>
  <si>
    <t>Mankind</t>
  </si>
  <si>
    <t>Lupin</t>
  </si>
  <si>
    <t>AUROPHARMA</t>
  </si>
  <si>
    <t>Abbott</t>
  </si>
  <si>
    <t>GLaxo Smith KIne</t>
  </si>
  <si>
    <t>IPCALAB</t>
  </si>
  <si>
    <t>GLand Pharma</t>
  </si>
  <si>
    <t>Median</t>
  </si>
  <si>
    <t>ALKEM</t>
  </si>
  <si>
    <t>Metric</t>
  </si>
  <si>
    <t>Comps</t>
  </si>
  <si>
    <t>Net Debt</t>
  </si>
  <si>
    <t>Equity value</t>
  </si>
  <si>
    <t>Shares Price</t>
  </si>
  <si>
    <t>EV/Revenue</t>
  </si>
  <si>
    <t>Comparable Companies Data</t>
  </si>
  <si>
    <t>Equity Value Or</t>
  </si>
  <si>
    <t>Debt/</t>
  </si>
  <si>
    <t>Levered</t>
  </si>
  <si>
    <t>UnLevered</t>
  </si>
  <si>
    <t>Equity</t>
  </si>
  <si>
    <t>Capital</t>
  </si>
  <si>
    <t>Beta</t>
  </si>
  <si>
    <t>Name</t>
  </si>
  <si>
    <t>WACC Calculation</t>
  </si>
  <si>
    <t>Target Capital Structure</t>
  </si>
  <si>
    <t>Proportion Of Debt</t>
  </si>
  <si>
    <t>Proportion Of Equity</t>
  </si>
  <si>
    <t>Current Capital Structure</t>
  </si>
  <si>
    <t>Total Debt</t>
  </si>
  <si>
    <t>Debt / Equity</t>
  </si>
  <si>
    <t>Cost Of Debt</t>
  </si>
  <si>
    <t>Pre - tax Cost of Debt</t>
  </si>
  <si>
    <t>Tax- Rate</t>
  </si>
  <si>
    <t>(Company Annu. Report Data)</t>
  </si>
  <si>
    <t>After Tax Cost of debt</t>
  </si>
  <si>
    <t>Cost Of Equity</t>
  </si>
  <si>
    <t>Risk Free Rate</t>
  </si>
  <si>
    <t>Equity Market Return</t>
  </si>
  <si>
    <t>Equity Risk Premium</t>
  </si>
  <si>
    <t>Levered  Equity Data</t>
  </si>
  <si>
    <t>Cost of Equity</t>
  </si>
  <si>
    <t>WACC</t>
  </si>
  <si>
    <t>Comapny Beta</t>
  </si>
  <si>
    <t>Index</t>
  </si>
  <si>
    <t>% Change</t>
  </si>
  <si>
    <t>Stock</t>
  </si>
  <si>
    <t>Close Price</t>
  </si>
  <si>
    <t>Monthly</t>
  </si>
  <si>
    <t>Stock Price In a Year</t>
  </si>
  <si>
    <t>max</t>
  </si>
  <si>
    <t>min</t>
  </si>
  <si>
    <t>Valuation Summary - Football Field</t>
  </si>
  <si>
    <t>Football Field Data</t>
  </si>
  <si>
    <t>Market</t>
  </si>
  <si>
    <t>DCF</t>
  </si>
  <si>
    <t>52 week hi/ lo</t>
  </si>
  <si>
    <t>Consenses</t>
  </si>
  <si>
    <t>High</t>
  </si>
  <si>
    <t>Low</t>
  </si>
  <si>
    <t>Valuation Summary</t>
  </si>
  <si>
    <t>Live Case -&gt;</t>
  </si>
  <si>
    <t>DownSide Case</t>
  </si>
  <si>
    <t>Sponser IRR -&gt;</t>
  </si>
  <si>
    <t>Error Checks =&gt;</t>
  </si>
  <si>
    <t>General Inputs</t>
  </si>
  <si>
    <t>Operating Scenarios</t>
  </si>
  <si>
    <t>LBO Target Name</t>
  </si>
  <si>
    <t>Megamart Co.</t>
  </si>
  <si>
    <t>Case --&gt;</t>
  </si>
  <si>
    <t>Target Share Price</t>
  </si>
  <si>
    <t>Revenue Growth Rate</t>
  </si>
  <si>
    <t>Transaction Close Date</t>
  </si>
  <si>
    <t>Cost OF goods Sold</t>
  </si>
  <si>
    <t>Year Forcast Starts</t>
  </si>
  <si>
    <t>Marketing and Advertising</t>
  </si>
  <si>
    <t>Fiscal Year End (Months)</t>
  </si>
  <si>
    <t>General And Admin Cost (Fixed Cost)</t>
  </si>
  <si>
    <t>Fiscal Year End (Day)</t>
  </si>
  <si>
    <t>A/c Receivable Days</t>
  </si>
  <si>
    <t>Financial Reporting Unit</t>
  </si>
  <si>
    <t>Account Payable Days</t>
  </si>
  <si>
    <t>Currency</t>
  </si>
  <si>
    <t>$</t>
  </si>
  <si>
    <t>Inventory Days</t>
  </si>
  <si>
    <t>Days in year</t>
  </si>
  <si>
    <t>Capital Expenditure (% REvenue)</t>
  </si>
  <si>
    <t>Depreciation Rate (% PPE)</t>
  </si>
  <si>
    <t>Normalized EBITDA for Valuation</t>
  </si>
  <si>
    <t>Upside Case</t>
  </si>
  <si>
    <t>Target Debt</t>
  </si>
  <si>
    <t>Target Cash</t>
  </si>
  <si>
    <t>Resructuring Charge</t>
  </si>
  <si>
    <t>Minimum Cash Balances</t>
  </si>
  <si>
    <t>Other Closing Cost</t>
  </si>
  <si>
    <t>Capital Expenditure (% Rev:)</t>
  </si>
  <si>
    <t>Fully Diluted Shares Outstanding (000s)</t>
  </si>
  <si>
    <t>Error Check</t>
  </si>
  <si>
    <t>Operating Balance Sheet Balances</t>
  </si>
  <si>
    <t>Transaction Balance Sheet Balances</t>
  </si>
  <si>
    <t>Cash Sweep can't be &gt;100% of Cash Flow</t>
  </si>
  <si>
    <t>Sources and Uses of cash Balances</t>
  </si>
  <si>
    <t>Debt Principal Repayment = 100%</t>
  </si>
  <si>
    <t>Purchase Price</t>
  </si>
  <si>
    <t>Less: Total Debt</t>
  </si>
  <si>
    <t>Plus: Cash Balance</t>
  </si>
  <si>
    <t>Equity Offer Value</t>
  </si>
  <si>
    <t>$/ Share</t>
  </si>
  <si>
    <t>Premuim (discount)</t>
  </si>
  <si>
    <t>Entry EV/EBITDA</t>
  </si>
  <si>
    <t>Exit EV/EBITDA</t>
  </si>
  <si>
    <t>Direct Purchase Price Override</t>
  </si>
  <si>
    <t>OFF</t>
  </si>
  <si>
    <t>Financing</t>
  </si>
  <si>
    <t>Mandatory Principal Repayment (Loan Amortization)</t>
  </si>
  <si>
    <t>Type</t>
  </si>
  <si>
    <t>x EBITDA</t>
  </si>
  <si>
    <t>$ Value</t>
  </si>
  <si>
    <t>% Of total</t>
  </si>
  <si>
    <t>Financing Fee</t>
  </si>
  <si>
    <t>Coupon</t>
  </si>
  <si>
    <t>Sweep</t>
  </si>
  <si>
    <t>Year 1</t>
  </si>
  <si>
    <t>Year 2</t>
  </si>
  <si>
    <t>Year 3</t>
  </si>
  <si>
    <t>Year 4</t>
  </si>
  <si>
    <t>Year 5</t>
  </si>
  <si>
    <t>Year 6</t>
  </si>
  <si>
    <t>Year 7</t>
  </si>
  <si>
    <t>Cash (Target)</t>
  </si>
  <si>
    <t>Line Of Credit</t>
  </si>
  <si>
    <t>na</t>
  </si>
  <si>
    <t>Term Loan 1</t>
  </si>
  <si>
    <t>Term Loan 2</t>
  </si>
  <si>
    <t>Sub Debt 1</t>
  </si>
  <si>
    <t>Sponser Equity</t>
  </si>
  <si>
    <t>Sources and Uses of Cash</t>
  </si>
  <si>
    <t>Sources of Cash</t>
  </si>
  <si>
    <t>Uses of Cash</t>
  </si>
  <si>
    <t>Cash Consideration</t>
  </si>
  <si>
    <t>Stock Consideration</t>
  </si>
  <si>
    <t>Target Debt - Replace</t>
  </si>
  <si>
    <t>Debt Financing Fee</t>
  </si>
  <si>
    <t>Equity Financing Fee</t>
  </si>
  <si>
    <t>Total Sources</t>
  </si>
  <si>
    <t>Total Uses</t>
  </si>
  <si>
    <t>Goodwill and Price Purchase Allocation</t>
  </si>
  <si>
    <t>Fair Market Value</t>
  </si>
  <si>
    <t>Book Value</t>
  </si>
  <si>
    <t>Fair Value</t>
  </si>
  <si>
    <t>Adjustments</t>
  </si>
  <si>
    <t>Purchase Price Allocation</t>
  </si>
  <si>
    <t>Total Purchas Price</t>
  </si>
  <si>
    <t>Net Book Value OF Assets</t>
  </si>
  <si>
    <t>Excess Purchase Price</t>
  </si>
  <si>
    <t>Property, Plant And Equipment</t>
  </si>
  <si>
    <t>Write - off Existing Goodwill</t>
  </si>
  <si>
    <t>Identifiable Inrangibles</t>
  </si>
  <si>
    <t>Fair Value Adjustments</t>
  </si>
  <si>
    <t>Identifiable Assets</t>
  </si>
  <si>
    <t>Excess Purchase Price afterAdjustments</t>
  </si>
  <si>
    <t>Credit Metrics</t>
  </si>
  <si>
    <t>Close</t>
  </si>
  <si>
    <t>Short Term Debt</t>
  </si>
  <si>
    <t>Long Term Debt</t>
  </si>
  <si>
    <t>Principal Repayment</t>
  </si>
  <si>
    <t>Total Debt Service</t>
  </si>
  <si>
    <t>EBITDA-Capex</t>
  </si>
  <si>
    <t>Fixed Charges</t>
  </si>
  <si>
    <t>Total Debt/EBITDA</t>
  </si>
  <si>
    <t>Net Debt/EBITDA</t>
  </si>
  <si>
    <t>EBIT/Interest</t>
  </si>
  <si>
    <t>Debt Service Coverage(EBITDA)/(Interest+Principal)</t>
  </si>
  <si>
    <t>Debt Service Coverage(EBITDA-capex) / (Interest+Principal)</t>
  </si>
  <si>
    <t>Fixed Charge Coverage(EBITDA-Capex-Taxes) / (Interest + Principal)</t>
  </si>
  <si>
    <t>Cost Of Good Sold</t>
  </si>
  <si>
    <t>Marketing, Advertising &amp; Promotion</t>
  </si>
  <si>
    <t>General &amp; Administrative</t>
  </si>
  <si>
    <t>Depreciation &amp; Amortization</t>
  </si>
  <si>
    <t>Current Taxes</t>
  </si>
  <si>
    <t>Net Earnings</t>
  </si>
  <si>
    <t>Balance Sheet</t>
  </si>
  <si>
    <t>Asset</t>
  </si>
  <si>
    <t>Cuurent Assets</t>
  </si>
  <si>
    <t>Property &amp; Equipment</t>
  </si>
  <si>
    <t>Total Assets</t>
  </si>
  <si>
    <t>Sharesholder's Equity</t>
  </si>
  <si>
    <t>Total Liabilities &amp; Shareholder's Equity</t>
  </si>
  <si>
    <t>Less: Changes In Working Capital</t>
  </si>
  <si>
    <t>Cash From Operating</t>
  </si>
  <si>
    <t>Investment in Property And Equipment</t>
  </si>
  <si>
    <t>Investment In business</t>
  </si>
  <si>
    <t>Issuance Debt (Line of Credit)</t>
  </si>
  <si>
    <t>Repayment Of Debt</t>
  </si>
  <si>
    <t>Issuance of Equity</t>
  </si>
  <si>
    <t>Repurchase of Equity</t>
  </si>
  <si>
    <t>Payments Of Dividends</t>
  </si>
  <si>
    <t>Net Increase (Decrese in Cash)</t>
  </si>
  <si>
    <t>Operating Cash Balances</t>
  </si>
  <si>
    <t>Closing Cash Balance</t>
  </si>
  <si>
    <t>Working Capital And Depreciation</t>
  </si>
  <si>
    <t>Working Capital Schedule</t>
  </si>
  <si>
    <t>Net Working Capital (NWC)</t>
  </si>
  <si>
    <t>Acquisition Adjustments</t>
  </si>
  <si>
    <t>Changes In NWC</t>
  </si>
  <si>
    <t>Depreciation Schedule</t>
  </si>
  <si>
    <t>Cash Available for Discretionary Debt Repayment</t>
  </si>
  <si>
    <t>Cash From Operation</t>
  </si>
  <si>
    <t>Less: Cash Used in Investing</t>
  </si>
  <si>
    <t>Less: Mandatory Debt Repayment</t>
  </si>
  <si>
    <t>Plus: Issuance Of Equity</t>
  </si>
  <si>
    <t>Total Cash Generated</t>
  </si>
  <si>
    <t>Opening Cash Balance</t>
  </si>
  <si>
    <t>Plus: Cash generated in Period</t>
  </si>
  <si>
    <t>Less: Minimum Cash Balance</t>
  </si>
  <si>
    <t>Cash Available before revolver Pay down</t>
  </si>
  <si>
    <t>Revolver Pay down</t>
  </si>
  <si>
    <t>Cash Available After Revolver Pay Down</t>
  </si>
  <si>
    <t>Cash Used for Discretionary Payments</t>
  </si>
  <si>
    <t>Opening Balance</t>
  </si>
  <si>
    <t>Plus: Additions</t>
  </si>
  <si>
    <t>Less: Repayments.</t>
  </si>
  <si>
    <t>Closing Balance</t>
  </si>
  <si>
    <t>Total Interest Expenses</t>
  </si>
  <si>
    <t>Opening Balances</t>
  </si>
  <si>
    <t>Less: Required Repayments</t>
  </si>
  <si>
    <t>Less: Discretionary Repayments</t>
  </si>
  <si>
    <t>Closing Balances</t>
  </si>
  <si>
    <t>Interest Expenses (Avg. Balance)</t>
  </si>
  <si>
    <t>Total Long Term Debt</t>
  </si>
  <si>
    <t>Closing Balance Sheet</t>
  </si>
  <si>
    <t>Pro Forma Consolidated Balancesheet</t>
  </si>
  <si>
    <t>Step #</t>
  </si>
  <si>
    <t>Target</t>
  </si>
  <si>
    <t>FV Adjust</t>
  </si>
  <si>
    <t>Purchase</t>
  </si>
  <si>
    <t>Total Adj.</t>
  </si>
  <si>
    <t>Closing</t>
  </si>
  <si>
    <t>Transaction</t>
  </si>
  <si>
    <t>Debt + Equity</t>
  </si>
  <si>
    <t>Fees</t>
  </si>
  <si>
    <t>Re-fi Debt</t>
  </si>
  <si>
    <t>DCF &amp; Rate of Return</t>
  </si>
  <si>
    <t>DCF Analysis</t>
  </si>
  <si>
    <t>Less: Taxes</t>
  </si>
  <si>
    <t>Less: changes In NWC</t>
  </si>
  <si>
    <t>Unlevered Free Cash Flow (Free Cash Flw to the Firm)</t>
  </si>
  <si>
    <t>DCF Values</t>
  </si>
  <si>
    <t>IRR Values</t>
  </si>
  <si>
    <t>Less: Debt Repayment</t>
  </si>
  <si>
    <t>Levered Free Cash Flow (Free Cash Flow to the Firm)</t>
  </si>
  <si>
    <t>DCF Value</t>
  </si>
  <si>
    <t>Internal Rate of Return</t>
  </si>
  <si>
    <t>Exit Year EBITDA</t>
  </si>
  <si>
    <t>NPV</t>
  </si>
  <si>
    <t>Exit Multiple</t>
  </si>
  <si>
    <t>Unlevered</t>
  </si>
  <si>
    <t>Terminal Enterprise Value</t>
  </si>
  <si>
    <t>Plus: Cash</t>
  </si>
  <si>
    <t>N142+N145</t>
  </si>
  <si>
    <t>Terminal  Equity Value</t>
  </si>
  <si>
    <t>IRR By Investor Type</t>
  </si>
  <si>
    <t>Investor</t>
  </si>
  <si>
    <t>XIRR</t>
  </si>
  <si>
    <t>Cash Flow</t>
  </si>
  <si>
    <t>Sponser Cash on Cash</t>
  </si>
  <si>
    <t>Sensitivity Analysis</t>
  </si>
  <si>
    <t>Sponsor IRR (Entry vs Exit Multiple)</t>
  </si>
  <si>
    <t>Sponsor Cash On Cash (Entry vs Exit Multiple)</t>
  </si>
  <si>
    <t>Debt/EBITDA (Term Loan 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</si>
</sst>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33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000\F"/>
    <numFmt numFmtId="181" formatCode="&quot;US$&quot;#,##0.00_);[Red]\(&quot;US$&quot;#,##0.00\)"/>
    <numFmt numFmtId="182" formatCode="0.0%"/>
    <numFmt numFmtId="183" formatCode="dd/mm/yyyy"/>
    <numFmt numFmtId="184" formatCode="&quot;₹&quot;#,##0.00_);[Red]\(&quot;₹&quot;#,##0.00\)"/>
    <numFmt numFmtId="185" formatCode="_-[$$-409]* #,##0.00_ ;_-[$$-409]* \-#,##0.00\ ;_-[$$-409]* &quot;-&quot;??_ ;_-@_ "/>
    <numFmt numFmtId="186" formatCode="0.0&quot;x&quot;"/>
    <numFmt numFmtId="187" formatCode="0.00&quot;x&quot;"/>
    <numFmt numFmtId="188" formatCode="#,##0.00&quot;x&quot;"/>
    <numFmt numFmtId="189" formatCode="_-[$$-409]* #,##0_ ;_-[$$-409]* \-#,##0\ ;_-[$$-409]* &quot;-&quot;??_ ;_-@_ "/>
    <numFmt numFmtId="190" formatCode="&quot;₹&quot;#,##0_);[Red]\(&quot;₹&quot;#,##0\)"/>
    <numFmt numFmtId="191" formatCode="#,##0.00_);\(#,##0.00\)"/>
    <numFmt numFmtId="192" formatCode="0_ "/>
    <numFmt numFmtId="193" formatCode="#,##0_);[Red]\(#,##0\)"/>
    <numFmt numFmtId="194" formatCode="#&quot;A&quot;"/>
    <numFmt numFmtId="195" formatCode="&quot;-&quot;"/>
    <numFmt numFmtId="196" formatCode="#,##0_);\(#,##0\)"/>
    <numFmt numFmtId="197" formatCode="0000&quot;F&quot;"/>
    <numFmt numFmtId="198" formatCode="&quot;₹&quot;#,##0_);\(&quot;₹&quot;#,##0\)"/>
    <numFmt numFmtId="199" formatCode="0.00_);\(0.00\)"/>
    <numFmt numFmtId="200" formatCode="#,##0.0&quot;x&quot;"/>
    <numFmt numFmtId="201" formatCode="_ &quot;₹&quot;* #,##0_ ;_ &quot;₹&quot;* \-#,##0_ ;_ &quot;₹&quot;* &quot;-&quot;??_ ;_ @_ "/>
    <numFmt numFmtId="202" formatCode="dd/mm/yyyy;@"/>
    <numFmt numFmtId="203" formatCode="0.00_ "/>
    <numFmt numFmtId="204" formatCode="#,##0&quot;x&quot;"/>
    <numFmt numFmtId="205" formatCode="#&quot;E&quot;"/>
    <numFmt numFmtId="206" formatCode="#,##0;\(#,##0\)\,&quot;-&quot;"/>
    <numFmt numFmtId="207" formatCode="0.0_);[Red]\(0.0\)"/>
    <numFmt numFmtId="208" formatCode="0.00_);[Red]\(0.00\)"/>
  </numFmts>
  <fonts count="86">
    <font>
      <sz val="11"/>
      <color theme="1"/>
      <name val="Calibri"/>
      <charset val="134"/>
      <scheme val="minor"/>
    </font>
    <font>
      <sz val="12"/>
      <color theme="1"/>
      <name val="Book Antiqua"/>
      <charset val="134"/>
    </font>
    <font>
      <b/>
      <sz val="12"/>
      <color theme="1"/>
      <name val="Book Antiqua"/>
      <charset val="134"/>
    </font>
    <font>
      <b/>
      <sz val="12"/>
      <color rgb="FF00B0F0"/>
      <name val="Book Antiqua"/>
      <charset val="134"/>
    </font>
    <font>
      <b/>
      <sz val="12"/>
      <name val="Book Antiqua"/>
      <charset val="134"/>
    </font>
    <font>
      <b/>
      <sz val="12"/>
      <color rgb="FF2747BE"/>
      <name val="Book Antiqua"/>
      <charset val="134"/>
    </font>
    <font>
      <sz val="28"/>
      <color theme="1"/>
      <name val="Book Antiqua"/>
      <charset val="134"/>
    </font>
    <font>
      <sz val="12"/>
      <name val="Book Antiqua"/>
      <charset val="134"/>
    </font>
    <font>
      <i/>
      <sz val="12"/>
      <color rgb="FF00B050"/>
      <name val="Book Antiqua"/>
      <charset val="134"/>
    </font>
    <font>
      <sz val="12"/>
      <color rgb="FF00B050"/>
      <name val="Book Antiqua"/>
      <charset val="134"/>
    </font>
    <font>
      <b/>
      <sz val="11"/>
      <color theme="1"/>
      <name val="Book Antiqua"/>
      <charset val="134"/>
    </font>
    <font>
      <sz val="14"/>
      <color theme="1"/>
      <name val="Book Antiqua"/>
      <charset val="134"/>
    </font>
    <font>
      <b/>
      <sz val="12"/>
      <color rgb="FF00B050"/>
      <name val="Book Antiqua"/>
      <charset val="134"/>
    </font>
    <font>
      <i/>
      <sz val="12"/>
      <color theme="1"/>
      <name val="Book Antiqua"/>
      <charset val="134"/>
    </font>
    <font>
      <sz val="12"/>
      <color rgb="FF2747BE"/>
      <name val="Book Antiqua"/>
      <charset val="134"/>
    </font>
    <font>
      <b/>
      <sz val="18"/>
      <color theme="1"/>
      <name val="Book Antiqua"/>
      <charset val="134"/>
    </font>
    <font>
      <b/>
      <sz val="16"/>
      <color theme="1"/>
      <name val="Book Antiqua"/>
      <charset val="134"/>
    </font>
    <font>
      <b/>
      <sz val="20"/>
      <color theme="1"/>
      <name val="Book Antiqua"/>
      <charset val="134"/>
    </font>
    <font>
      <sz val="12"/>
      <color rgb="FF00B0F0"/>
      <name val="Book Antiqua"/>
      <charset val="134"/>
    </font>
    <font>
      <b/>
      <sz val="14"/>
      <color theme="1"/>
      <name val="Calibri"/>
      <charset val="134"/>
      <scheme val="minor"/>
    </font>
    <font>
      <b/>
      <sz val="30"/>
      <color theme="1"/>
      <name val="Book Antiqua"/>
      <charset val="134"/>
    </font>
    <font>
      <b/>
      <sz val="24"/>
      <color theme="1"/>
      <name val="Book Antiqua"/>
      <charset val="134"/>
    </font>
    <font>
      <b/>
      <sz val="24"/>
      <color theme="0"/>
      <name val="Book Antiqua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name val="Times New Roman"/>
      <charset val="134"/>
    </font>
    <font>
      <sz val="1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1"/>
      <name val="Calibri"/>
      <charset val="134"/>
      <scheme val="minor"/>
    </font>
    <font>
      <b/>
      <sz val="22"/>
      <color theme="1"/>
      <name val="Book Antiqua"/>
      <charset val="134"/>
    </font>
    <font>
      <sz val="14"/>
      <color theme="0"/>
      <name val="Times New Roman"/>
      <charset val="134"/>
    </font>
    <font>
      <b/>
      <sz val="14"/>
      <color rgb="FFFFFF00"/>
      <name val="Times New Roman"/>
      <charset val="134"/>
    </font>
    <font>
      <b/>
      <sz val="14"/>
      <color rgb="FF00B0F0"/>
      <name val="Times New Roman"/>
      <charset val="134"/>
    </font>
    <font>
      <sz val="20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rgb="FF00B0F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Book Antiqua"/>
      <charset val="134"/>
    </font>
    <font>
      <sz val="14"/>
      <color rgb="FF00B0F0"/>
      <name val="Book Antiqua"/>
      <charset val="134"/>
    </font>
    <font>
      <b/>
      <sz val="23"/>
      <color theme="1"/>
      <name val="Book Antiqua"/>
      <charset val="134"/>
    </font>
    <font>
      <sz val="23"/>
      <color theme="1"/>
      <name val="Book Antiqua"/>
      <charset val="134"/>
    </font>
    <font>
      <sz val="11"/>
      <color theme="1"/>
      <name val="Book Antiqua"/>
      <charset val="134"/>
    </font>
    <font>
      <b/>
      <sz val="23"/>
      <color rgb="FFFFFF00"/>
      <name val="Book Antiqua"/>
      <charset val="134"/>
    </font>
    <font>
      <b/>
      <sz val="20"/>
      <color theme="0"/>
      <name val="Book Antiqua"/>
      <charset val="134"/>
    </font>
    <font>
      <sz val="11"/>
      <color rgb="FF00B0F0"/>
      <name val="Book Antiqua"/>
      <charset val="134"/>
    </font>
    <font>
      <sz val="18"/>
      <color theme="1"/>
      <name val="Book Antiqua"/>
      <charset val="134"/>
    </font>
    <font>
      <sz val="18"/>
      <color rgb="FF00B0F0"/>
      <name val="Book Antiqua"/>
      <charset val="134"/>
    </font>
    <font>
      <b/>
      <sz val="18"/>
      <color rgb="FF00B0F0"/>
      <name val="Book Antiqua"/>
      <charset val="134"/>
    </font>
    <font>
      <sz val="18"/>
      <color theme="1"/>
      <name val="Calibri"/>
      <charset val="134"/>
      <scheme val="minor"/>
    </font>
    <font>
      <sz val="18"/>
      <color rgb="FF00B050"/>
      <name val="Book Antiqua"/>
      <charset val="134"/>
    </font>
    <font>
      <sz val="18"/>
      <color rgb="FFFF0000"/>
      <name val="Book Antiqua"/>
      <charset val="134"/>
    </font>
    <font>
      <sz val="18"/>
      <name val="Book Antiqua"/>
      <charset val="134"/>
    </font>
    <font>
      <b/>
      <sz val="18"/>
      <name val="Book Antiqua"/>
      <charset val="134"/>
    </font>
    <font>
      <b/>
      <sz val="18"/>
      <color rgb="FFFF0000"/>
      <name val="Book Antiqua"/>
      <charset val="134"/>
    </font>
    <font>
      <b/>
      <sz val="18"/>
      <color rgb="FF00B050"/>
      <name val="Book Antiqua"/>
      <charset val="134"/>
    </font>
    <font>
      <b/>
      <sz val="18"/>
      <color theme="4"/>
      <name val="Book Antiqua"/>
      <charset val="134"/>
    </font>
    <font>
      <b/>
      <sz val="18"/>
      <color theme="0"/>
      <name val="Book Antiqua"/>
      <charset val="134"/>
    </font>
    <font>
      <sz val="18"/>
      <color theme="1"/>
      <name val="Calibri"/>
      <charset val="134"/>
    </font>
    <font>
      <b/>
      <sz val="14"/>
      <color theme="1"/>
      <name val="Book Antiqua"/>
      <charset val="134"/>
    </font>
    <font>
      <b/>
      <sz val="14"/>
      <color rgb="FF00B0F0"/>
      <name val="Book Antiqua"/>
      <charset val="134"/>
    </font>
    <font>
      <b/>
      <sz val="14"/>
      <name val="Book Antiqua"/>
      <charset val="134"/>
    </font>
    <font>
      <sz val="14"/>
      <name val="Book Antiqua"/>
      <charset val="134"/>
    </font>
    <font>
      <b/>
      <sz val="14"/>
      <color rgb="FFFF0000"/>
      <name val="Book Antiqua"/>
      <charset val="134"/>
    </font>
    <font>
      <b/>
      <sz val="14"/>
      <color rgb="FF00B050"/>
      <name val="Book Antiqu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B0F0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91E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0" fillId="13" borderId="29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30" applyNumberFormat="0" applyFill="0" applyAlignment="0" applyProtection="0">
      <alignment vertical="center"/>
    </xf>
    <xf numFmtId="0" fontId="72" fillId="0" borderId="30" applyNumberFormat="0" applyFill="0" applyAlignment="0" applyProtection="0">
      <alignment vertical="center"/>
    </xf>
    <xf numFmtId="0" fontId="73" fillId="0" borderId="3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14" borderId="32" applyNumberFormat="0" applyAlignment="0" applyProtection="0">
      <alignment vertical="center"/>
    </xf>
    <xf numFmtId="0" fontId="75" fillId="15" borderId="33" applyNumberFormat="0" applyAlignment="0" applyProtection="0">
      <alignment vertical="center"/>
    </xf>
    <xf numFmtId="0" fontId="76" fillId="15" borderId="32" applyNumberFormat="0" applyAlignment="0" applyProtection="0">
      <alignment vertical="center"/>
    </xf>
    <xf numFmtId="0" fontId="77" fillId="16" borderId="34" applyNumberFormat="0" applyAlignment="0" applyProtection="0">
      <alignment vertical="center"/>
    </xf>
    <xf numFmtId="0" fontId="78" fillId="0" borderId="35" applyNumberFormat="0" applyFill="0" applyAlignment="0" applyProtection="0">
      <alignment vertical="center"/>
    </xf>
    <xf numFmtId="0" fontId="79" fillId="0" borderId="36" applyNumberFormat="0" applyFill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4" fillId="20" borderId="0" applyNumberFormat="0" applyBorder="0" applyAlignment="0" applyProtection="0">
      <alignment vertical="center"/>
    </xf>
    <xf numFmtId="0" fontId="84" fillId="21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83" fillId="2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4" fillId="29" borderId="0" applyNumberFormat="0" applyBorder="0" applyAlignment="0" applyProtection="0">
      <alignment vertical="center"/>
    </xf>
    <xf numFmtId="0" fontId="83" fillId="30" borderId="0" applyNumberFormat="0" applyBorder="0" applyAlignment="0" applyProtection="0">
      <alignment vertical="center"/>
    </xf>
    <xf numFmtId="0" fontId="83" fillId="31" borderId="0" applyNumberFormat="0" applyBorder="0" applyAlignment="0" applyProtection="0">
      <alignment vertical="center"/>
    </xf>
    <xf numFmtId="0" fontId="84" fillId="32" borderId="0" applyNumberFormat="0" applyBorder="0" applyAlignment="0" applyProtection="0">
      <alignment vertical="center"/>
    </xf>
    <xf numFmtId="0" fontId="84" fillId="3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5" borderId="0" applyNumberFormat="0" applyBorder="0" applyAlignment="0" applyProtection="0">
      <alignment vertical="center"/>
    </xf>
    <xf numFmtId="0" fontId="84" fillId="36" borderId="0" applyNumberFormat="0" applyBorder="0" applyAlignment="0" applyProtection="0">
      <alignment vertical="center"/>
    </xf>
    <xf numFmtId="0" fontId="84" fillId="37" borderId="0" applyNumberFormat="0" applyBorder="0" applyAlignment="0" applyProtection="0">
      <alignment vertical="center"/>
    </xf>
    <xf numFmtId="0" fontId="83" fillId="38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</cellStyleXfs>
  <cellXfs count="49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80" fontId="1" fillId="4" borderId="0" xfId="0" applyNumberFormat="1" applyFont="1" applyFill="1" applyAlignment="1">
      <alignment vertical="center"/>
    </xf>
    <xf numFmtId="0" fontId="1" fillId="5" borderId="0" xfId="0" applyFont="1" applyFill="1" applyAlignment="1">
      <alignment vertical="center"/>
    </xf>
    <xf numFmtId="181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182" fontId="1" fillId="0" borderId="1" xfId="3" applyNumberFormat="1" applyFont="1" applyBorder="1" applyAlignment="1">
      <alignment vertical="center"/>
    </xf>
    <xf numFmtId="183" fontId="1" fillId="0" borderId="0" xfId="0" applyNumberFormat="1" applyFont="1" applyAlignment="1">
      <alignment vertical="center"/>
    </xf>
    <xf numFmtId="182" fontId="1" fillId="0" borderId="0" xfId="3" applyNumberFormat="1" applyFont="1" applyAlignment="1">
      <alignment vertical="center"/>
    </xf>
    <xf numFmtId="184" fontId="1" fillId="0" borderId="0" xfId="0" applyNumberFormat="1" applyFont="1" applyAlignment="1">
      <alignment vertical="center"/>
    </xf>
    <xf numFmtId="9" fontId="1" fillId="0" borderId="1" xfId="3" applyNumberFormat="1" applyFont="1" applyBorder="1" applyAlignment="1">
      <alignment vertical="center"/>
    </xf>
    <xf numFmtId="9" fontId="1" fillId="0" borderId="0" xfId="3" applyNumberFormat="1" applyFont="1" applyAlignment="1">
      <alignment vertical="center"/>
    </xf>
    <xf numFmtId="0" fontId="7" fillId="0" borderId="0" xfId="0" applyFont="1" applyAlignment="1">
      <alignment vertical="center"/>
    </xf>
    <xf numFmtId="9" fontId="1" fillId="0" borderId="0" xfId="1" applyNumberFormat="1" applyFont="1" applyFill="1" applyBorder="1" applyAlignment="1" applyProtection="1">
      <alignment vertical="center"/>
    </xf>
    <xf numFmtId="0" fontId="1" fillId="0" borderId="0" xfId="0" applyFont="1" applyAlignment="1">
      <alignment horizontal="right" vertical="center"/>
    </xf>
    <xf numFmtId="0" fontId="2" fillId="6" borderId="0" xfId="0" applyFont="1" applyFill="1" applyAlignment="1">
      <alignment vertical="center"/>
    </xf>
    <xf numFmtId="18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85" fontId="1" fillId="0" borderId="1" xfId="0" applyNumberFormat="1" applyFont="1" applyBorder="1" applyAlignment="1">
      <alignment vertical="center"/>
    </xf>
    <xf numFmtId="182" fontId="1" fillId="0" borderId="0" xfId="3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85" fontId="9" fillId="0" borderId="0" xfId="0" applyNumberFormat="1" applyFont="1" applyAlignment="1">
      <alignment vertical="center"/>
    </xf>
    <xf numFmtId="182" fontId="9" fillId="0" borderId="0" xfId="0" applyNumberFormat="1" applyFont="1" applyAlignment="1">
      <alignment vertical="center"/>
    </xf>
    <xf numFmtId="0" fontId="1" fillId="0" borderId="0" xfId="3" applyNumberFormat="1" applyFont="1" applyBorder="1" applyAlignment="1">
      <alignment vertical="center"/>
    </xf>
    <xf numFmtId="186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85" fontId="2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84" fontId="7" fillId="0" borderId="0" xfId="0" applyNumberFormat="1" applyFont="1" applyFill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184" fontId="1" fillId="0" borderId="0" xfId="0" applyNumberFormat="1" applyFont="1" applyAlignment="1">
      <alignment horizontal="center" vertical="center"/>
    </xf>
    <xf numFmtId="182" fontId="1" fillId="0" borderId="0" xfId="3" applyNumberFormat="1" applyFont="1" applyAlignment="1">
      <alignment horizontal="center" vertical="center"/>
    </xf>
    <xf numFmtId="188" fontId="1" fillId="0" borderId="0" xfId="0" applyNumberFormat="1" applyFont="1" applyAlignment="1">
      <alignment horizontal="center" vertical="center"/>
    </xf>
    <xf numFmtId="9" fontId="1" fillId="0" borderId="0" xfId="3" applyNumberFormat="1" applyFont="1" applyAlignment="1">
      <alignment horizontal="center" vertical="center"/>
    </xf>
    <xf numFmtId="184" fontId="1" fillId="0" borderId="0" xfId="0" applyNumberFormat="1" applyFont="1" applyFill="1" applyAlignment="1">
      <alignment horizontal="center" vertical="center"/>
    </xf>
    <xf numFmtId="9" fontId="1" fillId="0" borderId="0" xfId="3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87" fontId="1" fillId="0" borderId="1" xfId="0" applyNumberFormat="1" applyFont="1" applyBorder="1" applyAlignment="1">
      <alignment horizontal="center" vertical="center"/>
    </xf>
    <xf numFmtId="184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89" fontId="1" fillId="0" borderId="0" xfId="0" applyNumberFormat="1" applyFont="1" applyAlignment="1">
      <alignment vertical="center"/>
    </xf>
    <xf numFmtId="182" fontId="1" fillId="4" borderId="0" xfId="0" applyNumberFormat="1" applyFont="1" applyFill="1" applyAlignment="1">
      <alignment vertical="center"/>
    </xf>
    <xf numFmtId="0" fontId="11" fillId="4" borderId="0" xfId="0" applyFont="1" applyFill="1" applyAlignment="1">
      <alignment horizontal="center" vertical="center" wrapText="1"/>
    </xf>
    <xf numFmtId="184" fontId="1" fillId="0" borderId="1" xfId="0" applyNumberFormat="1" applyFont="1" applyBorder="1" applyAlignment="1">
      <alignment vertical="center"/>
    </xf>
    <xf numFmtId="190" fontId="1" fillId="0" borderId="1" xfId="0" applyNumberFormat="1" applyFont="1" applyBorder="1" applyAlignment="1">
      <alignment vertical="center"/>
    </xf>
    <xf numFmtId="190" fontId="1" fillId="0" borderId="0" xfId="0" applyNumberFormat="1" applyFont="1" applyAlignment="1">
      <alignment vertical="center"/>
    </xf>
    <xf numFmtId="190" fontId="7" fillId="0" borderId="1" xfId="0" applyNumberFormat="1" applyFont="1" applyBorder="1" applyAlignment="1">
      <alignment vertical="center"/>
    </xf>
    <xf numFmtId="180" fontId="2" fillId="0" borderId="2" xfId="0" applyNumberFormat="1" applyFont="1" applyFill="1" applyBorder="1" applyAlignment="1">
      <alignment vertical="center"/>
    </xf>
    <xf numFmtId="184" fontId="2" fillId="0" borderId="1" xfId="0" applyNumberFormat="1" applyFont="1" applyBorder="1" applyAlignment="1">
      <alignment vertical="center"/>
    </xf>
    <xf numFmtId="191" fontId="1" fillId="0" borderId="0" xfId="0" applyNumberFormat="1" applyFont="1" applyAlignment="1">
      <alignment vertical="center"/>
    </xf>
    <xf numFmtId="192" fontId="1" fillId="0" borderId="0" xfId="0" applyNumberFormat="1" applyFont="1" applyAlignment="1">
      <alignment vertical="center"/>
    </xf>
    <xf numFmtId="192" fontId="2" fillId="0" borderId="1" xfId="0" applyNumberFormat="1" applyFont="1" applyBorder="1" applyAlignment="1">
      <alignment vertical="center"/>
    </xf>
    <xf numFmtId="193" fontId="1" fillId="0" borderId="0" xfId="0" applyNumberFormat="1" applyFont="1" applyAlignment="1">
      <alignment vertical="center"/>
    </xf>
    <xf numFmtId="0" fontId="2" fillId="5" borderId="0" xfId="0" applyFont="1" applyFill="1" applyAlignment="1">
      <alignment vertical="center"/>
    </xf>
    <xf numFmtId="194" fontId="2" fillId="0" borderId="2" xfId="0" applyNumberFormat="1" applyFont="1" applyFill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84" fontId="1" fillId="0" borderId="2" xfId="0" applyNumberFormat="1" applyFont="1" applyBorder="1" applyAlignment="1">
      <alignment vertical="center"/>
    </xf>
    <xf numFmtId="190" fontId="1" fillId="0" borderId="2" xfId="0" applyNumberFormat="1" applyFont="1" applyBorder="1" applyAlignment="1">
      <alignment vertical="center"/>
    </xf>
    <xf numFmtId="189" fontId="1" fillId="0" borderId="2" xfId="0" applyNumberFormat="1" applyFont="1" applyBorder="1" applyAlignment="1">
      <alignment vertical="center"/>
    </xf>
    <xf numFmtId="189" fontId="2" fillId="0" borderId="0" xfId="0" applyNumberFormat="1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4" fillId="2" borderId="7" xfId="0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180" fontId="2" fillId="0" borderId="0" xfId="0" applyNumberFormat="1" applyFont="1" applyFill="1" applyAlignment="1">
      <alignment vertical="center"/>
    </xf>
    <xf numFmtId="176" fontId="1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3" fontId="3" fillId="0" borderId="12" xfId="0" applyNumberFormat="1" applyFont="1" applyBorder="1" applyAlignment="1">
      <alignment vertical="center"/>
    </xf>
    <xf numFmtId="195" fontId="1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94" fontId="2" fillId="0" borderId="0" xfId="0" applyNumberFormat="1" applyFont="1" applyFill="1" applyBorder="1" applyAlignment="1">
      <alignment vertical="center"/>
    </xf>
    <xf numFmtId="196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196" fontId="2" fillId="0" borderId="1" xfId="0" applyNumberFormat="1" applyFont="1" applyBorder="1" applyAlignment="1">
      <alignment vertical="center"/>
    </xf>
    <xf numFmtId="190" fontId="1" fillId="5" borderId="0" xfId="0" applyNumberFormat="1" applyFont="1" applyFill="1" applyAlignment="1">
      <alignment vertical="center"/>
    </xf>
    <xf numFmtId="196" fontId="2" fillId="0" borderId="0" xfId="0" applyNumberFormat="1" applyFont="1" applyAlignment="1">
      <alignment vertical="center"/>
    </xf>
    <xf numFmtId="190" fontId="2" fillId="0" borderId="1" xfId="0" applyNumberFormat="1" applyFont="1" applyBorder="1" applyAlignment="1">
      <alignment vertical="center"/>
    </xf>
    <xf numFmtId="3" fontId="1" fillId="5" borderId="0" xfId="0" applyNumberFormat="1" applyFont="1" applyFill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15" fillId="7" borderId="0" xfId="0" applyFont="1" applyFill="1" applyAlignment="1">
      <alignment vertical="center"/>
    </xf>
    <xf numFmtId="194" fontId="2" fillId="0" borderId="2" xfId="0" applyNumberFormat="1" applyFont="1" applyBorder="1" applyAlignment="1">
      <alignment vertical="center"/>
    </xf>
    <xf numFmtId="0" fontId="16" fillId="5" borderId="0" xfId="0" applyFont="1" applyFill="1" applyAlignment="1">
      <alignment vertical="center"/>
    </xf>
    <xf numFmtId="190" fontId="1" fillId="0" borderId="0" xfId="0" applyNumberFormat="1" applyFont="1" applyFill="1" applyAlignment="1">
      <alignment vertical="center"/>
    </xf>
    <xf numFmtId="9" fontId="1" fillId="0" borderId="0" xfId="0" applyNumberFormat="1" applyFont="1" applyAlignment="1">
      <alignment vertical="center"/>
    </xf>
    <xf numFmtId="0" fontId="15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196" fontId="7" fillId="0" borderId="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3" fontId="5" fillId="0" borderId="12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7" fillId="5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197" fontId="2" fillId="0" borderId="0" xfId="0" applyNumberFormat="1" applyFont="1" applyAlignment="1">
      <alignment vertical="center"/>
    </xf>
    <xf numFmtId="196" fontId="1" fillId="0" borderId="0" xfId="0" applyNumberFormat="1" applyFont="1" applyBorder="1" applyAlignment="1">
      <alignment vertical="center"/>
    </xf>
    <xf numFmtId="193" fontId="1" fillId="0" borderId="1" xfId="0" applyNumberFormat="1" applyFont="1" applyBorder="1" applyAlignment="1">
      <alignment vertical="center"/>
    </xf>
    <xf numFmtId="193" fontId="2" fillId="3" borderId="0" xfId="0" applyNumberFormat="1" applyFont="1" applyFill="1" applyAlignment="1">
      <alignment vertical="center"/>
    </xf>
    <xf numFmtId="178" fontId="2" fillId="3" borderId="0" xfId="0" applyNumberFormat="1" applyFont="1" applyFill="1" applyAlignment="1">
      <alignment vertical="center"/>
    </xf>
    <xf numFmtId="192" fontId="2" fillId="3" borderId="0" xfId="0" applyNumberFormat="1" applyFont="1" applyFill="1" applyAlignment="1">
      <alignment vertical="center"/>
    </xf>
    <xf numFmtId="198" fontId="2" fillId="3" borderId="0" xfId="0" applyNumberFormat="1" applyFont="1" applyFill="1" applyAlignment="1">
      <alignment vertical="center"/>
    </xf>
    <xf numFmtId="193" fontId="2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right" vertical="center"/>
    </xf>
    <xf numFmtId="199" fontId="1" fillId="0" borderId="0" xfId="0" applyNumberFormat="1" applyFont="1" applyAlignment="1">
      <alignment vertical="center"/>
    </xf>
    <xf numFmtId="176" fontId="1" fillId="0" borderId="1" xfId="0" applyNumberFormat="1" applyFont="1" applyBorder="1" applyAlignment="1">
      <alignment vertical="center"/>
    </xf>
    <xf numFmtId="176" fontId="14" fillId="0" borderId="12" xfId="0" applyNumberFormat="1" applyFont="1" applyBorder="1" applyAlignment="1">
      <alignment vertical="center"/>
    </xf>
    <xf numFmtId="191" fontId="5" fillId="0" borderId="13" xfId="0" applyNumberFormat="1" applyFont="1" applyBorder="1" applyAlignment="1">
      <alignment vertical="center"/>
    </xf>
    <xf numFmtId="191" fontId="2" fillId="0" borderId="1" xfId="0" applyNumberFormat="1" applyFont="1" applyBorder="1" applyAlignment="1">
      <alignment vertical="center"/>
    </xf>
    <xf numFmtId="176" fontId="1" fillId="0" borderId="0" xfId="0" applyNumberFormat="1" applyFont="1" applyBorder="1" applyAlignment="1">
      <alignment vertical="center"/>
    </xf>
    <xf numFmtId="191" fontId="1" fillId="0" borderId="1" xfId="0" applyNumberFormat="1" applyFont="1" applyBorder="1" applyAlignment="1">
      <alignment vertical="center"/>
    </xf>
    <xf numFmtId="190" fontId="3" fillId="3" borderId="0" xfId="0" applyNumberFormat="1" applyFont="1" applyFill="1" applyAlignment="1">
      <alignment vertical="center"/>
    </xf>
    <xf numFmtId="190" fontId="2" fillId="3" borderId="0" xfId="0" applyNumberFormat="1" applyFont="1" applyFill="1" applyAlignment="1">
      <alignment vertical="center"/>
    </xf>
    <xf numFmtId="10" fontId="1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14" xfId="0" applyFont="1" applyBorder="1" applyAlignment="1">
      <alignment vertical="center"/>
    </xf>
    <xf numFmtId="183" fontId="2" fillId="5" borderId="0" xfId="0" applyNumberFormat="1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182" fontId="1" fillId="0" borderId="0" xfId="0" applyNumberFormat="1" applyFont="1" applyAlignment="1">
      <alignment vertical="center"/>
    </xf>
    <xf numFmtId="192" fontId="1" fillId="0" borderId="1" xfId="0" applyNumberFormat="1" applyFont="1" applyBorder="1" applyAlignment="1">
      <alignment vertical="center"/>
    </xf>
    <xf numFmtId="198" fontId="1" fillId="0" borderId="0" xfId="0" applyNumberFormat="1" applyFont="1" applyAlignment="1">
      <alignment vertical="center"/>
    </xf>
    <xf numFmtId="200" fontId="2" fillId="0" borderId="0" xfId="0" applyNumberFormat="1" applyFont="1" applyAlignment="1">
      <alignment vertical="center"/>
    </xf>
    <xf numFmtId="0" fontId="17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1" fillId="0" borderId="2" xfId="0" applyFont="1" applyBorder="1" applyAlignment="1">
      <alignment vertical="center"/>
    </xf>
    <xf numFmtId="182" fontId="1" fillId="0" borderId="15" xfId="0" applyNumberFormat="1" applyFont="1" applyBorder="1" applyAlignment="1">
      <alignment vertical="center"/>
    </xf>
    <xf numFmtId="182" fontId="1" fillId="0" borderId="1" xfId="0" applyNumberFormat="1" applyFont="1" applyBorder="1" applyAlignment="1">
      <alignment vertical="center"/>
    </xf>
    <xf numFmtId="182" fontId="1" fillId="0" borderId="16" xfId="0" applyNumberFormat="1" applyFont="1" applyBorder="1" applyAlignment="1">
      <alignment vertical="center"/>
    </xf>
    <xf numFmtId="200" fontId="11" fillId="0" borderId="17" xfId="0" applyNumberFormat="1" applyFont="1" applyBorder="1" applyAlignment="1">
      <alignment vertical="center"/>
    </xf>
    <xf numFmtId="197" fontId="1" fillId="0" borderId="0" xfId="0" applyNumberFormat="1" applyFont="1" applyAlignment="1">
      <alignment vertical="center"/>
    </xf>
    <xf numFmtId="200" fontId="1" fillId="0" borderId="0" xfId="0" applyNumberFormat="1" applyFont="1" applyAlignment="1">
      <alignment vertical="center"/>
    </xf>
    <xf numFmtId="200" fontId="2" fillId="0" borderId="15" xfId="0" applyNumberFormat="1" applyFont="1" applyBorder="1" applyAlignment="1">
      <alignment vertical="center"/>
    </xf>
    <xf numFmtId="200" fontId="2" fillId="0" borderId="16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20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1" fillId="4" borderId="0" xfId="0" applyFont="1" applyFill="1" applyBorder="1">
      <alignment vertical="center"/>
    </xf>
    <xf numFmtId="0" fontId="21" fillId="4" borderId="16" xfId="0" applyFont="1" applyFill="1" applyBorder="1">
      <alignment vertical="center"/>
    </xf>
    <xf numFmtId="0" fontId="22" fillId="4" borderId="0" xfId="0" applyFont="1" applyFill="1">
      <alignment vertical="center"/>
    </xf>
    <xf numFmtId="0" fontId="23" fillId="4" borderId="0" xfId="0" applyFont="1" applyFill="1">
      <alignment vertical="center"/>
    </xf>
    <xf numFmtId="0" fontId="24" fillId="5" borderId="0" xfId="0" applyFont="1" applyFill="1">
      <alignment vertical="center"/>
    </xf>
    <xf numFmtId="0" fontId="0" fillId="0" borderId="0" xfId="0" applyAlignment="1">
      <alignment vertical="center" wrapText="1"/>
    </xf>
    <xf numFmtId="201" fontId="0" fillId="0" borderId="0" xfId="0" applyNumberFormat="1">
      <alignment vertical="center"/>
    </xf>
    <xf numFmtId="0" fontId="25" fillId="5" borderId="0" xfId="0" applyFont="1" applyFill="1">
      <alignment vertical="center"/>
    </xf>
    <xf numFmtId="0" fontId="26" fillId="5" borderId="0" xfId="0" applyFont="1" applyFill="1">
      <alignment vertical="center"/>
    </xf>
    <xf numFmtId="0" fontId="21" fillId="4" borderId="17" xfId="0" applyFont="1" applyFill="1" applyBorder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4" borderId="0" xfId="0" applyFont="1" applyFill="1">
      <alignment vertical="center"/>
    </xf>
    <xf numFmtId="0" fontId="29" fillId="0" borderId="0" xfId="0" applyFont="1" applyFill="1">
      <alignment vertical="center"/>
    </xf>
    <xf numFmtId="0" fontId="30" fillId="4" borderId="3" xfId="0" applyFont="1" applyFill="1" applyBorder="1">
      <alignment vertical="center"/>
    </xf>
    <xf numFmtId="0" fontId="30" fillId="4" borderId="4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center" vertical="center"/>
    </xf>
    <xf numFmtId="0" fontId="31" fillId="4" borderId="5" xfId="0" applyFont="1" applyFill="1" applyBorder="1" applyAlignment="1">
      <alignment horizontal="center" vertical="center"/>
    </xf>
    <xf numFmtId="0" fontId="30" fillId="4" borderId="8" xfId="0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202" fontId="28" fillId="0" borderId="0" xfId="0" applyNumberFormat="1" applyFont="1" applyFill="1" applyAlignment="1">
      <alignment vertical="center"/>
    </xf>
    <xf numFmtId="177" fontId="28" fillId="0" borderId="0" xfId="0" applyNumberFormat="1" applyFont="1">
      <alignment vertical="center"/>
    </xf>
    <xf numFmtId="177" fontId="28" fillId="0" borderId="0" xfId="0" applyNumberFormat="1" applyFont="1" applyFill="1" applyAlignment="1">
      <alignment vertical="center"/>
    </xf>
    <xf numFmtId="182" fontId="28" fillId="0" borderId="0" xfId="0" applyNumberFormat="1" applyFont="1">
      <alignment vertical="center"/>
    </xf>
    <xf numFmtId="203" fontId="28" fillId="0" borderId="0" xfId="0" applyNumberFormat="1" applyFont="1">
      <alignment vertical="center"/>
    </xf>
    <xf numFmtId="0" fontId="27" fillId="0" borderId="0" xfId="0" applyFont="1" applyAlignment="1">
      <alignment horizontal="left" vertical="top"/>
    </xf>
    <xf numFmtId="0" fontId="32" fillId="0" borderId="0" xfId="0" applyFont="1">
      <alignment vertical="center"/>
    </xf>
    <xf numFmtId="0" fontId="33" fillId="5" borderId="0" xfId="0" applyFont="1" applyFill="1">
      <alignment vertical="center"/>
    </xf>
    <xf numFmtId="0" fontId="27" fillId="5" borderId="0" xfId="0" applyFont="1" applyFill="1">
      <alignment vertical="center"/>
    </xf>
    <xf numFmtId="0" fontId="27" fillId="5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 vertical="center"/>
    </xf>
    <xf numFmtId="0" fontId="27" fillId="0" borderId="0" xfId="0" applyFont="1" applyAlignment="1">
      <alignment vertical="center" wrapText="1"/>
    </xf>
    <xf numFmtId="201" fontId="27" fillId="0" borderId="0" xfId="0" applyNumberFormat="1" applyFont="1">
      <alignment vertical="center"/>
    </xf>
    <xf numFmtId="0" fontId="27" fillId="0" borderId="0" xfId="0" applyFont="1" applyAlignment="1">
      <alignment vertical="center"/>
    </xf>
    <xf numFmtId="10" fontId="27" fillId="0" borderId="0" xfId="0" applyNumberFormat="1" applyFont="1">
      <alignment vertical="center"/>
    </xf>
    <xf numFmtId="3" fontId="27" fillId="0" borderId="0" xfId="0" applyNumberFormat="1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201" fontId="27" fillId="0" borderId="0" xfId="0" applyNumberFormat="1" applyFont="1" applyAlignment="1">
      <alignment horizontal="center" vertical="center"/>
    </xf>
    <xf numFmtId="10" fontId="27" fillId="0" borderId="0" xfId="0" applyNumberFormat="1" applyFont="1" applyAlignment="1">
      <alignment vertical="center"/>
    </xf>
    <xf numFmtId="0" fontId="27" fillId="10" borderId="0" xfId="0" applyFont="1" applyFill="1" applyAlignment="1">
      <alignment horizontal="left" vertical="top"/>
    </xf>
    <xf numFmtId="0" fontId="27" fillId="10" borderId="0" xfId="0" applyFont="1" applyFill="1" applyAlignment="1">
      <alignment vertical="center"/>
    </xf>
    <xf numFmtId="182" fontId="27" fillId="10" borderId="0" xfId="0" applyNumberFormat="1" applyFont="1" applyFill="1" applyAlignment="1">
      <alignment vertical="top"/>
    </xf>
    <xf numFmtId="0" fontId="27" fillId="10" borderId="0" xfId="0" applyFont="1" applyFill="1">
      <alignment vertical="center"/>
    </xf>
    <xf numFmtId="182" fontId="27" fillId="10" borderId="0" xfId="0" applyNumberFormat="1" applyFont="1" applyFill="1">
      <alignment vertical="center"/>
    </xf>
    <xf numFmtId="0" fontId="32" fillId="0" borderId="0" xfId="0" applyFont="1" applyAlignment="1">
      <alignment vertical="center" wrapText="1"/>
    </xf>
    <xf numFmtId="177" fontId="32" fillId="0" borderId="0" xfId="0" applyNumberFormat="1" applyFont="1">
      <alignment vertical="center"/>
    </xf>
    <xf numFmtId="3" fontId="32" fillId="0" borderId="0" xfId="0" applyNumberFormat="1" applyFont="1">
      <alignment vertical="center"/>
    </xf>
    <xf numFmtId="0" fontId="34" fillId="0" borderId="2" xfId="0" applyFont="1" applyBorder="1">
      <alignment vertical="center"/>
    </xf>
    <xf numFmtId="182" fontId="27" fillId="0" borderId="0" xfId="0" applyNumberFormat="1" applyFont="1">
      <alignment vertical="center"/>
    </xf>
    <xf numFmtId="0" fontId="27" fillId="0" borderId="2" xfId="0" applyFont="1" applyBorder="1">
      <alignment vertical="center"/>
    </xf>
    <xf numFmtId="182" fontId="27" fillId="0" borderId="2" xfId="1" applyNumberFormat="1" applyFont="1" applyBorder="1">
      <alignment vertical="center"/>
    </xf>
    <xf numFmtId="177" fontId="27" fillId="0" borderId="0" xfId="0" applyNumberFormat="1" applyFont="1">
      <alignment vertical="center"/>
    </xf>
    <xf numFmtId="3" fontId="27" fillId="0" borderId="0" xfId="0" applyNumberFormat="1" applyFont="1">
      <alignment vertical="center"/>
    </xf>
    <xf numFmtId="182" fontId="27" fillId="0" borderId="0" xfId="3" applyNumberFormat="1" applyFont="1">
      <alignment vertical="center"/>
    </xf>
    <xf numFmtId="0" fontId="34" fillId="0" borderId="1" xfId="0" applyFont="1" applyBorder="1">
      <alignment vertical="center"/>
    </xf>
    <xf numFmtId="0" fontId="27" fillId="0" borderId="1" xfId="0" applyFont="1" applyBorder="1">
      <alignment vertical="center"/>
    </xf>
    <xf numFmtId="182" fontId="27" fillId="0" borderId="1" xfId="1" applyNumberFormat="1" applyFont="1" applyBorder="1">
      <alignment vertical="center"/>
    </xf>
    <xf numFmtId="9" fontId="27" fillId="0" borderId="0" xfId="3" applyNumberFormat="1" applyFont="1">
      <alignment vertical="center"/>
    </xf>
    <xf numFmtId="9" fontId="27" fillId="0" borderId="0" xfId="0" applyNumberFormat="1" applyFont="1">
      <alignment vertical="center"/>
    </xf>
    <xf numFmtId="203" fontId="27" fillId="0" borderId="0" xfId="0" applyNumberFormat="1" applyFont="1">
      <alignment vertical="center"/>
    </xf>
    <xf numFmtId="182" fontId="27" fillId="0" borderId="1" xfId="0" applyNumberFormat="1" applyFont="1" applyBorder="1">
      <alignment vertical="center"/>
    </xf>
    <xf numFmtId="0" fontId="34" fillId="0" borderId="11" xfId="0" applyFont="1" applyBorder="1">
      <alignment vertical="center"/>
    </xf>
    <xf numFmtId="0" fontId="34" fillId="0" borderId="12" xfId="0" applyFont="1" applyBorder="1">
      <alignment vertical="center"/>
    </xf>
    <xf numFmtId="182" fontId="34" fillId="0" borderId="13" xfId="0" applyNumberFormat="1" applyFont="1" applyBorder="1">
      <alignment vertical="center"/>
    </xf>
    <xf numFmtId="0" fontId="35" fillId="3" borderId="0" xfId="0" applyFont="1" applyFill="1">
      <alignment vertical="center"/>
    </xf>
    <xf numFmtId="0" fontId="1" fillId="0" borderId="0" xfId="0" applyFont="1">
      <alignment vertical="center"/>
    </xf>
    <xf numFmtId="0" fontId="3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0" fontId="2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01" fontId="1" fillId="0" borderId="0" xfId="0" applyNumberFormat="1" applyFont="1">
      <alignment vertical="center"/>
    </xf>
    <xf numFmtId="201" fontId="1" fillId="0" borderId="0" xfId="0" applyNumberFormat="1" applyFont="1" applyAlignment="1">
      <alignment vertical="center"/>
    </xf>
    <xf numFmtId="201" fontId="37" fillId="0" borderId="0" xfId="0" applyNumberFormat="1" applyFont="1">
      <alignment vertical="center"/>
    </xf>
    <xf numFmtId="3" fontId="1" fillId="0" borderId="0" xfId="0" applyNumberFormat="1" applyFont="1" applyAlignment="1">
      <alignment vertical="top" wrapText="1"/>
    </xf>
    <xf numFmtId="201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37" fillId="0" borderId="0" xfId="0" applyFont="1">
      <alignment vertical="center"/>
    </xf>
    <xf numFmtId="3" fontId="37" fillId="0" borderId="0" xfId="0" applyNumberFormat="1" applyFont="1">
      <alignment vertical="center"/>
    </xf>
    <xf numFmtId="0" fontId="38" fillId="11" borderId="0" xfId="0" applyFont="1" applyFill="1">
      <alignment vertical="center"/>
    </xf>
    <xf numFmtId="0" fontId="37" fillId="11" borderId="0" xfId="0" applyFont="1" applyFill="1">
      <alignment vertical="center"/>
    </xf>
    <xf numFmtId="0" fontId="2" fillId="0" borderId="0" xfId="0" applyFont="1" applyAlignment="1">
      <alignment vertical="center" wrapText="1"/>
    </xf>
    <xf numFmtId="17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39" fillId="11" borderId="0" xfId="0" applyFont="1" applyFill="1">
      <alignment vertical="center"/>
    </xf>
    <xf numFmtId="0" fontId="11" fillId="0" borderId="0" xfId="0" applyFont="1">
      <alignment vertical="center"/>
    </xf>
    <xf numFmtId="186" fontId="40" fillId="0" borderId="0" xfId="0" applyNumberFormat="1" applyFont="1">
      <alignment vertical="center"/>
    </xf>
    <xf numFmtId="3" fontId="11" fillId="0" borderId="0" xfId="1" applyNumberFormat="1" applyFont="1">
      <alignment vertical="center"/>
    </xf>
    <xf numFmtId="3" fontId="11" fillId="0" borderId="0" xfId="0" applyNumberFormat="1" applyFont="1">
      <alignment vertical="center"/>
    </xf>
    <xf numFmtId="0" fontId="24" fillId="3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177" fontId="1" fillId="0" borderId="0" xfId="0" applyNumberFormat="1" applyFont="1">
      <alignment vertical="center"/>
    </xf>
    <xf numFmtId="186" fontId="1" fillId="0" borderId="0" xfId="0" applyNumberFormat="1" applyFont="1">
      <alignment vertical="center"/>
    </xf>
    <xf numFmtId="177" fontId="1" fillId="0" borderId="0" xfId="0" applyNumberFormat="1" applyFont="1" applyAlignment="1">
      <alignment vertical="top"/>
    </xf>
    <xf numFmtId="177" fontId="37" fillId="0" borderId="0" xfId="0" applyNumberFormat="1" applyFont="1">
      <alignment vertical="center"/>
    </xf>
    <xf numFmtId="201" fontId="1" fillId="0" borderId="0" xfId="0" applyNumberFormat="1" applyFont="1" applyAlignment="1">
      <alignment vertical="top" wrapText="1"/>
    </xf>
    <xf numFmtId="186" fontId="37" fillId="0" borderId="0" xfId="0" applyNumberFormat="1" applyFont="1">
      <alignment vertical="center"/>
    </xf>
    <xf numFmtId="177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204" fontId="37" fillId="0" borderId="0" xfId="0" applyNumberFormat="1" applyFont="1">
      <alignment vertical="center"/>
    </xf>
    <xf numFmtId="200" fontId="37" fillId="11" borderId="0" xfId="0" applyNumberFormat="1" applyFont="1" applyFill="1">
      <alignment vertical="center"/>
    </xf>
    <xf numFmtId="177" fontId="36" fillId="0" borderId="0" xfId="0" applyNumberFormat="1" applyFont="1" applyAlignment="1">
      <alignment vertical="top" wrapText="1"/>
    </xf>
    <xf numFmtId="204" fontId="36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10" fontId="1" fillId="0" borderId="0" xfId="0" applyNumberFormat="1" applyFont="1">
      <alignment vertical="center"/>
    </xf>
    <xf numFmtId="10" fontId="0" fillId="0" borderId="0" xfId="0" applyNumberFormat="1">
      <alignment vertical="center"/>
    </xf>
    <xf numFmtId="0" fontId="41" fillId="4" borderId="0" xfId="0" applyFont="1" applyFill="1">
      <alignment vertical="center"/>
    </xf>
    <xf numFmtId="0" fontId="42" fillId="4" borderId="1" xfId="0" applyFont="1" applyFill="1" applyBorder="1">
      <alignment vertical="center"/>
    </xf>
    <xf numFmtId="0" fontId="43" fillId="0" borderId="0" xfId="0" applyFont="1" applyBorder="1">
      <alignment vertical="center"/>
    </xf>
    <xf numFmtId="0" fontId="43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43" fillId="0" borderId="0" xfId="0" applyFont="1">
      <alignment vertical="center"/>
    </xf>
    <xf numFmtId="0" fontId="41" fillId="4" borderId="0" xfId="0" applyFont="1" applyFill="1" applyBorder="1">
      <alignment vertical="center"/>
    </xf>
    <xf numFmtId="0" fontId="44" fillId="4" borderId="1" xfId="0" applyFont="1" applyFill="1" applyBorder="1">
      <alignment vertical="center"/>
    </xf>
    <xf numFmtId="194" fontId="41" fillId="4" borderId="1" xfId="0" applyNumberFormat="1" applyFont="1" applyFill="1" applyBorder="1">
      <alignment vertical="center"/>
    </xf>
    <xf numFmtId="0" fontId="45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182" fontId="43" fillId="0" borderId="18" xfId="0" applyNumberFormat="1" applyFont="1" applyBorder="1">
      <alignment vertical="center"/>
    </xf>
    <xf numFmtId="10" fontId="43" fillId="0" borderId="0" xfId="0" applyNumberFormat="1" applyFont="1">
      <alignment vertical="center"/>
    </xf>
    <xf numFmtId="177" fontId="43" fillId="0" borderId="0" xfId="0" applyNumberFormat="1" applyFont="1">
      <alignment vertical="center"/>
    </xf>
    <xf numFmtId="9" fontId="46" fillId="0" borderId="18" xfId="0" applyNumberFormat="1" applyFont="1" applyBorder="1">
      <alignment vertical="center"/>
    </xf>
    <xf numFmtId="192" fontId="43" fillId="0" borderId="0" xfId="0" applyNumberFormat="1" applyFont="1" applyBorder="1">
      <alignment vertical="center"/>
    </xf>
    <xf numFmtId="205" fontId="41" fillId="4" borderId="1" xfId="0" applyNumberFormat="1" applyFont="1" applyFill="1" applyBorder="1">
      <alignment vertical="center"/>
    </xf>
    <xf numFmtId="10" fontId="43" fillId="0" borderId="0" xfId="0" applyNumberFormat="1" applyFont="1" applyFill="1" applyBorder="1">
      <alignment vertical="center"/>
    </xf>
    <xf numFmtId="10" fontId="43" fillId="0" borderId="0" xfId="0" applyNumberFormat="1" applyFont="1" applyFill="1" applyAlignment="1"/>
    <xf numFmtId="192" fontId="43" fillId="0" borderId="0" xfId="0" applyNumberFormat="1" applyFont="1">
      <alignment vertical="center"/>
    </xf>
    <xf numFmtId="4" fontId="43" fillId="0" borderId="0" xfId="0" applyNumberFormat="1" applyFont="1">
      <alignment vertical="center"/>
    </xf>
    <xf numFmtId="9" fontId="10" fillId="0" borderId="0" xfId="0" applyNumberFormat="1" applyFont="1">
      <alignment vertical="center"/>
    </xf>
    <xf numFmtId="4" fontId="10" fillId="0" borderId="0" xfId="0" applyNumberFormat="1" applyFont="1">
      <alignment vertical="center"/>
    </xf>
    <xf numFmtId="9" fontId="43" fillId="0" borderId="0" xfId="0" applyNumberFormat="1" applyFont="1">
      <alignment vertical="center"/>
    </xf>
    <xf numFmtId="206" fontId="43" fillId="0" borderId="0" xfId="0" applyNumberFormat="1" applyFont="1">
      <alignment vertical="center"/>
    </xf>
    <xf numFmtId="0" fontId="43" fillId="0" borderId="0" xfId="0" applyNumberFormat="1" applyFont="1">
      <alignment vertical="center"/>
    </xf>
    <xf numFmtId="0" fontId="15" fillId="0" borderId="0" xfId="0" applyFont="1">
      <alignment vertical="center"/>
    </xf>
    <xf numFmtId="0" fontId="47" fillId="4" borderId="0" xfId="0" applyFont="1" applyFill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 applyFill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55" fillId="0" borderId="0" xfId="0" applyFont="1">
      <alignment vertical="center"/>
    </xf>
    <xf numFmtId="0" fontId="56" fillId="0" borderId="0" xfId="0" applyFont="1" applyFill="1">
      <alignment vertical="center"/>
    </xf>
    <xf numFmtId="0" fontId="47" fillId="0" borderId="0" xfId="0" applyFont="1">
      <alignment vertical="center"/>
    </xf>
    <xf numFmtId="0" fontId="47" fillId="0" borderId="0" xfId="0" applyFont="1" applyBorder="1">
      <alignment vertical="center"/>
    </xf>
    <xf numFmtId="0" fontId="57" fillId="0" borderId="0" xfId="0" applyFont="1">
      <alignment vertical="center"/>
    </xf>
    <xf numFmtId="0" fontId="15" fillId="0" borderId="0" xfId="0" applyFont="1" applyBorder="1">
      <alignment vertical="center"/>
    </xf>
    <xf numFmtId="194" fontId="15" fillId="0" borderId="16" xfId="0" applyNumberFormat="1" applyFont="1" applyBorder="1">
      <alignment vertical="center"/>
    </xf>
    <xf numFmtId="0" fontId="58" fillId="4" borderId="0" xfId="0" applyFont="1" applyFill="1">
      <alignment vertical="center"/>
    </xf>
    <xf numFmtId="0" fontId="47" fillId="4" borderId="16" xfId="0" applyFont="1" applyFill="1" applyBorder="1">
      <alignment vertical="center"/>
    </xf>
    <xf numFmtId="0" fontId="49" fillId="0" borderId="18" xfId="0" applyFont="1" applyBorder="1">
      <alignment vertical="center"/>
    </xf>
    <xf numFmtId="182" fontId="47" fillId="0" borderId="16" xfId="0" applyNumberFormat="1" applyFont="1" applyBorder="1">
      <alignment vertical="center"/>
    </xf>
    <xf numFmtId="192" fontId="47" fillId="0" borderId="16" xfId="0" applyNumberFormat="1" applyFont="1" applyBorder="1">
      <alignment vertical="center"/>
    </xf>
    <xf numFmtId="200" fontId="47" fillId="0" borderId="16" xfId="0" applyNumberFormat="1" applyFont="1" applyBorder="1">
      <alignment vertical="center"/>
    </xf>
    <xf numFmtId="0" fontId="59" fillId="0" borderId="0" xfId="0" applyFont="1">
      <alignment vertical="center"/>
    </xf>
    <xf numFmtId="0" fontId="47" fillId="0" borderId="15" xfId="0" applyFont="1" applyBorder="1">
      <alignment vertical="center"/>
    </xf>
    <xf numFmtId="0" fontId="47" fillId="0" borderId="16" xfId="0" applyNumberFormat="1" applyFont="1" applyBorder="1">
      <alignment vertical="center"/>
    </xf>
    <xf numFmtId="0" fontId="48" fillId="0" borderId="1" xfId="0" applyFont="1" applyBorder="1">
      <alignment vertical="center"/>
    </xf>
    <xf numFmtId="0" fontId="49" fillId="0" borderId="1" xfId="0" applyFont="1" applyBorder="1">
      <alignment vertical="center"/>
    </xf>
    <xf numFmtId="0" fontId="48" fillId="0" borderId="15" xfId="0" applyNumberFormat="1" applyFont="1" applyBorder="1">
      <alignment vertical="center"/>
    </xf>
    <xf numFmtId="0" fontId="47" fillId="0" borderId="19" xfId="0" applyNumberFormat="1" applyFont="1" applyBorder="1">
      <alignment vertical="center"/>
    </xf>
    <xf numFmtId="0" fontId="49" fillId="0" borderId="16" xfId="0" applyNumberFormat="1" applyFont="1" applyBorder="1">
      <alignment vertical="center"/>
    </xf>
    <xf numFmtId="0" fontId="47" fillId="0" borderId="1" xfId="0" applyFont="1" applyBorder="1">
      <alignment vertical="center"/>
    </xf>
    <xf numFmtId="0" fontId="47" fillId="0" borderId="20" xfId="0" applyNumberFormat="1" applyFont="1" applyBorder="1">
      <alignment vertical="center"/>
    </xf>
    <xf numFmtId="0" fontId="48" fillId="0" borderId="16" xfId="0" applyNumberFormat="1" applyFont="1" applyBorder="1">
      <alignment vertical="center"/>
    </xf>
    <xf numFmtId="0" fontId="49" fillId="0" borderId="21" xfId="0" applyFont="1" applyBorder="1">
      <alignment vertical="center"/>
    </xf>
    <xf numFmtId="0" fontId="49" fillId="0" borderId="20" xfId="0" applyNumberFormat="1" applyFont="1" applyBorder="1">
      <alignment vertical="center"/>
    </xf>
    <xf numFmtId="0" fontId="60" fillId="0" borderId="0" xfId="0" applyFont="1">
      <alignment vertical="center"/>
    </xf>
    <xf numFmtId="0" fontId="15" fillId="0" borderId="16" xfId="0" applyFont="1" applyBorder="1">
      <alignment vertical="center"/>
    </xf>
    <xf numFmtId="0" fontId="61" fillId="0" borderId="0" xfId="0" applyFont="1">
      <alignment vertical="center"/>
    </xf>
    <xf numFmtId="0" fontId="49" fillId="0" borderId="16" xfId="0" applyFont="1" applyBorder="1">
      <alignment vertical="center"/>
    </xf>
    <xf numFmtId="0" fontId="47" fillId="0" borderId="16" xfId="0" applyFont="1" applyBorder="1">
      <alignment vertical="center"/>
    </xf>
    <xf numFmtId="0" fontId="50" fillId="0" borderId="16" xfId="0" applyFont="1" applyBorder="1">
      <alignment vertical="center"/>
    </xf>
    <xf numFmtId="3" fontId="47" fillId="0" borderId="16" xfId="0" applyNumberFormat="1" applyFont="1" applyBorder="1">
      <alignment vertical="center"/>
    </xf>
    <xf numFmtId="0" fontId="53" fillId="0" borderId="0" xfId="0" applyFont="1" applyFill="1">
      <alignment vertical="center"/>
    </xf>
    <xf numFmtId="3" fontId="53" fillId="0" borderId="16" xfId="0" applyNumberFormat="1" applyFont="1" applyFill="1" applyBorder="1">
      <alignment vertical="center"/>
    </xf>
    <xf numFmtId="3" fontId="53" fillId="0" borderId="16" xfId="0" applyNumberFormat="1" applyFont="1" applyBorder="1">
      <alignment vertical="center"/>
    </xf>
    <xf numFmtId="0" fontId="55" fillId="0" borderId="20" xfId="0" applyFont="1" applyBorder="1">
      <alignment vertical="center"/>
    </xf>
    <xf numFmtId="0" fontId="55" fillId="0" borderId="21" xfId="0" applyFont="1" applyBorder="1">
      <alignment vertical="center"/>
    </xf>
    <xf numFmtId="3" fontId="55" fillId="0" borderId="21" xfId="0" applyNumberFormat="1" applyFont="1" applyBorder="1">
      <alignment vertical="center"/>
    </xf>
    <xf numFmtId="192" fontId="53" fillId="0" borderId="16" xfId="0" applyNumberFormat="1" applyFont="1" applyBorder="1">
      <alignment vertical="center"/>
    </xf>
    <xf numFmtId="0" fontId="47" fillId="0" borderId="2" xfId="0" applyFont="1" applyBorder="1">
      <alignment vertical="center"/>
    </xf>
    <xf numFmtId="0" fontId="49" fillId="0" borderId="0" xfId="0" applyFont="1" applyBorder="1">
      <alignment vertical="center"/>
    </xf>
    <xf numFmtId="192" fontId="49" fillId="0" borderId="15" xfId="0" applyNumberFormat="1" applyFont="1" applyBorder="1">
      <alignment vertical="center"/>
    </xf>
    <xf numFmtId="194" fontId="15" fillId="0" borderId="0" xfId="0" applyNumberFormat="1" applyFont="1">
      <alignment vertical="center"/>
    </xf>
    <xf numFmtId="194" fontId="15" fillId="0" borderId="17" xfId="0" applyNumberFormat="1" applyFont="1" applyBorder="1">
      <alignment vertical="center"/>
    </xf>
    <xf numFmtId="205" fontId="15" fillId="0" borderId="0" xfId="0" applyNumberFormat="1" applyFont="1">
      <alignment vertical="center"/>
    </xf>
    <xf numFmtId="0" fontId="47" fillId="4" borderId="17" xfId="0" applyFont="1" applyFill="1" applyBorder="1">
      <alignment vertical="center"/>
    </xf>
    <xf numFmtId="205" fontId="15" fillId="0" borderId="0" xfId="0" applyNumberFormat="1" applyFont="1" applyBorder="1">
      <alignment vertical="center"/>
    </xf>
    <xf numFmtId="182" fontId="47" fillId="0" borderId="0" xfId="0" applyNumberFormat="1" applyFont="1">
      <alignment vertical="center"/>
    </xf>
    <xf numFmtId="182" fontId="47" fillId="0" borderId="17" xfId="0" applyNumberFormat="1" applyFont="1" applyBorder="1">
      <alignment vertical="center"/>
    </xf>
    <xf numFmtId="182" fontId="47" fillId="0" borderId="0" xfId="0" applyNumberFormat="1" applyFont="1" applyBorder="1">
      <alignment vertical="center"/>
    </xf>
    <xf numFmtId="192" fontId="47" fillId="0" borderId="0" xfId="0" applyNumberFormat="1" applyFont="1" applyBorder="1">
      <alignment vertical="center"/>
    </xf>
    <xf numFmtId="192" fontId="47" fillId="0" borderId="17" xfId="0" applyNumberFormat="1" applyFont="1" applyBorder="1">
      <alignment vertical="center"/>
    </xf>
    <xf numFmtId="192" fontId="47" fillId="0" borderId="0" xfId="0" applyNumberFormat="1" applyFont="1">
      <alignment vertical="center"/>
    </xf>
    <xf numFmtId="200" fontId="47" fillId="0" borderId="0" xfId="0" applyNumberFormat="1" applyFont="1" applyBorder="1">
      <alignment vertical="center"/>
    </xf>
    <xf numFmtId="200" fontId="47" fillId="0" borderId="17" xfId="0" applyNumberFormat="1" applyFont="1" applyBorder="1">
      <alignment vertical="center"/>
    </xf>
    <xf numFmtId="200" fontId="47" fillId="0" borderId="0" xfId="0" applyNumberFormat="1" applyFont="1">
      <alignment vertical="center"/>
    </xf>
    <xf numFmtId="0" fontId="59" fillId="0" borderId="0" xfId="0" applyFont="1" applyAlignment="1">
      <alignment horizontal="center" vertical="center"/>
    </xf>
    <xf numFmtId="0" fontId="47" fillId="0" borderId="17" xfId="0" applyFont="1" applyBorder="1">
      <alignment vertical="center"/>
    </xf>
    <xf numFmtId="0" fontId="47" fillId="0" borderId="0" xfId="0" applyNumberFormat="1" applyFont="1">
      <alignment vertical="center"/>
    </xf>
    <xf numFmtId="0" fontId="47" fillId="0" borderId="17" xfId="0" applyNumberFormat="1" applyFont="1" applyBorder="1">
      <alignment vertical="center"/>
    </xf>
    <xf numFmtId="0" fontId="48" fillId="0" borderId="1" xfId="0" applyNumberFormat="1" applyFont="1" applyBorder="1">
      <alignment vertical="center"/>
    </xf>
    <xf numFmtId="0" fontId="47" fillId="0" borderId="0" xfId="0" applyNumberFormat="1" applyFont="1" applyBorder="1">
      <alignment vertical="center"/>
    </xf>
    <xf numFmtId="0" fontId="47" fillId="0" borderId="2" xfId="0" applyNumberFormat="1" applyFont="1" applyBorder="1">
      <alignment vertical="center"/>
    </xf>
    <xf numFmtId="0" fontId="49" fillId="0" borderId="0" xfId="0" applyNumberFormat="1" applyFont="1" applyBorder="1">
      <alignment vertical="center"/>
    </xf>
    <xf numFmtId="0" fontId="49" fillId="0" borderId="1" xfId="0" applyNumberFormat="1" applyFont="1" applyBorder="1">
      <alignment vertical="center"/>
    </xf>
    <xf numFmtId="0" fontId="47" fillId="0" borderId="21" xfId="0" applyNumberFormat="1" applyFont="1" applyBorder="1">
      <alignment vertical="center"/>
    </xf>
    <xf numFmtId="0" fontId="47" fillId="0" borderId="1" xfId="0" applyNumberFormat="1" applyFont="1" applyBorder="1">
      <alignment vertical="center"/>
    </xf>
    <xf numFmtId="0" fontId="48" fillId="0" borderId="0" xfId="0" applyNumberFormat="1" applyFont="1" applyBorder="1">
      <alignment vertical="center"/>
    </xf>
    <xf numFmtId="0" fontId="49" fillId="0" borderId="21" xfId="0" applyNumberFormat="1" applyFont="1" applyBorder="1">
      <alignment vertical="center"/>
    </xf>
    <xf numFmtId="4" fontId="15" fillId="0" borderId="0" xfId="0" applyNumberFormat="1" applyFont="1">
      <alignment vertical="center"/>
    </xf>
    <xf numFmtId="4" fontId="15" fillId="0" borderId="17" xfId="0" applyNumberFormat="1" applyFont="1" applyBorder="1">
      <alignment vertical="center"/>
    </xf>
    <xf numFmtId="0" fontId="15" fillId="0" borderId="1" xfId="0" applyFont="1" applyBorder="1">
      <alignment vertical="center"/>
    </xf>
    <xf numFmtId="4" fontId="49" fillId="0" borderId="0" xfId="0" applyNumberFormat="1" applyFont="1">
      <alignment vertical="center"/>
    </xf>
    <xf numFmtId="0" fontId="49" fillId="0" borderId="17" xfId="0" applyFont="1" applyBorder="1">
      <alignment vertical="center"/>
    </xf>
    <xf numFmtId="4" fontId="47" fillId="0" borderId="0" xfId="0" applyNumberFormat="1" applyFont="1">
      <alignment vertical="center"/>
    </xf>
    <xf numFmtId="4" fontId="47" fillId="0" borderId="17" xfId="0" applyNumberFormat="1" applyFont="1" applyBorder="1">
      <alignment vertical="center"/>
    </xf>
    <xf numFmtId="3" fontId="47" fillId="0" borderId="0" xfId="0" applyNumberFormat="1" applyFont="1">
      <alignment vertical="center"/>
    </xf>
    <xf numFmtId="3" fontId="47" fillId="0" borderId="17" xfId="0" applyNumberFormat="1" applyFont="1" applyBorder="1">
      <alignment vertical="center"/>
    </xf>
    <xf numFmtId="4" fontId="15" fillId="0" borderId="0" xfId="0" applyNumberFormat="1" applyFont="1" applyBorder="1">
      <alignment vertical="center"/>
    </xf>
    <xf numFmtId="3" fontId="53" fillId="0" borderId="0" xfId="0" applyNumberFormat="1" applyFont="1" applyFill="1">
      <alignment vertical="center"/>
    </xf>
    <xf numFmtId="3" fontId="53" fillId="0" borderId="0" xfId="0" applyNumberFormat="1" applyFont="1" applyFill="1" applyBorder="1">
      <alignment vertical="center"/>
    </xf>
    <xf numFmtId="3" fontId="53" fillId="0" borderId="0" xfId="0" applyNumberFormat="1" applyFont="1">
      <alignment vertical="center"/>
    </xf>
    <xf numFmtId="3" fontId="53" fillId="0" borderId="0" xfId="0" applyNumberFormat="1" applyFont="1" applyBorder="1">
      <alignment vertical="center"/>
    </xf>
    <xf numFmtId="4" fontId="47" fillId="0" borderId="0" xfId="0" applyNumberFormat="1" applyFont="1" applyBorder="1">
      <alignment vertical="center"/>
    </xf>
    <xf numFmtId="192" fontId="53" fillId="0" borderId="0" xfId="0" applyNumberFormat="1" applyFont="1">
      <alignment vertical="center"/>
    </xf>
    <xf numFmtId="192" fontId="53" fillId="0" borderId="0" xfId="0" applyNumberFormat="1" applyFont="1" applyBorder="1">
      <alignment vertical="center"/>
    </xf>
    <xf numFmtId="192" fontId="49" fillId="0" borderId="1" xfId="0" applyNumberFormat="1" applyFont="1" applyBorder="1">
      <alignment vertical="center"/>
    </xf>
    <xf numFmtId="205" fontId="15" fillId="0" borderId="17" xfId="0" applyNumberFormat="1" applyFont="1" applyBorder="1">
      <alignment vertical="center"/>
    </xf>
    <xf numFmtId="0" fontId="15" fillId="0" borderId="17" xfId="0" applyFont="1" applyBorder="1">
      <alignment vertical="center"/>
    </xf>
    <xf numFmtId="0" fontId="49" fillId="0" borderId="22" xfId="0" applyNumberFormat="1" applyFont="1" applyBorder="1">
      <alignment vertical="center"/>
    </xf>
    <xf numFmtId="0" fontId="47" fillId="0" borderId="22" xfId="0" applyNumberFormat="1" applyFont="1" applyBorder="1">
      <alignment vertical="center"/>
    </xf>
    <xf numFmtId="0" fontId="48" fillId="0" borderId="22" xfId="0" applyNumberFormat="1" applyFont="1" applyBorder="1">
      <alignment vertical="center"/>
    </xf>
    <xf numFmtId="0" fontId="15" fillId="0" borderId="22" xfId="0" applyFont="1" applyBorder="1">
      <alignment vertical="center"/>
    </xf>
    <xf numFmtId="0" fontId="50" fillId="0" borderId="17" xfId="0" applyFont="1" applyBorder="1">
      <alignment vertical="center"/>
    </xf>
    <xf numFmtId="0" fontId="51" fillId="0" borderId="16" xfId="0" applyFont="1" applyFill="1" applyBorder="1">
      <alignment vertical="center"/>
    </xf>
    <xf numFmtId="0" fontId="48" fillId="0" borderId="16" xfId="0" applyFont="1" applyBorder="1">
      <alignment vertical="center"/>
    </xf>
    <xf numFmtId="0" fontId="52" fillId="0" borderId="16" xfId="0" applyFont="1" applyBorder="1">
      <alignment vertical="center"/>
    </xf>
    <xf numFmtId="192" fontId="53" fillId="0" borderId="17" xfId="0" applyNumberFormat="1" applyFont="1" applyBorder="1">
      <alignment vertical="center"/>
    </xf>
    <xf numFmtId="192" fontId="49" fillId="0" borderId="22" xfId="0" applyNumberFormat="1" applyFont="1" applyBorder="1">
      <alignment vertical="center"/>
    </xf>
    <xf numFmtId="192" fontId="54" fillId="0" borderId="16" xfId="0" applyNumberFormat="1" applyFont="1" applyBorder="1">
      <alignment vertical="center"/>
    </xf>
    <xf numFmtId="0" fontId="55" fillId="0" borderId="2" xfId="0" applyFont="1" applyBorder="1">
      <alignment vertical="center"/>
    </xf>
    <xf numFmtId="192" fontId="55" fillId="0" borderId="20" xfId="0" applyNumberFormat="1" applyFont="1" applyBorder="1">
      <alignment vertical="center"/>
    </xf>
    <xf numFmtId="0" fontId="49" fillId="0" borderId="15" xfId="0" applyNumberFormat="1" applyFont="1" applyBorder="1">
      <alignment vertical="center"/>
    </xf>
    <xf numFmtId="0" fontId="56" fillId="0" borderId="16" xfId="0" applyFont="1" applyFill="1" applyBorder="1">
      <alignment vertical="center"/>
    </xf>
    <xf numFmtId="0" fontId="47" fillId="0" borderId="19" xfId="0" applyFont="1" applyBorder="1">
      <alignment vertical="center"/>
    </xf>
    <xf numFmtId="0" fontId="15" fillId="5" borderId="0" xfId="0" applyFont="1" applyFill="1">
      <alignment vertical="center"/>
    </xf>
    <xf numFmtId="183" fontId="47" fillId="0" borderId="0" xfId="0" applyNumberFormat="1" applyFont="1">
      <alignment vertical="center"/>
    </xf>
    <xf numFmtId="192" fontId="48" fillId="0" borderId="16" xfId="0" applyNumberFormat="1" applyFont="1" applyBorder="1">
      <alignment vertical="center"/>
    </xf>
    <xf numFmtId="192" fontId="48" fillId="0" borderId="0" xfId="0" applyNumberFormat="1" applyFont="1">
      <alignment vertical="center"/>
    </xf>
    <xf numFmtId="192" fontId="54" fillId="0" borderId="0" xfId="0" applyNumberFormat="1" applyFont="1" applyBorder="1">
      <alignment vertical="center"/>
    </xf>
    <xf numFmtId="192" fontId="55" fillId="0" borderId="21" xfId="0" applyNumberFormat="1" applyFont="1" applyBorder="1">
      <alignment vertical="center"/>
    </xf>
    <xf numFmtId="0" fontId="55" fillId="0" borderId="21" xfId="0" applyNumberFormat="1" applyFont="1" applyBorder="1">
      <alignment vertical="center"/>
    </xf>
    <xf numFmtId="4" fontId="56" fillId="0" borderId="0" xfId="0" applyNumberFormat="1" applyFont="1" applyFill="1" applyBorder="1">
      <alignment vertical="center"/>
    </xf>
    <xf numFmtId="4" fontId="56" fillId="0" borderId="17" xfId="0" applyNumberFormat="1" applyFont="1" applyFill="1" applyBorder="1">
      <alignment vertical="center"/>
    </xf>
    <xf numFmtId="192" fontId="48" fillId="0" borderId="15" xfId="0" applyNumberFormat="1" applyFont="1" applyBorder="1">
      <alignment vertical="center"/>
    </xf>
    <xf numFmtId="192" fontId="48" fillId="0" borderId="1" xfId="0" applyNumberFormat="1" applyFont="1" applyBorder="1">
      <alignment vertical="center"/>
    </xf>
    <xf numFmtId="192" fontId="48" fillId="0" borderId="17" xfId="0" applyNumberFormat="1" applyFont="1" applyBorder="1">
      <alignment vertical="center"/>
    </xf>
    <xf numFmtId="192" fontId="54" fillId="0" borderId="17" xfId="0" applyNumberFormat="1" applyFont="1" applyBorder="1">
      <alignment vertical="center"/>
    </xf>
    <xf numFmtId="192" fontId="55" fillId="0" borderId="23" xfId="0" applyNumberFormat="1" applyFont="1" applyBorder="1">
      <alignment vertical="center"/>
    </xf>
    <xf numFmtId="0" fontId="56" fillId="0" borderId="17" xfId="0" applyFont="1" applyFill="1" applyBorder="1">
      <alignment vertical="center"/>
    </xf>
    <xf numFmtId="192" fontId="48" fillId="0" borderId="22" xfId="0" applyNumberFormat="1" applyFont="1" applyBorder="1">
      <alignment vertical="center"/>
    </xf>
    <xf numFmtId="0" fontId="47" fillId="0" borderId="24" xfId="0" applyFont="1" applyBorder="1">
      <alignment vertical="center"/>
    </xf>
    <xf numFmtId="182" fontId="47" fillId="0" borderId="0" xfId="3" applyNumberFormat="1" applyFont="1">
      <alignment vertical="center"/>
    </xf>
    <xf numFmtId="207" fontId="47" fillId="0" borderId="0" xfId="3" applyNumberFormat="1" applyFont="1">
      <alignment vertical="center"/>
    </xf>
    <xf numFmtId="0" fontId="47" fillId="0" borderId="0" xfId="3" applyNumberFormat="1" applyFont="1" applyFill="1" applyBorder="1" applyAlignment="1" applyProtection="1">
      <alignment vertical="center"/>
    </xf>
    <xf numFmtId="182" fontId="47" fillId="0" borderId="2" xfId="3" applyNumberFormat="1" applyFont="1" applyBorder="1">
      <alignment vertical="center"/>
    </xf>
    <xf numFmtId="183" fontId="47" fillId="0" borderId="0" xfId="0" applyNumberFormat="1" applyFont="1" applyBorder="1">
      <alignment vertical="center"/>
    </xf>
    <xf numFmtId="201" fontId="47" fillId="0" borderId="0" xfId="0" applyNumberFormat="1" applyFont="1">
      <alignment vertical="center"/>
    </xf>
    <xf numFmtId="201" fontId="47" fillId="0" borderId="1" xfId="0" applyNumberFormat="1" applyFont="1" applyBorder="1">
      <alignment vertical="center"/>
    </xf>
    <xf numFmtId="208" fontId="47" fillId="12" borderId="0" xfId="0" applyNumberFormat="1" applyFont="1" applyFill="1">
      <alignment vertical="center"/>
    </xf>
    <xf numFmtId="203" fontId="47" fillId="0" borderId="0" xfId="0" applyNumberFormat="1" applyFont="1">
      <alignment vertical="center"/>
    </xf>
    <xf numFmtId="203" fontId="48" fillId="0" borderId="0" xfId="0" applyNumberFormat="1" applyFont="1">
      <alignment vertical="center"/>
    </xf>
    <xf numFmtId="192" fontId="47" fillId="0" borderId="1" xfId="0" applyNumberFormat="1" applyFont="1" applyBorder="1">
      <alignment vertical="center"/>
    </xf>
    <xf numFmtId="192" fontId="47" fillId="0" borderId="2" xfId="0" applyNumberFormat="1" applyFont="1" applyBorder="1">
      <alignment vertical="center"/>
    </xf>
    <xf numFmtId="192" fontId="15" fillId="0" borderId="1" xfId="0" applyNumberFormat="1" applyFont="1" applyBorder="1">
      <alignment vertical="center"/>
    </xf>
    <xf numFmtId="177" fontId="15" fillId="0" borderId="0" xfId="0" applyNumberFormat="1" applyFont="1">
      <alignment vertical="center"/>
    </xf>
    <xf numFmtId="177" fontId="47" fillId="0" borderId="0" xfId="0" applyNumberFormat="1" applyFont="1">
      <alignment vertical="center"/>
    </xf>
    <xf numFmtId="192" fontId="15" fillId="0" borderId="0" xfId="0" applyNumberFormat="1" applyFont="1">
      <alignment vertical="center"/>
    </xf>
    <xf numFmtId="177" fontId="47" fillId="0" borderId="0" xfId="0" applyNumberFormat="1" applyFont="1" applyBorder="1">
      <alignment vertical="center"/>
    </xf>
    <xf numFmtId="9" fontId="47" fillId="0" borderId="0" xfId="0" applyNumberFormat="1" applyFont="1">
      <alignment vertical="center"/>
    </xf>
    <xf numFmtId="3" fontId="47" fillId="0" borderId="0" xfId="0" applyNumberFormat="1" applyFont="1" applyBorder="1">
      <alignment vertical="center"/>
    </xf>
    <xf numFmtId="177" fontId="47" fillId="0" borderId="1" xfId="0" applyNumberFormat="1" applyFont="1" applyBorder="1">
      <alignment vertical="center"/>
    </xf>
    <xf numFmtId="207" fontId="47" fillId="12" borderId="0" xfId="0" applyNumberFormat="1" applyFont="1" applyFill="1" applyBorder="1">
      <alignment vertical="center"/>
    </xf>
    <xf numFmtId="207" fontId="47" fillId="0" borderId="0" xfId="0" applyNumberFormat="1" applyFont="1" applyBorder="1">
      <alignment vertical="center"/>
    </xf>
    <xf numFmtId="194" fontId="15" fillId="0" borderId="0" xfId="0" applyNumberFormat="1" applyFont="1" applyBorder="1">
      <alignment vertical="center"/>
    </xf>
    <xf numFmtId="0" fontId="62" fillId="0" borderId="0" xfId="0" applyFont="1">
      <alignment vertical="center"/>
    </xf>
    <xf numFmtId="0" fontId="63" fillId="0" borderId="0" xfId="0" applyFont="1">
      <alignment vertical="center"/>
    </xf>
    <xf numFmtId="0" fontId="40" fillId="0" borderId="1" xfId="0" applyFont="1" applyBorder="1">
      <alignment vertical="center"/>
    </xf>
    <xf numFmtId="0" fontId="61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61" fillId="0" borderId="21" xfId="0" applyFont="1" applyBorder="1">
      <alignment vertical="center"/>
    </xf>
    <xf numFmtId="0" fontId="63" fillId="0" borderId="0" xfId="0" applyFont="1" applyFill="1">
      <alignment vertical="center"/>
    </xf>
    <xf numFmtId="0" fontId="64" fillId="0" borderId="25" xfId="0" applyFont="1" applyBorder="1">
      <alignment vertical="center"/>
    </xf>
    <xf numFmtId="0" fontId="55" fillId="0" borderId="26" xfId="0" applyFont="1" applyBorder="1">
      <alignment vertical="center"/>
    </xf>
    <xf numFmtId="0" fontId="55" fillId="0" borderId="1" xfId="0" applyFont="1" applyBorder="1">
      <alignment vertical="center"/>
    </xf>
    <xf numFmtId="3" fontId="55" fillId="0" borderId="26" xfId="0" applyNumberFormat="1" applyFont="1" applyBorder="1">
      <alignment vertical="center"/>
    </xf>
    <xf numFmtId="0" fontId="47" fillId="0" borderId="27" xfId="0" applyFont="1" applyBorder="1">
      <alignment vertical="center"/>
    </xf>
    <xf numFmtId="0" fontId="61" fillId="0" borderId="27" xfId="0" applyFont="1" applyBorder="1">
      <alignment vertical="center"/>
    </xf>
    <xf numFmtId="0" fontId="49" fillId="0" borderId="27" xfId="0" applyFont="1" applyBorder="1">
      <alignment vertical="center"/>
    </xf>
    <xf numFmtId="192" fontId="49" fillId="0" borderId="28" xfId="0" applyNumberFormat="1" applyFont="1" applyBorder="1">
      <alignment vertical="center"/>
    </xf>
    <xf numFmtId="0" fontId="64" fillId="0" borderId="27" xfId="0" applyFont="1" applyBorder="1">
      <alignment vertical="center"/>
    </xf>
    <xf numFmtId="0" fontId="55" fillId="0" borderId="27" xfId="0" applyFont="1" applyBorder="1">
      <alignment vertical="center"/>
    </xf>
    <xf numFmtId="192" fontId="55" fillId="0" borderId="28" xfId="0" applyNumberFormat="1" applyFont="1" applyBorder="1">
      <alignment vertical="center"/>
    </xf>
    <xf numFmtId="0" fontId="65" fillId="0" borderId="0" xfId="0" applyFont="1" applyFill="1">
      <alignment vertical="center"/>
    </xf>
    <xf numFmtId="0" fontId="47" fillId="4" borderId="0" xfId="0" applyFont="1" applyFill="1" applyBorder="1">
      <alignment vertical="center"/>
    </xf>
    <xf numFmtId="3" fontId="49" fillId="0" borderId="15" xfId="0" applyNumberFormat="1" applyFont="1" applyBorder="1">
      <alignment vertical="center"/>
    </xf>
    <xf numFmtId="3" fontId="47" fillId="0" borderId="1" xfId="0" applyNumberFormat="1" applyFont="1" applyBorder="1">
      <alignment vertical="center"/>
    </xf>
    <xf numFmtId="3" fontId="49" fillId="0" borderId="21" xfId="0" applyNumberFormat="1" applyFont="1" applyBorder="1">
      <alignment vertical="center"/>
    </xf>
    <xf numFmtId="3" fontId="15" fillId="0" borderId="0" xfId="0" applyNumberFormat="1" applyFont="1" applyBorder="1">
      <alignment vertical="center"/>
    </xf>
    <xf numFmtId="3" fontId="55" fillId="0" borderId="1" xfId="0" applyNumberFormat="1" applyFont="1" applyBorder="1">
      <alignment vertical="center"/>
    </xf>
    <xf numFmtId="3" fontId="47" fillId="0" borderId="27" xfId="0" applyNumberFormat="1" applyFont="1" applyBorder="1">
      <alignment vertical="center"/>
    </xf>
    <xf numFmtId="0" fontId="55" fillId="0" borderId="28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747BE"/>
      <color rgb="00B2B2B2"/>
      <color rgb="0091E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Summary!$G$6:$J$6</c:f>
              <c:numCache>
                <c:formatCode>_ "₹"* #,##0_ ;_ "₹"* \-#,##0_ ;_ "₹"* "-"??_ ;_ @_ </c:formatCode>
                <c:ptCount val="4"/>
                <c:pt idx="0">
                  <c:v>6331.27083333333</c:v>
                </c:pt>
                <c:pt idx="1">
                  <c:v>6207.19</c:v>
                </c:pt>
                <c:pt idx="2">
                  <c:v>6167.8</c:v>
                </c:pt>
                <c:pt idx="3">
                  <c:v>5600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Summary!$G$7:$J$7</c:f>
              <c:numCache>
                <c:formatCode>_ "₹"* #,##0_ ;_ "₹"* \-#,##0_ ;_ "₹"* "-"??_ ;_ @_ </c:formatCode>
                <c:ptCount val="4"/>
                <c:pt idx="0">
                  <c:v>6331.27083333333</c:v>
                </c:pt>
                <c:pt idx="1">
                  <c:v>6207.19</c:v>
                </c:pt>
                <c:pt idx="2">
                  <c:v>6167.8</c:v>
                </c:pt>
                <c:pt idx="3">
                  <c:v>5600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Summary!$G$8:$J$8</c:f>
              <c:numCache>
                <c:formatCode>_ "₹"* #,##0_ ;_ "₹"* \-#,##0_ ;_ "₹"* "-"??_ ;_ @_ </c:formatCode>
                <c:ptCount val="4"/>
                <c:pt idx="0">
                  <c:v>5072.08333333333</c:v>
                </c:pt>
                <c:pt idx="1">
                  <c:v>4248.07</c:v>
                </c:pt>
                <c:pt idx="2">
                  <c:v>4811.95</c:v>
                </c:pt>
                <c:pt idx="3">
                  <c:v>4700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Summary!$G$9:$J$9</c:f>
              <c:numCache>
                <c:formatCode>_ "₹"* #,##0_ ;_ "₹"* \-#,##0_ ;_ "₹"* "-"??_ ;_ @_ </c:formatCode>
                <c:ptCount val="4"/>
                <c:pt idx="0">
                  <c:v>5072.08333333333</c:v>
                </c:pt>
                <c:pt idx="1">
                  <c:v>4248.07</c:v>
                </c:pt>
                <c:pt idx="2">
                  <c:v>4811.95</c:v>
                </c:pt>
                <c:pt idx="3">
                  <c:v>4700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19050" cap="flat" cmpd="sng" algn="ctr">
              <a:solidFill>
                <a:schemeClr val="tx1"/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bg1"/>
              </a:solidFill>
              <a:ln w="19050" cap="flat" cmpd="sng" algn="ctr"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  <a:round/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upBars>
          <c:downBars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 w="9525" cap="flat" cmpd="sng" algn="ctr"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  <a:round/>
              </a:ln>
              <a:effectLst>
                <a:outerShdw blurRad="76200" dist="25400" dir="5400000" algn="t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ownBars>
        </c:upDownBars>
        <c:axId val="72574080"/>
        <c:axId val="72575616"/>
      </c:stockChart>
      <c:catAx>
        <c:axId val="7257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575616"/>
        <c:crosses val="autoZero"/>
        <c:auto val="1"/>
        <c:lblAlgn val="ctr"/>
        <c:lblOffset val="100"/>
        <c:noMultiLvlLbl val="0"/>
      </c:catAx>
      <c:valAx>
        <c:axId val="725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 &quot;₹&quot;* #,##0_ ;_ &quot;₹&quot;* \-#,##0_ ;_ &quot;₹&quot;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57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3d9ccdc-311c-46de-a90e-b569fcbd1c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 w="9525" cap="flat" cmpd="sng" algn="ctr"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  <a:round/>
      </a:ln>
      <a:effectLst>
        <a:outerShdw blurRad="76200" dist="25400" dir="5400000" algn="t" rotWithShape="0">
          <a:schemeClr val="phClr">
            <a:lumMod val="50000"/>
            <a:alpha val="30000"/>
          </a:schemeClr>
        </a:outerShdw>
      </a:effectLst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tx1"/>
        </a:solidFill>
        <a:round/>
      </a:ln>
      <a:effectLst/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bg1"/>
      </a:solidFill>
      <a:ln w="19050" cap="flat" cmpd="sng" algn="ctr"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  <a:round/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147320</xdr:colOff>
      <xdr:row>12</xdr:row>
      <xdr:rowOff>129540</xdr:rowOff>
    </xdr:from>
    <xdr:to>
      <xdr:col>9</xdr:col>
      <xdr:colOff>591820</xdr:colOff>
      <xdr:row>21</xdr:row>
      <xdr:rowOff>129540</xdr:rowOff>
    </xdr:to>
    <xdr:graphicFrame>
      <xdr:nvGraphicFramePr>
        <xdr:cNvPr id="2" name="Chart 1"/>
        <xdr:cNvGraphicFramePr/>
      </xdr:nvGraphicFramePr>
      <xdr:xfrm>
        <a:off x="3612515" y="3964940"/>
        <a:ext cx="48387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finchat.io/company/BSE-500660/" TargetMode="External"/><Relationship Id="rId8" Type="http://schemas.openxmlformats.org/officeDocument/2006/relationships/hyperlink" Target="https://finchat.io/company/NSEI-IPCALAB/" TargetMode="External"/><Relationship Id="rId7" Type="http://schemas.openxmlformats.org/officeDocument/2006/relationships/hyperlink" Target="https://finchat.io/company/NSEI-GLENMARK/" TargetMode="External"/><Relationship Id="rId6" Type="http://schemas.openxmlformats.org/officeDocument/2006/relationships/hyperlink" Target="https://finchat.io/company/BSE-500488/" TargetMode="External"/><Relationship Id="rId5" Type="http://schemas.openxmlformats.org/officeDocument/2006/relationships/hyperlink" Target="https://finchat.io/company/NSEI-AUROPHARMA/" TargetMode="External"/><Relationship Id="rId4" Type="http://schemas.openxmlformats.org/officeDocument/2006/relationships/hyperlink" Target="https://finchat.io/company/BSE-500257/" TargetMode="External"/><Relationship Id="rId3" Type="http://schemas.openxmlformats.org/officeDocument/2006/relationships/hyperlink" Target="https://finchat.io/company/NSEI-ZYDUSLIFE/" TargetMode="External"/><Relationship Id="rId2" Type="http://schemas.openxmlformats.org/officeDocument/2006/relationships/hyperlink" Target="https://finchat.io/company/NSEI-MANKIND/" TargetMode="External"/><Relationship Id="rId1" Type="http://schemas.openxmlformats.org/officeDocument/2006/relationships/hyperlink" Target="https://finchat.io/company/NSEI-ALKE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finchat.io/company/NSEI-ALKEM/" TargetMode="External"/><Relationship Id="rId8" Type="http://schemas.openxmlformats.org/officeDocument/2006/relationships/hyperlink" Target="https://finchat.io/company/NSEI-ZYDUSLIFE/" TargetMode="External"/><Relationship Id="rId7" Type="http://schemas.openxmlformats.org/officeDocument/2006/relationships/hyperlink" Target="https://finchat.io/company/BSE-500660/" TargetMode="External"/><Relationship Id="rId6" Type="http://schemas.openxmlformats.org/officeDocument/2006/relationships/hyperlink" Target="https://finchat.io/company/NSEI-IPCALAB/" TargetMode="External"/><Relationship Id="rId5" Type="http://schemas.openxmlformats.org/officeDocument/2006/relationships/hyperlink" Target="https://finchat.io/company/NSEI-GLENMARK/" TargetMode="External"/><Relationship Id="rId4" Type="http://schemas.openxmlformats.org/officeDocument/2006/relationships/hyperlink" Target="https://finchat.io/company/BSE-500488/" TargetMode="External"/><Relationship Id="rId3" Type="http://schemas.openxmlformats.org/officeDocument/2006/relationships/hyperlink" Target="https://finchat.io/company/NSEI-AUROPHARMA/" TargetMode="External"/><Relationship Id="rId2" Type="http://schemas.openxmlformats.org/officeDocument/2006/relationships/hyperlink" Target="https://finchat.io/company/BSE-500257/" TargetMode="External"/><Relationship Id="rId1" Type="http://schemas.openxmlformats.org/officeDocument/2006/relationships/hyperlink" Target="https://finchat.io/company/NSEI-MANKIND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showGridLines="0" topLeftCell="D1" workbookViewId="0">
      <pane ySplit="3" topLeftCell="A54" activePane="bottomLeft" state="frozen"/>
      <selection/>
      <selection pane="bottomLeft" activeCell="D3" sqref="D3"/>
    </sheetView>
  </sheetViews>
  <sheetFormatPr defaultColWidth="8.90740740740741" defaultRowHeight="23" customHeight="1"/>
  <cols>
    <col min="1" max="2" width="1.36111111111111" style="324" customWidth="1"/>
    <col min="3" max="3" width="2.90740740740741" style="324" customWidth="1"/>
    <col min="4" max="4" width="40.9074074074074" style="266" customWidth="1"/>
    <col min="5" max="6" width="8.90740740740741" style="324"/>
    <col min="7" max="7" width="2.81481481481481" style="324" customWidth="1"/>
    <col min="8" max="8" width="26.0925925925926" style="325" customWidth="1"/>
    <col min="9" max="11" width="26.0925925925926" style="324" customWidth="1"/>
    <col min="12" max="12" width="26.0925925925926" style="325" customWidth="1"/>
    <col min="13" max="16" width="26.0925925925926" style="324" customWidth="1"/>
    <col min="17" max="16384" width="8.90740740740741" style="324"/>
  </cols>
  <sheetData>
    <row r="1" s="177" customFormat="1" ht="32.4" customHeight="1" spans="1:12">
      <c r="A1" s="177" t="s">
        <v>0</v>
      </c>
      <c r="G1" s="178"/>
      <c r="H1" s="178"/>
      <c r="L1" s="178"/>
    </row>
    <row r="2" s="313" customFormat="1" ht="21" customHeight="1" spans="1:16">
      <c r="A2" s="326" t="s">
        <v>1</v>
      </c>
      <c r="G2" s="327"/>
      <c r="H2" s="467">
        <v>2019</v>
      </c>
      <c r="I2" s="365">
        <f t="shared" ref="I2:P2" si="0">H2+1</f>
        <v>2020</v>
      </c>
      <c r="J2" s="365">
        <f t="shared" si="0"/>
        <v>2021</v>
      </c>
      <c r="K2" s="365">
        <f t="shared" si="0"/>
        <v>2022</v>
      </c>
      <c r="L2" s="467">
        <f t="shared" si="0"/>
        <v>2023</v>
      </c>
      <c r="M2" s="367">
        <f t="shared" si="0"/>
        <v>2024</v>
      </c>
      <c r="N2" s="367">
        <f t="shared" si="0"/>
        <v>2025</v>
      </c>
      <c r="O2" s="367">
        <f t="shared" si="0"/>
        <v>2026</v>
      </c>
      <c r="P2" s="367">
        <f t="shared" si="0"/>
        <v>2027</v>
      </c>
    </row>
    <row r="3" ht="23.4" outlineLevel="1" spans="4:7">
      <c r="D3" s="324"/>
      <c r="G3" s="325"/>
    </row>
    <row r="4" s="314" customFormat="1" ht="23.4" outlineLevel="2" spans="1:12">
      <c r="A4" s="329" t="s">
        <v>2</v>
      </c>
      <c r="H4" s="330"/>
      <c r="L4" s="487"/>
    </row>
    <row r="5" customHeight="1" outlineLevel="2" spans="2:4">
      <c r="B5" s="324" t="s">
        <v>3</v>
      </c>
      <c r="D5" s="324"/>
    </row>
    <row r="6" s="313" customFormat="1" customHeight="1" outlineLevel="2" spans="1:12">
      <c r="A6" s="316"/>
      <c r="B6" s="316"/>
      <c r="D6" s="468" t="s">
        <v>4</v>
      </c>
      <c r="E6" s="316"/>
      <c r="H6" s="352">
        <v>73572</v>
      </c>
      <c r="I6" s="324">
        <v>83444</v>
      </c>
      <c r="J6" s="324">
        <v>88650</v>
      </c>
      <c r="K6" s="324">
        <v>106342</v>
      </c>
      <c r="L6" s="325">
        <v>115993</v>
      </c>
    </row>
    <row r="7" s="313" customFormat="1" customHeight="1" outlineLevel="2" spans="1:12">
      <c r="A7" s="316"/>
      <c r="B7" s="316"/>
      <c r="C7" s="316"/>
      <c r="D7" s="469" t="s">
        <v>5</v>
      </c>
      <c r="H7" s="352">
        <v>-29450</v>
      </c>
      <c r="I7" s="324">
        <v>-33449</v>
      </c>
      <c r="J7" s="324">
        <v>-34985</v>
      </c>
      <c r="K7" s="324">
        <f>-41803</f>
        <v>-41803</v>
      </c>
      <c r="L7" s="325">
        <f>-(49068)</f>
        <v>-49068</v>
      </c>
    </row>
    <row r="8" s="315" customFormat="1" customHeight="1" outlineLevel="2" spans="4:12">
      <c r="D8" s="470" t="s">
        <v>6</v>
      </c>
      <c r="E8" s="316"/>
      <c r="F8" s="338"/>
      <c r="G8" s="338"/>
      <c r="H8" s="340">
        <f t="shared" ref="H8:L8" si="1">SUM(H6:H7)</f>
        <v>44122</v>
      </c>
      <c r="I8" s="340">
        <f t="shared" si="1"/>
        <v>49995</v>
      </c>
      <c r="J8" s="340">
        <f t="shared" si="1"/>
        <v>53665</v>
      </c>
      <c r="K8" s="340">
        <f t="shared" si="1"/>
        <v>64539</v>
      </c>
      <c r="L8" s="340">
        <f t="shared" si="1"/>
        <v>66925</v>
      </c>
    </row>
    <row r="9" customHeight="1" outlineLevel="2" spans="3:12">
      <c r="C9" s="324" t="s">
        <v>7</v>
      </c>
      <c r="H9" s="352"/>
      <c r="K9" s="397"/>
      <c r="L9" s="406"/>
    </row>
    <row r="10" customHeight="1" outlineLevel="2" spans="4:12">
      <c r="D10" s="266" t="s">
        <v>8</v>
      </c>
      <c r="H10" s="352">
        <v>-13625</v>
      </c>
      <c r="I10" s="324">
        <v>-15055</v>
      </c>
      <c r="J10" s="324">
        <v>-16210</v>
      </c>
      <c r="K10" s="399">
        <v>-19627</v>
      </c>
      <c r="L10" s="406">
        <v>-21314</v>
      </c>
    </row>
    <row r="11" customHeight="1" outlineLevel="2" spans="4:12">
      <c r="D11" s="266" t="s">
        <v>9</v>
      </c>
      <c r="H11" s="352">
        <v>-19350</v>
      </c>
      <c r="I11" s="324">
        <v>-20202</v>
      </c>
      <c r="J11" s="324">
        <v>-18031</v>
      </c>
      <c r="K11" s="399">
        <v>-24383</v>
      </c>
      <c r="L11" s="406">
        <v>-29516</v>
      </c>
    </row>
    <row r="12" s="315" customFormat="1" customHeight="1" outlineLevel="2" spans="4:12">
      <c r="D12" s="471" t="s">
        <v>10</v>
      </c>
      <c r="E12" s="339"/>
      <c r="F12" s="339"/>
      <c r="G12" s="339"/>
      <c r="H12" s="425">
        <f t="shared" ref="H12:L12" si="2">SUM(H8,H10:H11)</f>
        <v>11147</v>
      </c>
      <c r="I12" s="425">
        <f t="shared" si="2"/>
        <v>14738</v>
      </c>
      <c r="J12" s="425">
        <f t="shared" si="2"/>
        <v>19424</v>
      </c>
      <c r="K12" s="488">
        <f t="shared" si="2"/>
        <v>20529</v>
      </c>
      <c r="L12" s="425">
        <f t="shared" si="2"/>
        <v>16095</v>
      </c>
    </row>
    <row r="13" customHeight="1" outlineLevel="2" spans="4:12">
      <c r="D13" s="266" t="s">
        <v>11</v>
      </c>
      <c r="H13" s="352">
        <v>-1932</v>
      </c>
      <c r="I13" s="324">
        <v>-2528</v>
      </c>
      <c r="J13" s="324">
        <v>-2746</v>
      </c>
      <c r="K13" s="399">
        <v>-3040</v>
      </c>
      <c r="L13" s="325">
        <v>-3104</v>
      </c>
    </row>
    <row r="14" s="315" customFormat="1" customHeight="1" outlineLevel="2" spans="4:12">
      <c r="D14" s="471" t="s">
        <v>12</v>
      </c>
      <c r="E14" s="339"/>
      <c r="F14" s="339"/>
      <c r="G14" s="339"/>
      <c r="H14" s="425">
        <f t="shared" ref="H14:L14" si="3">SUM(H12:H13)</f>
        <v>9215</v>
      </c>
      <c r="I14" s="425">
        <f t="shared" si="3"/>
        <v>12210</v>
      </c>
      <c r="J14" s="425">
        <f t="shared" si="3"/>
        <v>16678</v>
      </c>
      <c r="K14" s="488">
        <f t="shared" si="3"/>
        <v>17489</v>
      </c>
      <c r="L14" s="425">
        <f t="shared" si="3"/>
        <v>12991</v>
      </c>
    </row>
    <row r="15" customHeight="1" outlineLevel="2" spans="4:12">
      <c r="D15" s="266" t="s">
        <v>13</v>
      </c>
      <c r="H15" s="352">
        <v>-546</v>
      </c>
      <c r="I15" s="324">
        <v>-651</v>
      </c>
      <c r="J15" s="324">
        <v>-589</v>
      </c>
      <c r="K15" s="399">
        <v>-524</v>
      </c>
      <c r="L15" s="325">
        <v>-1074</v>
      </c>
    </row>
    <row r="16" customHeight="1" outlineLevel="2" spans="4:12">
      <c r="D16" s="472" t="s">
        <v>14</v>
      </c>
      <c r="E16" s="343"/>
      <c r="F16" s="343"/>
      <c r="G16" s="343"/>
      <c r="H16" s="336">
        <v>877</v>
      </c>
      <c r="I16" s="343">
        <v>1042</v>
      </c>
      <c r="J16" s="343">
        <v>2332</v>
      </c>
      <c r="K16" s="489">
        <v>1477</v>
      </c>
      <c r="L16" s="489">
        <v>1131</v>
      </c>
    </row>
    <row r="17" customHeight="1" outlineLevel="2" spans="4:12">
      <c r="D17" s="266" t="s">
        <v>15</v>
      </c>
      <c r="H17" s="337">
        <f t="shared" ref="H17:L17" si="4">SUM(H14:H16)</f>
        <v>9546</v>
      </c>
      <c r="I17" s="337">
        <f t="shared" si="4"/>
        <v>12601</v>
      </c>
      <c r="J17" s="337">
        <f t="shared" si="4"/>
        <v>18421</v>
      </c>
      <c r="K17" s="354">
        <f t="shared" si="4"/>
        <v>18442</v>
      </c>
      <c r="L17" s="337">
        <f t="shared" si="4"/>
        <v>13048</v>
      </c>
    </row>
    <row r="18" customHeight="1" outlineLevel="2" spans="4:12">
      <c r="D18" s="266" t="s">
        <v>16</v>
      </c>
      <c r="H18" s="352">
        <v>-1810</v>
      </c>
      <c r="I18" s="324">
        <v>-1105</v>
      </c>
      <c r="J18" s="324">
        <v>-2243</v>
      </c>
      <c r="K18" s="399">
        <v>-1640</v>
      </c>
      <c r="L18" s="325">
        <v>-2980</v>
      </c>
    </row>
    <row r="19" s="315" customFormat="1" customHeight="1" outlineLevel="2" spans="4:12">
      <c r="D19" s="473" t="s">
        <v>17</v>
      </c>
      <c r="E19" s="346"/>
      <c r="F19" s="346"/>
      <c r="G19" s="346"/>
      <c r="H19" s="391">
        <f t="shared" ref="H19:L19" si="5">SUM(H17:H18)</f>
        <v>7736</v>
      </c>
      <c r="I19" s="391">
        <f t="shared" si="5"/>
        <v>11496</v>
      </c>
      <c r="J19" s="391">
        <f t="shared" si="5"/>
        <v>16178</v>
      </c>
      <c r="K19" s="490">
        <f t="shared" si="5"/>
        <v>16802</v>
      </c>
      <c r="L19" s="391">
        <f t="shared" si="5"/>
        <v>10068</v>
      </c>
    </row>
    <row r="20" s="313" customFormat="1" customHeight="1" outlineLevel="1" spans="4:12">
      <c r="D20" s="348"/>
      <c r="H20" s="349"/>
      <c r="K20" s="392"/>
      <c r="L20" s="401"/>
    </row>
    <row r="21" s="316" customFormat="1" customHeight="1" outlineLevel="2" spans="4:12">
      <c r="D21" s="350"/>
      <c r="H21" s="351"/>
      <c r="K21" s="395"/>
      <c r="L21" s="363"/>
    </row>
    <row r="22" s="314" customFormat="1" ht="23.4" outlineLevel="2" spans="1:12">
      <c r="A22" s="329" t="s">
        <v>18</v>
      </c>
      <c r="H22" s="330"/>
      <c r="L22" s="487"/>
    </row>
    <row r="23" customHeight="1" outlineLevel="2" spans="2:12">
      <c r="B23" s="324" t="s">
        <v>19</v>
      </c>
      <c r="H23" s="352"/>
      <c r="K23" s="397"/>
      <c r="L23" s="406"/>
    </row>
    <row r="24" customHeight="1" outlineLevel="2" spans="3:12">
      <c r="C24" s="350" t="s">
        <v>20</v>
      </c>
      <c r="H24" s="352"/>
      <c r="K24" s="397"/>
      <c r="L24" s="406"/>
    </row>
    <row r="25" customHeight="1" outlineLevel="2" spans="4:12">
      <c r="D25" s="266" t="s">
        <v>21</v>
      </c>
      <c r="H25" s="352">
        <v>2491</v>
      </c>
      <c r="I25" s="324">
        <v>1759</v>
      </c>
      <c r="J25" s="324">
        <v>1742</v>
      </c>
      <c r="K25" s="399">
        <v>2322</v>
      </c>
      <c r="L25" s="463">
        <v>2738</v>
      </c>
    </row>
    <row r="26" customHeight="1" outlineLevel="2" spans="4:12">
      <c r="D26" s="266" t="s">
        <v>22</v>
      </c>
      <c r="H26" s="352">
        <v>4126</v>
      </c>
      <c r="I26" s="324">
        <v>9163</v>
      </c>
      <c r="J26" s="324">
        <v>18162</v>
      </c>
      <c r="K26" s="399">
        <v>23464</v>
      </c>
      <c r="L26" s="463">
        <v>23431</v>
      </c>
    </row>
    <row r="27" customHeight="1" outlineLevel="2" spans="1:12">
      <c r="A27" s="324" t="s">
        <v>23</v>
      </c>
      <c r="D27" s="266" t="s">
        <v>24</v>
      </c>
      <c r="H27" s="352">
        <v>12484</v>
      </c>
      <c r="I27" s="324">
        <v>16494</v>
      </c>
      <c r="J27" s="324">
        <v>16072</v>
      </c>
      <c r="K27" s="399">
        <v>18846</v>
      </c>
      <c r="L27" s="463">
        <v>21322</v>
      </c>
    </row>
    <row r="28" customHeight="1" outlineLevel="2" spans="4:12">
      <c r="D28" s="266" t="s">
        <v>25</v>
      </c>
      <c r="H28" s="352">
        <v>14999</v>
      </c>
      <c r="I28" s="324">
        <v>18188</v>
      </c>
      <c r="J28" s="324">
        <v>23124</v>
      </c>
      <c r="K28" s="399">
        <v>30055</v>
      </c>
      <c r="L28" s="463">
        <v>26075</v>
      </c>
    </row>
    <row r="29" customHeight="1" outlineLevel="2" spans="4:12">
      <c r="D29" s="266" t="s">
        <v>26</v>
      </c>
      <c r="H29" s="352">
        <v>4294</v>
      </c>
      <c r="I29" s="324">
        <v>5266</v>
      </c>
      <c r="J29" s="324">
        <v>5550</v>
      </c>
      <c r="K29" s="399">
        <v>6323</v>
      </c>
      <c r="L29" s="463">
        <v>7361</v>
      </c>
    </row>
    <row r="30" s="317" customFormat="1" customHeight="1" outlineLevel="2" spans="3:12">
      <c r="C30" s="324"/>
      <c r="D30" s="189"/>
      <c r="H30" s="353"/>
      <c r="K30" s="401"/>
      <c r="L30" s="401"/>
    </row>
    <row r="31" s="317" customFormat="1" customHeight="1" outlineLevel="2" spans="3:12">
      <c r="C31" s="324" t="s">
        <v>27</v>
      </c>
      <c r="D31" s="189"/>
      <c r="H31" s="353"/>
      <c r="K31" s="397"/>
      <c r="L31" s="406"/>
    </row>
    <row r="32" customHeight="1" outlineLevel="2" spans="4:12">
      <c r="D32" s="266" t="s">
        <v>28</v>
      </c>
      <c r="H32" s="354">
        <v>26428</v>
      </c>
      <c r="I32" s="399">
        <v>28725</v>
      </c>
      <c r="J32" s="399">
        <v>27909</v>
      </c>
      <c r="K32" s="399">
        <v>28381</v>
      </c>
      <c r="L32" s="491">
        <v>25929</v>
      </c>
    </row>
    <row r="33" s="318" customFormat="1" customHeight="1" outlineLevel="2" spans="4:12">
      <c r="D33" s="474" t="s">
        <v>29</v>
      </c>
      <c r="E33" s="355"/>
      <c r="F33" s="355"/>
      <c r="G33" s="355"/>
      <c r="H33" s="356">
        <v>3806</v>
      </c>
      <c r="I33" s="402">
        <v>3985</v>
      </c>
      <c r="J33" s="402">
        <v>3954</v>
      </c>
      <c r="K33" s="402">
        <v>4031</v>
      </c>
      <c r="L33" s="403">
        <v>4132</v>
      </c>
    </row>
    <row r="34" s="315" customFormat="1" customHeight="1" outlineLevel="2" spans="4:12">
      <c r="D34" s="469" t="s">
        <v>30</v>
      </c>
      <c r="E34" s="320"/>
      <c r="F34" s="320"/>
      <c r="G34" s="320"/>
      <c r="H34" s="357">
        <v>5324</v>
      </c>
      <c r="I34" s="404">
        <v>5578</v>
      </c>
      <c r="J34" s="404">
        <v>6865</v>
      </c>
      <c r="K34" s="404">
        <v>12848</v>
      </c>
      <c r="L34" s="405">
        <v>12449</v>
      </c>
    </row>
    <row r="35" s="315" customFormat="1" customHeight="1" outlineLevel="2" spans="4:12">
      <c r="D35" s="469" t="s">
        <v>31</v>
      </c>
      <c r="E35" s="320"/>
      <c r="F35" s="320"/>
      <c r="G35" s="320"/>
      <c r="H35" s="357">
        <v>8131</v>
      </c>
      <c r="I35" s="404">
        <v>10275</v>
      </c>
      <c r="J35" s="404">
        <v>11814</v>
      </c>
      <c r="K35" s="404">
        <v>14422</v>
      </c>
      <c r="L35" s="405">
        <v>14130</v>
      </c>
    </row>
    <row r="36" s="319" customFormat="1" customHeight="1" outlineLevel="2" spans="4:13">
      <c r="D36" s="475" t="s">
        <v>32</v>
      </c>
      <c r="E36" s="476"/>
      <c r="F36" s="477"/>
      <c r="G36" s="359"/>
      <c r="H36" s="478">
        <f t="shared" ref="H36:L36" si="6">SUM(H25:H35)</f>
        <v>82083</v>
      </c>
      <c r="I36" s="478">
        <f t="shared" si="6"/>
        <v>99433</v>
      </c>
      <c r="J36" s="478">
        <f t="shared" si="6"/>
        <v>115192</v>
      </c>
      <c r="K36" s="478">
        <f t="shared" si="6"/>
        <v>140692</v>
      </c>
      <c r="L36" s="492">
        <f t="shared" si="6"/>
        <v>137567</v>
      </c>
      <c r="M36" s="419"/>
    </row>
    <row r="37" customHeight="1" outlineLevel="2" spans="6:12">
      <c r="F37" s="479"/>
      <c r="H37" s="354"/>
      <c r="I37" s="399"/>
      <c r="J37" s="399"/>
      <c r="K37" s="399"/>
      <c r="L37" s="493"/>
    </row>
    <row r="38" customHeight="1" outlineLevel="2" spans="2:12">
      <c r="B38" s="324" t="s">
        <v>33</v>
      </c>
      <c r="H38" s="352"/>
      <c r="K38" s="392"/>
      <c r="L38" s="401"/>
    </row>
    <row r="39" customHeight="1" outlineLevel="2" spans="3:12">
      <c r="C39" s="324" t="s">
        <v>34</v>
      </c>
      <c r="H39" s="352"/>
      <c r="K39" s="397"/>
      <c r="L39" s="406"/>
    </row>
    <row r="40" s="320" customFormat="1" customHeight="1" outlineLevel="2" spans="4:12">
      <c r="D40" s="469" t="s">
        <v>35</v>
      </c>
      <c r="H40" s="361">
        <v>9622.5</v>
      </c>
      <c r="I40" s="407">
        <v>9540.5</v>
      </c>
      <c r="J40" s="407">
        <v>10694</v>
      </c>
      <c r="K40" s="407">
        <v>11733</v>
      </c>
      <c r="L40" s="408">
        <v>11650</v>
      </c>
    </row>
    <row r="41" customHeight="1" outlineLevel="2" spans="3:12">
      <c r="C41" s="316"/>
      <c r="D41" s="266" t="s">
        <v>36</v>
      </c>
      <c r="H41" s="333">
        <v>5840.5</v>
      </c>
      <c r="I41" s="375">
        <v>7857.5</v>
      </c>
      <c r="J41" s="375">
        <v>8403</v>
      </c>
      <c r="K41" s="375">
        <v>10396</v>
      </c>
      <c r="L41" s="373">
        <v>12157</v>
      </c>
    </row>
    <row r="42" customHeight="1" outlineLevel="2" spans="3:12">
      <c r="C42" s="350" t="s">
        <v>37</v>
      </c>
      <c r="H42" s="333"/>
      <c r="I42" s="375"/>
      <c r="J42" s="375"/>
      <c r="K42" s="375"/>
      <c r="L42" s="373"/>
    </row>
    <row r="43" customHeight="1" outlineLevel="2" spans="4:12">
      <c r="D43" s="266" t="s">
        <v>38</v>
      </c>
      <c r="H43" s="333">
        <v>9025</v>
      </c>
      <c r="I43" s="375">
        <v>16627.5</v>
      </c>
      <c r="J43" s="375">
        <v>17222</v>
      </c>
      <c r="K43" s="375">
        <v>26017.5</v>
      </c>
      <c r="L43" s="373">
        <v>13966</v>
      </c>
    </row>
    <row r="44" customHeight="1" outlineLevel="2" spans="4:12">
      <c r="D44" s="266" t="s">
        <v>39</v>
      </c>
      <c r="H44" s="333">
        <v>1874</v>
      </c>
      <c r="I44" s="375">
        <v>2318</v>
      </c>
      <c r="J44" s="375">
        <v>3292.5</v>
      </c>
      <c r="K44" s="375">
        <v>4071.5</v>
      </c>
      <c r="L44" s="373">
        <v>5441</v>
      </c>
    </row>
    <row r="45" s="316" customFormat="1" customHeight="1" outlineLevel="2" spans="4:12">
      <c r="D45" s="480" t="s">
        <v>40</v>
      </c>
      <c r="E45" s="481"/>
      <c r="F45" s="481"/>
      <c r="G45" s="481"/>
      <c r="H45" s="482">
        <f t="shared" ref="H45:L45" si="7">SUM(H40:H44)</f>
        <v>26362</v>
      </c>
      <c r="I45" s="482">
        <f t="shared" si="7"/>
        <v>36343.5</v>
      </c>
      <c r="J45" s="482">
        <f t="shared" si="7"/>
        <v>39611.5</v>
      </c>
      <c r="K45" s="482">
        <f t="shared" si="7"/>
        <v>52218</v>
      </c>
      <c r="L45" s="482">
        <f t="shared" si="7"/>
        <v>43214</v>
      </c>
    </row>
    <row r="46" customHeight="1" outlineLevel="2" spans="3:12">
      <c r="C46" s="313" t="s">
        <v>41</v>
      </c>
      <c r="H46" s="333"/>
      <c r="I46" s="375"/>
      <c r="J46" s="375"/>
      <c r="K46" s="375"/>
      <c r="L46" s="373"/>
    </row>
    <row r="47" customHeight="1" outlineLevel="2" spans="4:12">
      <c r="D47" s="266" t="s">
        <v>42</v>
      </c>
      <c r="H47" s="333">
        <v>239.5</v>
      </c>
      <c r="I47" s="375">
        <v>239</v>
      </c>
      <c r="J47" s="375">
        <v>239</v>
      </c>
      <c r="K47" s="375">
        <v>239.5</v>
      </c>
      <c r="L47" s="373">
        <v>239</v>
      </c>
    </row>
    <row r="48" s="315" customFormat="1" customHeight="1" outlineLevel="2" spans="4:12">
      <c r="D48" s="469" t="s">
        <v>43</v>
      </c>
      <c r="E48" s="320"/>
      <c r="F48" s="320"/>
      <c r="G48" s="320"/>
      <c r="H48" s="361">
        <v>54154.5</v>
      </c>
      <c r="I48" s="407">
        <v>61367</v>
      </c>
      <c r="J48" s="407">
        <v>73528.5</v>
      </c>
      <c r="K48" s="407">
        <v>86139.5</v>
      </c>
      <c r="L48" s="408">
        <v>90213</v>
      </c>
    </row>
    <row r="49" s="321" customFormat="1" customHeight="1" outlineLevel="2" spans="4:12">
      <c r="D49" s="468" t="s">
        <v>41</v>
      </c>
      <c r="H49" s="422">
        <f t="shared" ref="H49:L49" si="8">SUM(H47:H48)</f>
        <v>54394</v>
      </c>
      <c r="I49" s="422">
        <f t="shared" si="8"/>
        <v>61606</v>
      </c>
      <c r="J49" s="422">
        <f t="shared" si="8"/>
        <v>73767.5</v>
      </c>
      <c r="K49" s="422">
        <f t="shared" si="8"/>
        <v>86379</v>
      </c>
      <c r="L49" s="422">
        <f t="shared" si="8"/>
        <v>90452</v>
      </c>
    </row>
    <row r="50" customHeight="1" outlineLevel="2" spans="4:12">
      <c r="D50" s="266" t="s">
        <v>44</v>
      </c>
      <c r="H50" s="333">
        <v>1326.5</v>
      </c>
      <c r="I50" s="375">
        <v>1483</v>
      </c>
      <c r="J50" s="375">
        <v>1812.5</v>
      </c>
      <c r="K50" s="375">
        <v>2094.5</v>
      </c>
      <c r="L50" s="375">
        <v>3897</v>
      </c>
    </row>
    <row r="51" s="322" customFormat="1" customHeight="1" outlineLevel="2" spans="4:12">
      <c r="D51" s="483" t="s">
        <v>45</v>
      </c>
      <c r="E51" s="484"/>
      <c r="F51" s="484"/>
      <c r="G51" s="484"/>
      <c r="H51" s="485">
        <f t="shared" ref="H51:L51" si="9">SUM(H45+H49+H50)</f>
        <v>82082.5</v>
      </c>
      <c r="I51" s="485">
        <f t="shared" si="9"/>
        <v>99432.5</v>
      </c>
      <c r="J51" s="485">
        <f t="shared" si="9"/>
        <v>115191.5</v>
      </c>
      <c r="K51" s="485">
        <f t="shared" si="9"/>
        <v>140691.5</v>
      </c>
      <c r="L51" s="494">
        <f t="shared" si="9"/>
        <v>137563</v>
      </c>
    </row>
    <row r="52" customHeight="1" outlineLevel="2" spans="8:8">
      <c r="H52" s="352"/>
    </row>
    <row r="53" customHeight="1" outlineLevel="2" spans="8:12">
      <c r="H53" s="352"/>
      <c r="L53" s="406"/>
    </row>
    <row r="54" s="314" customFormat="1" ht="23.4" outlineLevel="2" spans="1:12">
      <c r="A54" s="329"/>
      <c r="B54" s="314" t="s">
        <v>46</v>
      </c>
      <c r="H54" s="330"/>
      <c r="L54" s="487"/>
    </row>
    <row r="55" s="313" customFormat="1" customHeight="1" outlineLevel="2" spans="3:12">
      <c r="C55" s="348" t="s">
        <v>47</v>
      </c>
      <c r="D55" s="348"/>
      <c r="H55" s="349"/>
      <c r="K55" s="392"/>
      <c r="L55" s="401"/>
    </row>
    <row r="56" customHeight="1" outlineLevel="2" spans="4:12">
      <c r="D56" s="266" t="s">
        <v>17</v>
      </c>
      <c r="H56" s="352">
        <v>7036</v>
      </c>
      <c r="I56" s="324">
        <v>9764</v>
      </c>
      <c r="J56" s="324">
        <v>14414</v>
      </c>
      <c r="K56" s="397">
        <v>14474</v>
      </c>
      <c r="L56" s="406">
        <v>10314</v>
      </c>
    </row>
    <row r="57" customHeight="1" outlineLevel="2" spans="4:12">
      <c r="D57" s="266" t="s">
        <v>48</v>
      </c>
      <c r="H57" s="352">
        <v>1932</v>
      </c>
      <c r="I57" s="324">
        <v>2528</v>
      </c>
      <c r="J57" s="324">
        <v>2746</v>
      </c>
      <c r="K57" s="397">
        <v>3040</v>
      </c>
      <c r="L57" s="406">
        <v>3104</v>
      </c>
    </row>
    <row r="58" customHeight="1" outlineLevel="2" spans="4:12">
      <c r="D58" s="266" t="s">
        <v>49</v>
      </c>
      <c r="H58" s="352">
        <v>232</v>
      </c>
      <c r="I58" s="324">
        <v>31</v>
      </c>
      <c r="J58" s="324">
        <v>-1099</v>
      </c>
      <c r="K58" s="324">
        <v>-954</v>
      </c>
      <c r="L58" s="325">
        <v>139</v>
      </c>
    </row>
    <row r="59" s="313" customFormat="1" customHeight="1" outlineLevel="2" spans="4:12">
      <c r="D59" s="266" t="s">
        <v>50</v>
      </c>
      <c r="H59" s="352">
        <v>-1403</v>
      </c>
      <c r="I59" s="324">
        <v>-6472</v>
      </c>
      <c r="J59" s="324">
        <v>-3412</v>
      </c>
      <c r="K59" s="397">
        <v>-5450</v>
      </c>
      <c r="L59" s="406">
        <v>3268</v>
      </c>
    </row>
    <row r="60" s="316" customFormat="1" customHeight="1" outlineLevel="2" spans="4:12">
      <c r="D60" s="471" t="s">
        <v>51</v>
      </c>
      <c r="E60" s="339"/>
      <c r="F60" s="339"/>
      <c r="G60" s="339"/>
      <c r="H60" s="425">
        <f t="shared" ref="H60:L60" si="10">SUM(H56:H59)</f>
        <v>7797</v>
      </c>
      <c r="I60" s="425">
        <f t="shared" si="10"/>
        <v>5851</v>
      </c>
      <c r="J60" s="425">
        <f t="shared" si="10"/>
        <v>12649</v>
      </c>
      <c r="K60" s="425">
        <f t="shared" si="10"/>
        <v>11110</v>
      </c>
      <c r="L60" s="425">
        <f t="shared" si="10"/>
        <v>16825</v>
      </c>
    </row>
    <row r="61" s="323" customFormat="1" customHeight="1" outlineLevel="2" spans="4:12">
      <c r="D61" s="486"/>
      <c r="H61" s="426"/>
      <c r="K61" s="435"/>
      <c r="L61" s="435"/>
    </row>
    <row r="62" customHeight="1" outlineLevel="2" spans="3:3">
      <c r="C62" s="348" t="s">
        <v>52</v>
      </c>
    </row>
    <row r="63" customHeight="1" outlineLevel="2" spans="4:12">
      <c r="D63" s="266" t="s">
        <v>53</v>
      </c>
      <c r="H63" s="325">
        <v>-5291</v>
      </c>
      <c r="I63" s="324">
        <v>-3631</v>
      </c>
      <c r="J63" s="324">
        <v>-1949</v>
      </c>
      <c r="K63" s="324">
        <v>-3389</v>
      </c>
      <c r="L63" s="325">
        <v>-2329</v>
      </c>
    </row>
    <row r="64" customHeight="1" outlineLevel="2" spans="4:12">
      <c r="D64" s="266" t="s">
        <v>54</v>
      </c>
      <c r="H64" s="325">
        <v>22</v>
      </c>
      <c r="I64" s="324">
        <v>155</v>
      </c>
      <c r="J64" s="324">
        <v>105</v>
      </c>
      <c r="K64" s="324">
        <v>109</v>
      </c>
      <c r="L64" s="325">
        <v>32</v>
      </c>
    </row>
    <row r="65" customHeight="1" outlineLevel="2" spans="4:12">
      <c r="D65" s="266" t="s">
        <v>55</v>
      </c>
      <c r="H65" s="325">
        <v>1662</v>
      </c>
      <c r="I65" s="324">
        <v>-4454</v>
      </c>
      <c r="J65" s="324">
        <v>-8935</v>
      </c>
      <c r="K65" s="324">
        <v>-12051</v>
      </c>
      <c r="L65" s="325">
        <v>1955</v>
      </c>
    </row>
    <row r="66" customHeight="1" outlineLevel="2" spans="4:12">
      <c r="D66" s="266" t="s">
        <v>56</v>
      </c>
      <c r="H66" s="325">
        <v>1</v>
      </c>
      <c r="I66" s="324">
        <v>1</v>
      </c>
      <c r="J66" s="324">
        <v>0</v>
      </c>
      <c r="K66" s="324">
        <v>2</v>
      </c>
      <c r="L66" s="325">
        <v>2</v>
      </c>
    </row>
    <row r="67" customHeight="1" outlineLevel="2" spans="4:12">
      <c r="D67" s="266" t="s">
        <v>57</v>
      </c>
      <c r="H67" s="325">
        <v>437</v>
      </c>
      <c r="I67" s="324">
        <v>509</v>
      </c>
      <c r="J67" s="324">
        <v>786</v>
      </c>
      <c r="K67" s="324">
        <v>978</v>
      </c>
      <c r="L67" s="325">
        <v>1469</v>
      </c>
    </row>
    <row r="68" customHeight="1" outlineLevel="2" spans="4:12">
      <c r="D68" s="266" t="s">
        <v>58</v>
      </c>
      <c r="H68" s="325">
        <v>5</v>
      </c>
      <c r="I68" s="324">
        <v>7</v>
      </c>
      <c r="J68" s="324">
        <v>8</v>
      </c>
      <c r="K68" s="324">
        <v>0</v>
      </c>
      <c r="L68" s="325">
        <v>0</v>
      </c>
    </row>
    <row r="69" s="316" customFormat="1" customHeight="1" outlineLevel="2" spans="4:12">
      <c r="D69" s="471" t="s">
        <v>59</v>
      </c>
      <c r="E69" s="339"/>
      <c r="F69" s="339"/>
      <c r="G69" s="339"/>
      <c r="H69" s="387">
        <f t="shared" ref="H69:L69" si="11">SUM(H63:H68)</f>
        <v>-3164</v>
      </c>
      <c r="I69" s="387">
        <f t="shared" si="11"/>
        <v>-7413</v>
      </c>
      <c r="J69" s="387">
        <f t="shared" si="11"/>
        <v>-9985</v>
      </c>
      <c r="K69" s="387">
        <f t="shared" si="11"/>
        <v>-14351</v>
      </c>
      <c r="L69" s="387">
        <f t="shared" si="11"/>
        <v>1129</v>
      </c>
    </row>
    <row r="70" customHeight="1" outlineLevel="2" spans="3:3">
      <c r="C70" s="348" t="s">
        <v>60</v>
      </c>
    </row>
    <row r="71" customHeight="1" outlineLevel="2" spans="4:12">
      <c r="D71" s="266" t="s">
        <v>61</v>
      </c>
      <c r="H71" s="325">
        <v>-1057</v>
      </c>
      <c r="I71" s="324">
        <v>5837</v>
      </c>
      <c r="J71" s="324">
        <v>1166</v>
      </c>
      <c r="K71" s="324">
        <v>8416</v>
      </c>
      <c r="L71" s="325">
        <v>-13023</v>
      </c>
    </row>
    <row r="72" customHeight="1" outlineLevel="2" spans="4:12">
      <c r="D72" s="266" t="s">
        <v>62</v>
      </c>
      <c r="H72" s="325">
        <v>0</v>
      </c>
      <c r="I72" s="324">
        <v>0</v>
      </c>
      <c r="J72" s="324">
        <v>0</v>
      </c>
      <c r="K72" s="324">
        <v>0</v>
      </c>
      <c r="L72" s="325">
        <v>1614</v>
      </c>
    </row>
    <row r="73" customHeight="1" outlineLevel="2" spans="4:12">
      <c r="D73" s="266" t="s">
        <v>63</v>
      </c>
      <c r="H73" s="325">
        <v>-2185</v>
      </c>
      <c r="I73" s="324">
        <v>-4395</v>
      </c>
      <c r="J73" s="324">
        <v>-3347</v>
      </c>
      <c r="K73" s="324">
        <v>-4219</v>
      </c>
      <c r="L73" s="325">
        <v>-5295</v>
      </c>
    </row>
    <row r="74" customHeight="1" outlineLevel="2" spans="4:12">
      <c r="D74" s="266" t="s">
        <v>64</v>
      </c>
      <c r="H74" s="325">
        <v>-546</v>
      </c>
      <c r="I74" s="324">
        <v>-650</v>
      </c>
      <c r="J74" s="324">
        <v>-536</v>
      </c>
      <c r="K74" s="324">
        <v>-401</v>
      </c>
      <c r="L74" s="325">
        <v>-905</v>
      </c>
    </row>
    <row r="75" s="313" customFormat="1" customHeight="1" outlineLevel="2" spans="4:12">
      <c r="D75" s="471" t="s">
        <v>65</v>
      </c>
      <c r="E75" s="394"/>
      <c r="F75" s="394"/>
      <c r="G75" s="394"/>
      <c r="H75" s="387">
        <f t="shared" ref="H75:L75" si="12">SUM(H71:H74)</f>
        <v>-3788</v>
      </c>
      <c r="I75" s="387">
        <f t="shared" si="12"/>
        <v>792</v>
      </c>
      <c r="J75" s="387">
        <f t="shared" si="12"/>
        <v>-2717</v>
      </c>
      <c r="K75" s="387">
        <f t="shared" si="12"/>
        <v>3796</v>
      </c>
      <c r="L75" s="387">
        <f t="shared" si="12"/>
        <v>-17609</v>
      </c>
    </row>
    <row r="76" customHeight="1" outlineLevel="2"/>
    <row r="77" customHeight="1" outlineLevel="1" spans="4:12">
      <c r="D77" s="266" t="s">
        <v>66</v>
      </c>
      <c r="H77" s="325">
        <v>843</v>
      </c>
      <c r="I77" s="324">
        <v>-771</v>
      </c>
      <c r="J77" s="324">
        <v>-53</v>
      </c>
      <c r="K77" s="324">
        <v>554</v>
      </c>
      <c r="L77" s="325">
        <v>345</v>
      </c>
    </row>
    <row r="78" customHeight="1" outlineLevel="1" spans="4:12">
      <c r="D78" s="266" t="s">
        <v>67</v>
      </c>
      <c r="H78" s="325">
        <v>1647</v>
      </c>
      <c r="I78" s="324">
        <v>2530</v>
      </c>
      <c r="J78" s="324">
        <v>1796</v>
      </c>
      <c r="K78" s="324">
        <v>1767</v>
      </c>
      <c r="L78" s="325">
        <v>2392</v>
      </c>
    </row>
    <row r="79" s="316" customFormat="1" customHeight="1" outlineLevel="1" spans="4:12">
      <c r="D79" s="471" t="s">
        <v>68</v>
      </c>
      <c r="E79" s="339"/>
      <c r="F79" s="339"/>
      <c r="G79" s="339"/>
      <c r="H79" s="387">
        <f t="shared" ref="H79:L79" si="13">SUM(H77:H78)</f>
        <v>2490</v>
      </c>
      <c r="I79" s="387">
        <f t="shared" si="13"/>
        <v>1759</v>
      </c>
      <c r="J79" s="387">
        <f t="shared" si="13"/>
        <v>1743</v>
      </c>
      <c r="K79" s="387">
        <f t="shared" si="13"/>
        <v>2321</v>
      </c>
      <c r="L79" s="387">
        <f t="shared" si="13"/>
        <v>2737</v>
      </c>
    </row>
    <row r="80" customHeight="1" outlineLevel="1"/>
    <row r="226" customHeight="1" spans="11:11">
      <c r="K226" s="324">
        <v>2322</v>
      </c>
    </row>
    <row r="227" customHeight="1" spans="11:11">
      <c r="K227" s="324">
        <v>23464</v>
      </c>
    </row>
    <row r="228" customHeight="1" spans="11:11">
      <c r="K228" s="324">
        <v>18846</v>
      </c>
    </row>
    <row r="229" customHeight="1" spans="11:11">
      <c r="K229" s="324">
        <v>30055</v>
      </c>
    </row>
    <row r="230" customHeight="1" spans="11:11">
      <c r="K230" s="324">
        <v>6323</v>
      </c>
    </row>
    <row r="231" customHeight="1" spans="11:11">
      <c r="K231" s="324">
        <v>28381</v>
      </c>
    </row>
    <row r="232" customHeight="1" spans="11:11">
      <c r="K232" s="324">
        <v>4031</v>
      </c>
    </row>
    <row r="233" customHeight="1" spans="11:11">
      <c r="K233" s="324">
        <v>12848</v>
      </c>
    </row>
    <row r="234" customHeight="1" spans="11:11">
      <c r="K234" s="324">
        <v>14422</v>
      </c>
    </row>
    <row r="235" customHeight="1" spans="11:11">
      <c r="K235" s="381">
        <f>SUM(K226:K234)</f>
        <v>140692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6"/>
  <sheetViews>
    <sheetView showGridLines="0" zoomScale="67" zoomScaleNormal="67" topLeftCell="D1" workbookViewId="0">
      <pane ySplit="3" topLeftCell="A18" activePane="bottomLeft" state="frozen"/>
      <selection/>
      <selection pane="bottomLeft" activeCell="N21" sqref="N21"/>
    </sheetView>
  </sheetViews>
  <sheetFormatPr defaultColWidth="8.90740740740741" defaultRowHeight="35" customHeight="1"/>
  <cols>
    <col min="1" max="2" width="1.36111111111111" style="324" customWidth="1"/>
    <col min="3" max="3" width="2.90740740740741" style="324" customWidth="1"/>
    <col min="4" max="4" width="76.4537037037037" style="266" customWidth="1"/>
    <col min="5" max="5" width="18.4537037037037" style="324" customWidth="1"/>
    <col min="6" max="6" width="12.0925925925926" style="324" customWidth="1"/>
    <col min="7" max="7" width="5.09259259259259" style="324" customWidth="1"/>
    <col min="8" max="8" width="26.0925925925926" style="325" customWidth="1"/>
    <col min="9" max="11" width="26.0925925925926" style="324" customWidth="1"/>
    <col min="12" max="12" width="26.0925925925926" style="325" customWidth="1"/>
    <col min="13" max="16" width="26.0925925925926" style="324" customWidth="1"/>
    <col min="17" max="17" width="23.3611111111111" style="324"/>
    <col min="18" max="16384" width="8.90740740740741" style="324"/>
  </cols>
  <sheetData>
    <row r="1" s="177" customFormat="1" ht="52" customHeight="1" spans="1:17">
      <c r="A1" s="176" t="s">
        <v>0</v>
      </c>
      <c r="G1" s="178"/>
      <c r="H1" s="179"/>
      <c r="L1" s="187"/>
      <c r="Q1" s="187"/>
    </row>
    <row r="2" s="313" customFormat="1" ht="21" customHeight="1" spans="1:17">
      <c r="A2" s="326" t="s">
        <v>1</v>
      </c>
      <c r="G2" s="327"/>
      <c r="H2" s="328">
        <v>2019</v>
      </c>
      <c r="I2" s="365">
        <f t="shared" ref="I2:P2" si="0">H2+1</f>
        <v>2020</v>
      </c>
      <c r="J2" s="365">
        <f t="shared" si="0"/>
        <v>2021</v>
      </c>
      <c r="K2" s="365">
        <f t="shared" si="0"/>
        <v>2022</v>
      </c>
      <c r="L2" s="366">
        <f t="shared" si="0"/>
        <v>2023</v>
      </c>
      <c r="M2" s="367">
        <f t="shared" si="0"/>
        <v>2024</v>
      </c>
      <c r="N2" s="367">
        <f t="shared" si="0"/>
        <v>2025</v>
      </c>
      <c r="O2" s="367">
        <f t="shared" si="0"/>
        <v>2026</v>
      </c>
      <c r="P2" s="367">
        <f t="shared" si="0"/>
        <v>2027</v>
      </c>
      <c r="Q2" s="410">
        <v>2028</v>
      </c>
    </row>
    <row r="3" s="313" customFormat="1" ht="21" customHeight="1" spans="1:17">
      <c r="A3" s="326"/>
      <c r="G3" s="327"/>
      <c r="H3" s="328"/>
      <c r="I3" s="365"/>
      <c r="J3" s="365"/>
      <c r="K3" s="365"/>
      <c r="L3" s="366"/>
      <c r="M3" s="367"/>
      <c r="N3" s="367"/>
      <c r="O3" s="367"/>
      <c r="P3" s="367"/>
      <c r="Q3" s="411"/>
    </row>
    <row r="4" s="313" customFormat="1" ht="21" customHeight="1" spans="1:17">
      <c r="A4" s="326"/>
      <c r="G4" s="327"/>
      <c r="H4" s="328"/>
      <c r="I4" s="365"/>
      <c r="J4" s="365"/>
      <c r="K4" s="365"/>
      <c r="L4" s="366"/>
      <c r="M4" s="367"/>
      <c r="N4" s="367"/>
      <c r="O4" s="367"/>
      <c r="P4" s="367"/>
      <c r="Q4" s="411"/>
    </row>
    <row r="5" s="314" customFormat="1" ht="23" customHeight="1" spans="1:17">
      <c r="A5" s="329" t="s">
        <v>69</v>
      </c>
      <c r="H5" s="330"/>
      <c r="L5" s="368"/>
      <c r="Q5" s="368"/>
    </row>
    <row r="6" s="313" customFormat="1" ht="33" customHeight="1" spans="1:17">
      <c r="A6" s="326"/>
      <c r="D6" s="316" t="s">
        <v>70</v>
      </c>
      <c r="E6" s="331" t="s">
        <v>71</v>
      </c>
      <c r="F6" s="313" t="s">
        <v>72</v>
      </c>
      <c r="G6" s="327">
        <v>3</v>
      </c>
      <c r="H6" s="328"/>
      <c r="I6" s="365"/>
      <c r="J6" s="365"/>
      <c r="K6" s="365"/>
      <c r="L6" s="366"/>
      <c r="M6" s="367"/>
      <c r="N6" s="369"/>
      <c r="O6" s="367"/>
      <c r="P6" s="367"/>
      <c r="Q6" s="411"/>
    </row>
    <row r="7" s="313" customFormat="1" ht="31" customHeight="1" spans="1:18">
      <c r="A7" s="326"/>
      <c r="D7" s="324" t="s">
        <v>73</v>
      </c>
      <c r="F7" s="313" t="s">
        <v>74</v>
      </c>
      <c r="G7" s="327"/>
      <c r="H7" s="332"/>
      <c r="I7" s="370">
        <f>I24/H24-1</f>
        <v>0.134181482085576</v>
      </c>
      <c r="J7" s="370">
        <f>J24/I24-1</f>
        <v>0.0623891472125018</v>
      </c>
      <c r="K7" s="370">
        <f>K24/J24-1</f>
        <v>0.199571347997744</v>
      </c>
      <c r="L7" s="371">
        <f>L24/K24-1</f>
        <v>0.0907543585789246</v>
      </c>
      <c r="M7" s="370">
        <f t="array" ref="M7">CHOOSE(G6,Scenarios!H5:L5,Scenarios!H6:L6,Scenarios!H7:L7)</f>
        <v>0.0623891472125018</v>
      </c>
      <c r="N7" s="370">
        <f t="array" ref="N7:Q7">CHOOSE(G6,Scenarios!H5:L5,Scenarios!H6:L6,Scenarios!H7:L7)</f>
        <v>0.0623891472125018</v>
      </c>
      <c r="O7" s="370">
        <v>0.0499113177700014</v>
      </c>
      <c r="P7" s="370">
        <v>0.0399290542160011</v>
      </c>
      <c r="Q7" s="371">
        <v>0.0319432433728009</v>
      </c>
      <c r="R7" s="324"/>
    </row>
    <row r="8" s="313" customFormat="1" ht="31" customHeight="1" spans="1:18">
      <c r="A8" s="326"/>
      <c r="D8" s="324" t="s">
        <v>75</v>
      </c>
      <c r="F8" s="313" t="s">
        <v>74</v>
      </c>
      <c r="G8" s="327"/>
      <c r="H8" s="332">
        <f t="shared" ref="H8:L8" si="1">-H25/H24</f>
        <v>0.400288153101723</v>
      </c>
      <c r="I8" s="372">
        <f t="shared" si="1"/>
        <v>0.400855663678635</v>
      </c>
      <c r="J8" s="372">
        <f t="shared" si="1"/>
        <v>0.394641849971799</v>
      </c>
      <c r="K8" s="372">
        <f t="shared" si="1"/>
        <v>0.393099621974385</v>
      </c>
      <c r="L8" s="371">
        <f t="shared" si="1"/>
        <v>0.423025527402516</v>
      </c>
      <c r="M8" s="370">
        <f t="shared" ref="M8:Q8" si="2">AVERAGE(H8:L8)</f>
        <v>0.402382163225811</v>
      </c>
      <c r="N8" s="370">
        <f t="shared" si="2"/>
        <v>0.402800965250629</v>
      </c>
      <c r="O8" s="370">
        <f t="shared" si="2"/>
        <v>0.403190025565028</v>
      </c>
      <c r="P8" s="370">
        <f t="shared" si="2"/>
        <v>0.404899660683674</v>
      </c>
      <c r="Q8" s="371">
        <f t="shared" si="2"/>
        <v>0.407259668425532</v>
      </c>
      <c r="R8" s="324"/>
    </row>
    <row r="9" s="313" customFormat="1" ht="31" customHeight="1" spans="1:18">
      <c r="A9" s="326"/>
      <c r="D9" s="324" t="s">
        <v>76</v>
      </c>
      <c r="F9" s="313" t="s">
        <v>74</v>
      </c>
      <c r="G9" s="327"/>
      <c r="H9" s="332">
        <f t="shared" ref="H9:L9" si="3">-H28/H24</f>
        <v>0.185192736367096</v>
      </c>
      <c r="I9" s="372">
        <f t="shared" si="3"/>
        <v>0.180420401706534</v>
      </c>
      <c r="J9" s="372">
        <f t="shared" si="3"/>
        <v>0.182853919909757</v>
      </c>
      <c r="K9" s="372">
        <f t="shared" si="3"/>
        <v>0.184564894397322</v>
      </c>
      <c r="L9" s="371">
        <f t="shared" si="3"/>
        <v>0.183752467821334</v>
      </c>
      <c r="M9" s="370">
        <f t="shared" ref="M9:Q9" si="4">AVERAGE(H9:L9)</f>
        <v>0.183356884040409</v>
      </c>
      <c r="N9" s="370">
        <f t="shared" si="4"/>
        <v>0.182989713575071</v>
      </c>
      <c r="O9" s="370">
        <f t="shared" si="4"/>
        <v>0.183503575948779</v>
      </c>
      <c r="P9" s="370">
        <f t="shared" si="4"/>
        <v>0.183633507156583</v>
      </c>
      <c r="Q9" s="371">
        <f t="shared" si="4"/>
        <v>0.183447229708435</v>
      </c>
      <c r="R9" s="324"/>
    </row>
    <row r="10" s="313" customFormat="1" ht="31" customHeight="1" spans="1:18">
      <c r="A10" s="326"/>
      <c r="D10" s="324" t="s">
        <v>77</v>
      </c>
      <c r="F10" s="313" t="s">
        <v>74</v>
      </c>
      <c r="G10" s="327"/>
      <c r="H10" s="332">
        <f t="shared" ref="H10:L10" si="5">-H29/H24</f>
        <v>0.263007665959876</v>
      </c>
      <c r="I10" s="372">
        <f t="shared" si="5"/>
        <v>0.242102487896074</v>
      </c>
      <c r="J10" s="372">
        <f t="shared" si="5"/>
        <v>0.203395375070502</v>
      </c>
      <c r="K10" s="372">
        <f t="shared" si="5"/>
        <v>0.229288521938651</v>
      </c>
      <c r="L10" s="371">
        <f t="shared" si="5"/>
        <v>0.254463631426034</v>
      </c>
      <c r="M10" s="370">
        <f t="shared" ref="M10:Q10" si="6">AVERAGE(H10:L10)</f>
        <v>0.238451536458227</v>
      </c>
      <c r="N10" s="370">
        <f t="shared" si="6"/>
        <v>0.233540310557898</v>
      </c>
      <c r="O10" s="370">
        <f t="shared" si="6"/>
        <v>0.231827875090262</v>
      </c>
      <c r="P10" s="370">
        <f t="shared" si="6"/>
        <v>0.237514375094215</v>
      </c>
      <c r="Q10" s="371">
        <f t="shared" si="6"/>
        <v>0.239159545725327</v>
      </c>
      <c r="R10" s="324"/>
    </row>
    <row r="11" s="313" customFormat="1" ht="31" customHeight="1" spans="1:18">
      <c r="A11" s="326"/>
      <c r="D11" s="324" t="s">
        <v>78</v>
      </c>
      <c r="F11" s="313" t="s">
        <v>74</v>
      </c>
      <c r="G11" s="327"/>
      <c r="H11" s="332">
        <v>0</v>
      </c>
      <c r="I11" s="372">
        <f t="shared" ref="I11:L11" si="7">-I31/I110</f>
        <v>0.0956561222945361</v>
      </c>
      <c r="J11" s="372">
        <f t="shared" si="7"/>
        <v>0.0955961705831158</v>
      </c>
      <c r="K11" s="372">
        <f t="shared" si="7"/>
        <v>0.108925436239206</v>
      </c>
      <c r="L11" s="371">
        <f t="shared" si="7"/>
        <v>0.109368944011839</v>
      </c>
      <c r="M11" s="370">
        <f t="shared" ref="M11:Q11" si="8">AVERAGE(H11:L11)</f>
        <v>0.0819093346257393</v>
      </c>
      <c r="N11" s="370">
        <f t="shared" si="8"/>
        <v>0.0982912015508872</v>
      </c>
      <c r="O11" s="370">
        <f t="shared" si="8"/>
        <v>0.0988182174021574</v>
      </c>
      <c r="P11" s="370">
        <f t="shared" si="8"/>
        <v>0.0994626267659658</v>
      </c>
      <c r="Q11" s="371">
        <f t="shared" si="8"/>
        <v>0.0975700648713177</v>
      </c>
      <c r="R11" s="324"/>
    </row>
    <row r="12" s="313" customFormat="1" ht="31" customHeight="1" spans="1:18">
      <c r="A12" s="326"/>
      <c r="D12" s="325" t="s">
        <v>79</v>
      </c>
      <c r="F12" s="313" t="s">
        <v>74</v>
      </c>
      <c r="G12" s="327"/>
      <c r="H12" s="332">
        <v>0</v>
      </c>
      <c r="I12" s="370">
        <f t="shared" ref="I12:L12" si="9">-I33/I116</f>
        <v>0.072124972302238</v>
      </c>
      <c r="J12" s="370">
        <f t="shared" si="9"/>
        <v>0.0354221794563387</v>
      </c>
      <c r="K12" s="370">
        <f t="shared" si="9"/>
        <v>0.0292410714285714</v>
      </c>
      <c r="L12" s="371">
        <f t="shared" si="9"/>
        <v>0.0402518551832696</v>
      </c>
      <c r="M12" s="370">
        <f>AVERAGE(H12:L12)</f>
        <v>0.0354080156740835</v>
      </c>
      <c r="N12" s="370">
        <f t="shared" ref="N12:Q12" si="10">AVERAGE(I12:M12)</f>
        <v>0.0424896188089003</v>
      </c>
      <c r="O12" s="370">
        <f t="shared" si="10"/>
        <v>0.0365625481102327</v>
      </c>
      <c r="P12" s="370">
        <f t="shared" si="10"/>
        <v>0.0367906218410115</v>
      </c>
      <c r="Q12" s="371">
        <f t="shared" si="10"/>
        <v>0.0383005319234995</v>
      </c>
      <c r="R12" s="324"/>
    </row>
    <row r="13" s="313" customFormat="1" ht="31" customHeight="1" spans="1:18">
      <c r="A13" s="326"/>
      <c r="D13" s="325" t="s">
        <v>80</v>
      </c>
      <c r="F13" s="313" t="s">
        <v>74</v>
      </c>
      <c r="G13" s="327"/>
      <c r="H13" s="332">
        <f t="shared" ref="H13:L13" si="11">H34/H24</f>
        <v>0.0119202957646931</v>
      </c>
      <c r="I13" s="372">
        <f t="shared" si="11"/>
        <v>0.0124874167106083</v>
      </c>
      <c r="J13" s="372">
        <f t="shared" si="11"/>
        <v>0.0263056965595037</v>
      </c>
      <c r="K13" s="372">
        <f t="shared" si="11"/>
        <v>0.0138891501006188</v>
      </c>
      <c r="L13" s="371">
        <f t="shared" si="11"/>
        <v>0.00975058839757572</v>
      </c>
      <c r="M13" s="370">
        <f t="shared" ref="M13:Q13" si="12">AVERAGE(H13:L13)</f>
        <v>0.0148706295065999</v>
      </c>
      <c r="N13" s="370">
        <f t="shared" si="12"/>
        <v>0.0154606962549813</v>
      </c>
      <c r="O13" s="370">
        <f t="shared" si="12"/>
        <v>0.0160553521638559</v>
      </c>
      <c r="P13" s="370">
        <f t="shared" si="12"/>
        <v>0.0140052832847263</v>
      </c>
      <c r="Q13" s="371">
        <f t="shared" si="12"/>
        <v>0.0140285099215478</v>
      </c>
      <c r="R13" s="324"/>
    </row>
    <row r="14" s="313" customFormat="1" ht="31" customHeight="1" spans="1:18">
      <c r="A14" s="326"/>
      <c r="D14" s="324" t="s">
        <v>81</v>
      </c>
      <c r="F14" s="313" t="s">
        <v>74</v>
      </c>
      <c r="G14" s="327"/>
      <c r="H14" s="332">
        <f t="shared" ref="H14:L14" si="13">-H36/H35</f>
        <v>0.189608212864027</v>
      </c>
      <c r="I14" s="372">
        <f t="shared" si="13"/>
        <v>0.087691453059281</v>
      </c>
      <c r="J14" s="372">
        <f t="shared" si="13"/>
        <v>0.121763205037729</v>
      </c>
      <c r="K14" s="372">
        <f t="shared" si="13"/>
        <v>0.0889274482160286</v>
      </c>
      <c r="L14" s="371">
        <f t="shared" si="13"/>
        <v>0.22838749233599</v>
      </c>
      <c r="M14" s="370">
        <f t="shared" ref="M14:Q14" si="14">AVERAGE(H14:L14)</f>
        <v>0.143275562302611</v>
      </c>
      <c r="N14" s="370">
        <f t="shared" si="14"/>
        <v>0.134009032190328</v>
      </c>
      <c r="O14" s="370">
        <f t="shared" si="14"/>
        <v>0.143272548016537</v>
      </c>
      <c r="P14" s="370">
        <f t="shared" si="14"/>
        <v>0.147574416612299</v>
      </c>
      <c r="Q14" s="371">
        <f t="shared" si="14"/>
        <v>0.159303810291553</v>
      </c>
      <c r="R14" s="324"/>
    </row>
    <row r="15" s="313" customFormat="1" ht="31" customHeight="1" spans="1:18">
      <c r="A15" s="326"/>
      <c r="D15" s="324" t="s">
        <v>82</v>
      </c>
      <c r="F15" s="313" t="s">
        <v>74</v>
      </c>
      <c r="G15" s="327"/>
      <c r="H15" s="332">
        <f t="shared" ref="H15:L15" si="15">-H91/H37</f>
        <v>0.282445708376422</v>
      </c>
      <c r="I15" s="372">
        <f t="shared" si="15"/>
        <v>0.382306889352818</v>
      </c>
      <c r="J15" s="372">
        <f t="shared" si="15"/>
        <v>0.206885894424527</v>
      </c>
      <c r="K15" s="372">
        <f t="shared" si="15"/>
        <v>0.251101059397691</v>
      </c>
      <c r="L15" s="371">
        <f t="shared" si="15"/>
        <v>0.525923718712753</v>
      </c>
      <c r="M15" s="370">
        <f t="shared" ref="M15:Q15" si="16">AVERAGE(H15:L15)</f>
        <v>0.329732654052842</v>
      </c>
      <c r="N15" s="370">
        <f t="shared" si="16"/>
        <v>0.339190043188126</v>
      </c>
      <c r="O15" s="370">
        <f t="shared" si="16"/>
        <v>0.330566673955188</v>
      </c>
      <c r="P15" s="370">
        <f t="shared" si="16"/>
        <v>0.35530282986132</v>
      </c>
      <c r="Q15" s="371">
        <f t="shared" si="16"/>
        <v>0.376143183954046</v>
      </c>
      <c r="R15" s="324"/>
    </row>
    <row r="16" s="313" customFormat="1" ht="31" customHeight="1" spans="1:18">
      <c r="A16" s="326"/>
      <c r="D16" s="324" t="s">
        <v>24</v>
      </c>
      <c r="F16" s="324" t="s">
        <v>83</v>
      </c>
      <c r="G16" s="327"/>
      <c r="H16" s="333">
        <f t="shared" ref="H16:L16" si="17">H45/H24*365</f>
        <v>61.9347034197793</v>
      </c>
      <c r="I16" s="373">
        <f t="shared" si="17"/>
        <v>72.1479075787354</v>
      </c>
      <c r="J16" s="373">
        <f t="shared" si="17"/>
        <v>66.1734912577552</v>
      </c>
      <c r="K16" s="373">
        <f t="shared" si="17"/>
        <v>64.685542871114</v>
      </c>
      <c r="L16" s="374">
        <f t="shared" si="17"/>
        <v>67.0948246876967</v>
      </c>
      <c r="M16" s="375">
        <f t="shared" ref="M16:Q16" si="18">AVERAGE(H16:L16)</f>
        <v>66.4072939630161</v>
      </c>
      <c r="N16" s="375">
        <f t="shared" si="18"/>
        <v>67.3018120716635</v>
      </c>
      <c r="O16" s="375">
        <f t="shared" si="18"/>
        <v>66.3325929702491</v>
      </c>
      <c r="P16" s="375">
        <f t="shared" si="18"/>
        <v>66.3644133127479</v>
      </c>
      <c r="Q16" s="374">
        <f t="shared" si="18"/>
        <v>66.7001874010746</v>
      </c>
      <c r="R16" s="324"/>
    </row>
    <row r="17" s="313" customFormat="1" ht="31" customHeight="1" spans="1:18">
      <c r="A17" s="326"/>
      <c r="D17" s="324" t="s">
        <v>25</v>
      </c>
      <c r="F17" s="324" t="s">
        <v>83</v>
      </c>
      <c r="G17" s="327"/>
      <c r="H17" s="333">
        <f t="shared" ref="H17:L17" si="19">-H46/H25*365</f>
        <v>185.895925297114</v>
      </c>
      <c r="I17" s="373">
        <f t="shared" si="19"/>
        <v>198.469909414332</v>
      </c>
      <c r="J17" s="373">
        <f t="shared" si="19"/>
        <v>241.253680148635</v>
      </c>
      <c r="K17" s="373">
        <f t="shared" si="19"/>
        <v>262.423151448461</v>
      </c>
      <c r="L17" s="374">
        <f t="shared" si="19"/>
        <v>193.962969756257</v>
      </c>
      <c r="M17" s="375">
        <f t="shared" ref="M17:Q17" si="20">AVERAGE(H17:L17)</f>
        <v>216.40112721296</v>
      </c>
      <c r="N17" s="375">
        <f t="shared" si="20"/>
        <v>222.502167596129</v>
      </c>
      <c r="O17" s="375">
        <f t="shared" si="20"/>
        <v>227.308619232488</v>
      </c>
      <c r="P17" s="375">
        <f t="shared" si="20"/>
        <v>224.519607049259</v>
      </c>
      <c r="Q17" s="374">
        <f t="shared" si="20"/>
        <v>216.938898169418</v>
      </c>
      <c r="R17" s="324"/>
    </row>
    <row r="18" s="313" customFormat="1" ht="31" customHeight="1" spans="1:18">
      <c r="A18" s="326"/>
      <c r="D18" s="324" t="s">
        <v>35</v>
      </c>
      <c r="F18" s="324" t="s">
        <v>83</v>
      </c>
      <c r="G18" s="327"/>
      <c r="H18" s="333">
        <f t="shared" ref="H18:L18" si="21">-H58/H25*365</f>
        <v>119.260186757216</v>
      </c>
      <c r="I18" s="373">
        <f t="shared" si="21"/>
        <v>104.107222936411</v>
      </c>
      <c r="J18" s="373">
        <f t="shared" si="21"/>
        <v>111.570958982421</v>
      </c>
      <c r="K18" s="373">
        <f t="shared" si="21"/>
        <v>102.445877090161</v>
      </c>
      <c r="L18" s="374">
        <f t="shared" si="21"/>
        <v>86.6603489035624</v>
      </c>
      <c r="M18" s="375">
        <f t="shared" ref="M18:Q18" si="22">AVERAGE(H18:L18)</f>
        <v>104.808918933954</v>
      </c>
      <c r="N18" s="375">
        <f t="shared" si="22"/>
        <v>101.918665369302</v>
      </c>
      <c r="O18" s="375">
        <f t="shared" si="22"/>
        <v>101.48095385588</v>
      </c>
      <c r="P18" s="375">
        <f t="shared" si="22"/>
        <v>99.4629528305719</v>
      </c>
      <c r="Q18" s="374">
        <f t="shared" si="22"/>
        <v>98.8663679786541</v>
      </c>
      <c r="R18" s="324"/>
    </row>
    <row r="19" s="313" customFormat="1" ht="31" customHeight="1" spans="1:18">
      <c r="A19" s="326"/>
      <c r="D19" s="324" t="s">
        <v>84</v>
      </c>
      <c r="F19" s="324" t="s">
        <v>85</v>
      </c>
      <c r="G19" s="327"/>
      <c r="H19" s="334">
        <f t="shared" ref="H19:L19" si="23">H24/H50</f>
        <v>2.78386559709399</v>
      </c>
      <c r="I19" s="376">
        <f t="shared" si="23"/>
        <v>2.90492602262837</v>
      </c>
      <c r="J19" s="376">
        <f t="shared" si="23"/>
        <v>3.17639471138342</v>
      </c>
      <c r="K19" s="376">
        <f t="shared" si="23"/>
        <v>3.74694337761178</v>
      </c>
      <c r="L19" s="377">
        <f t="shared" si="23"/>
        <v>4.47348528674457</v>
      </c>
      <c r="M19" s="378">
        <f t="shared" ref="M19:Q19" si="24">L19+0.5</f>
        <v>4.97348528674457</v>
      </c>
      <c r="N19" s="378">
        <f t="shared" si="24"/>
        <v>5.47348528674457</v>
      </c>
      <c r="O19" s="378">
        <f t="shared" si="24"/>
        <v>5.97348528674457</v>
      </c>
      <c r="P19" s="378">
        <f t="shared" si="24"/>
        <v>6.47348528674457</v>
      </c>
      <c r="Q19" s="377">
        <f t="shared" si="24"/>
        <v>6.97348528674457</v>
      </c>
      <c r="R19" s="324"/>
    </row>
    <row r="20" s="313" customFormat="1" ht="31" customHeight="1" spans="1:17">
      <c r="A20" s="326"/>
      <c r="D20" s="266"/>
      <c r="G20" s="327"/>
      <c r="H20" s="328"/>
      <c r="I20" s="365"/>
      <c r="J20" s="365"/>
      <c r="K20" s="365"/>
      <c r="L20" s="366"/>
      <c r="M20" s="367"/>
      <c r="N20" s="367"/>
      <c r="O20" s="367"/>
      <c r="P20" s="367"/>
      <c r="Q20" s="411"/>
    </row>
    <row r="21" s="313" customFormat="1" ht="21" customHeight="1" spans="1:17">
      <c r="A21" s="326"/>
      <c r="D21" s="324"/>
      <c r="G21" s="327"/>
      <c r="H21" s="328"/>
      <c r="I21" s="365"/>
      <c r="J21" s="365"/>
      <c r="K21" s="365"/>
      <c r="L21" s="366"/>
      <c r="M21" s="367"/>
      <c r="N21" s="367"/>
      <c r="O21" s="367"/>
      <c r="P21" s="367"/>
      <c r="Q21" s="411"/>
    </row>
    <row r="22" s="314" customFormat="1" ht="23.4" spans="1:17">
      <c r="A22" s="329" t="s">
        <v>2</v>
      </c>
      <c r="H22" s="330"/>
      <c r="J22" s="379" t="s">
        <v>86</v>
      </c>
      <c r="L22" s="368"/>
      <c r="Q22" s="368"/>
    </row>
    <row r="23" ht="23" customHeight="1" spans="2:17">
      <c r="B23" s="324" t="s">
        <v>3</v>
      </c>
      <c r="D23" s="324"/>
      <c r="F23" s="335" t="s">
        <v>86</v>
      </c>
      <c r="H23" s="336"/>
      <c r="L23" s="380"/>
      <c r="Q23" s="380"/>
    </row>
    <row r="24" s="313" customFormat="1" ht="23" customHeight="1" spans="1:17">
      <c r="A24" s="316"/>
      <c r="B24" s="316"/>
      <c r="D24" s="321" t="s">
        <v>4</v>
      </c>
      <c r="E24" s="316"/>
      <c r="H24" s="337">
        <v>73572</v>
      </c>
      <c r="I24" s="381">
        <v>83444</v>
      </c>
      <c r="J24" s="381">
        <v>88650</v>
      </c>
      <c r="K24" s="381">
        <v>106342</v>
      </c>
      <c r="L24" s="382">
        <v>115993</v>
      </c>
      <c r="M24" s="381">
        <f t="shared" ref="M24:Q24" si="25">L24*(1+M7)</f>
        <v>123229.70435262</v>
      </c>
      <c r="N24" s="381">
        <f t="shared" si="25"/>
        <v>130917.900518428</v>
      </c>
      <c r="O24" s="381">
        <f t="shared" si="25"/>
        <v>137452.185452985</v>
      </c>
      <c r="P24" s="381">
        <f t="shared" si="25"/>
        <v>142940.521218045</v>
      </c>
      <c r="Q24" s="382">
        <f t="shared" si="25"/>
        <v>147506.505075148</v>
      </c>
    </row>
    <row r="25" s="313" customFormat="1" ht="23" customHeight="1" spans="1:17">
      <c r="A25" s="316"/>
      <c r="B25" s="316"/>
      <c r="C25" s="316"/>
      <c r="D25" s="320" t="s">
        <v>5</v>
      </c>
      <c r="H25" s="337">
        <v>-29450</v>
      </c>
      <c r="I25" s="381">
        <v>-33449</v>
      </c>
      <c r="J25" s="381">
        <v>-34985</v>
      </c>
      <c r="K25" s="381">
        <f>-41803</f>
        <v>-41803</v>
      </c>
      <c r="L25" s="382">
        <f>-(49068)</f>
        <v>-49068</v>
      </c>
      <c r="M25" s="381">
        <f t="shared" ref="M25:Q25" si="26">-M24*M8</f>
        <v>-49585.4350110843</v>
      </c>
      <c r="N25" s="381">
        <f t="shared" si="26"/>
        <v>-52733.8566974088</v>
      </c>
      <c r="O25" s="381">
        <f t="shared" si="26"/>
        <v>-55419.350166758</v>
      </c>
      <c r="P25" s="381">
        <f t="shared" si="26"/>
        <v>-57876.568539134</v>
      </c>
      <c r="Q25" s="382">
        <f t="shared" si="26"/>
        <v>-60073.4503475139</v>
      </c>
    </row>
    <row r="26" s="315" customFormat="1" ht="23" customHeight="1" spans="4:17">
      <c r="D26" s="338" t="s">
        <v>6</v>
      </c>
      <c r="E26" s="339"/>
      <c r="F26" s="338"/>
      <c r="G26" s="338"/>
      <c r="H26" s="340">
        <f t="shared" ref="H26:Q26" si="27">SUM(H24:H25)</f>
        <v>44122</v>
      </c>
      <c r="I26" s="383">
        <f t="shared" si="27"/>
        <v>49995</v>
      </c>
      <c r="J26" s="383">
        <f t="shared" si="27"/>
        <v>53665</v>
      </c>
      <c r="K26" s="383">
        <f t="shared" si="27"/>
        <v>64539</v>
      </c>
      <c r="L26" s="383">
        <f t="shared" si="27"/>
        <v>66925</v>
      </c>
      <c r="M26" s="383">
        <f t="shared" si="27"/>
        <v>73644.2693415354</v>
      </c>
      <c r="N26" s="383">
        <f t="shared" si="27"/>
        <v>78184.0438210196</v>
      </c>
      <c r="O26" s="383">
        <f t="shared" si="27"/>
        <v>82032.8352862271</v>
      </c>
      <c r="P26" s="383">
        <f t="shared" si="27"/>
        <v>85063.9526789112</v>
      </c>
      <c r="Q26" s="383">
        <f t="shared" si="27"/>
        <v>87433.0547276344</v>
      </c>
    </row>
    <row r="27" ht="23" customHeight="1" spans="3:17">
      <c r="C27" s="324" t="s">
        <v>7</v>
      </c>
      <c r="H27" s="337"/>
      <c r="I27" s="384"/>
      <c r="J27" s="384"/>
      <c r="K27" s="384"/>
      <c r="L27" s="384"/>
      <c r="M27" s="381"/>
      <c r="N27" s="381"/>
      <c r="O27" s="381"/>
      <c r="P27" s="381"/>
      <c r="Q27" s="382"/>
    </row>
    <row r="28" ht="23" customHeight="1" spans="4:17">
      <c r="D28" s="324" t="s">
        <v>8</v>
      </c>
      <c r="H28" s="337">
        <v>-13625</v>
      </c>
      <c r="I28" s="384">
        <v>-15055</v>
      </c>
      <c r="J28" s="384">
        <v>-16210</v>
      </c>
      <c r="K28" s="384">
        <v>-19627</v>
      </c>
      <c r="L28" s="384">
        <v>-21314</v>
      </c>
      <c r="M28" s="381">
        <f t="shared" ref="M28:Q28" si="28">-M24*M9</f>
        <v>-22595.0146113171</v>
      </c>
      <c r="N28" s="381">
        <f t="shared" si="28"/>
        <v>-23956.6291177169</v>
      </c>
      <c r="O28" s="381">
        <f t="shared" si="28"/>
        <v>-25222.9675525975</v>
      </c>
      <c r="P28" s="381">
        <f t="shared" si="28"/>
        <v>-26248.6692260596</v>
      </c>
      <c r="Q28" s="382">
        <f t="shared" si="28"/>
        <v>-27059.6597200092</v>
      </c>
    </row>
    <row r="29" ht="23" customHeight="1" spans="4:17">
      <c r="D29" s="324" t="s">
        <v>9</v>
      </c>
      <c r="H29" s="341">
        <v>-19350</v>
      </c>
      <c r="I29" s="385">
        <v>-20202</v>
      </c>
      <c r="J29" s="385">
        <v>-18031</v>
      </c>
      <c r="K29" s="385">
        <v>-24383</v>
      </c>
      <c r="L29" s="385">
        <v>-29516</v>
      </c>
      <c r="M29" s="381">
        <f t="shared" ref="M29:Q29" si="29">-M24*M10</f>
        <v>-29384.3123401753</v>
      </c>
      <c r="N29" s="381">
        <f t="shared" si="29"/>
        <v>-30574.6071446617</v>
      </c>
      <c r="O29" s="381">
        <f t="shared" si="29"/>
        <v>-31865.2480800782</v>
      </c>
      <c r="P29" s="381">
        <f t="shared" si="29"/>
        <v>-33950.4285727453</v>
      </c>
      <c r="Q29" s="382">
        <f t="shared" si="29"/>
        <v>-35277.5887453031</v>
      </c>
    </row>
    <row r="30" s="315" customFormat="1" ht="23" customHeight="1" spans="4:17">
      <c r="D30" s="339" t="s">
        <v>10</v>
      </c>
      <c r="E30" s="339"/>
      <c r="F30" s="339"/>
      <c r="G30" s="339"/>
      <c r="H30" s="342">
        <f t="shared" ref="H30:Q30" si="30">SUM(H26,H28:H29)</f>
        <v>11147</v>
      </c>
      <c r="I30" s="386">
        <f t="shared" si="30"/>
        <v>14738</v>
      </c>
      <c r="J30" s="386">
        <f t="shared" si="30"/>
        <v>19424</v>
      </c>
      <c r="K30" s="386">
        <f t="shared" si="30"/>
        <v>20529</v>
      </c>
      <c r="L30" s="386">
        <f t="shared" si="30"/>
        <v>16095</v>
      </c>
      <c r="M30" s="387">
        <f t="shared" si="30"/>
        <v>21664.942390043</v>
      </c>
      <c r="N30" s="387">
        <f t="shared" si="30"/>
        <v>23652.807558641</v>
      </c>
      <c r="O30" s="387">
        <f t="shared" si="30"/>
        <v>24944.6196535514</v>
      </c>
      <c r="P30" s="387">
        <f t="shared" si="30"/>
        <v>24864.8548801063</v>
      </c>
      <c r="Q30" s="412">
        <f t="shared" si="30"/>
        <v>25095.8062623221</v>
      </c>
    </row>
    <row r="31" ht="23" customHeight="1" spans="4:17">
      <c r="D31" s="324" t="s">
        <v>11</v>
      </c>
      <c r="H31" s="341">
        <v>-1932</v>
      </c>
      <c r="I31" s="385">
        <v>-2528</v>
      </c>
      <c r="J31" s="385">
        <v>-2746</v>
      </c>
      <c r="K31" s="385">
        <v>-3040</v>
      </c>
      <c r="L31" s="385">
        <v>-3104</v>
      </c>
      <c r="M31" s="385">
        <v>-2124</v>
      </c>
      <c r="N31" s="384">
        <f>-2567</f>
        <v>-2567</v>
      </c>
      <c r="O31" s="384">
        <v>-2559</v>
      </c>
      <c r="P31" s="384">
        <v>-2523</v>
      </c>
      <c r="Q31" s="382">
        <v>-2397</v>
      </c>
    </row>
    <row r="32" s="315" customFormat="1" ht="23" customHeight="1" spans="4:17">
      <c r="D32" s="339" t="s">
        <v>12</v>
      </c>
      <c r="E32" s="339"/>
      <c r="F32" s="339"/>
      <c r="G32" s="339"/>
      <c r="H32" s="342">
        <f t="shared" ref="H32:Q32" si="31">SUM(H30:H31)</f>
        <v>9215</v>
      </c>
      <c r="I32" s="386">
        <f t="shared" si="31"/>
        <v>12210</v>
      </c>
      <c r="J32" s="386">
        <f t="shared" si="31"/>
        <v>16678</v>
      </c>
      <c r="K32" s="386">
        <f t="shared" si="31"/>
        <v>17489</v>
      </c>
      <c r="L32" s="386">
        <f t="shared" si="31"/>
        <v>12991</v>
      </c>
      <c r="M32" s="386">
        <f t="shared" si="31"/>
        <v>19540.942390043</v>
      </c>
      <c r="N32" s="387">
        <f t="shared" si="31"/>
        <v>21085.807558641</v>
      </c>
      <c r="O32" s="387">
        <f t="shared" si="31"/>
        <v>22385.6196535514</v>
      </c>
      <c r="P32" s="387">
        <f t="shared" si="31"/>
        <v>22341.8548801063</v>
      </c>
      <c r="Q32" s="412">
        <f t="shared" si="31"/>
        <v>22698.8062623221</v>
      </c>
    </row>
    <row r="33" ht="23" customHeight="1" spans="4:17">
      <c r="D33" s="324" t="s">
        <v>13</v>
      </c>
      <c r="H33" s="337">
        <v>-546</v>
      </c>
      <c r="I33" s="384">
        <v>-651</v>
      </c>
      <c r="J33" s="384">
        <v>-589</v>
      </c>
      <c r="K33" s="384">
        <v>-524</v>
      </c>
      <c r="L33" s="384">
        <v>-1074</v>
      </c>
      <c r="M33" s="384">
        <v>-38</v>
      </c>
      <c r="N33" s="384">
        <v>-2</v>
      </c>
      <c r="O33" s="384">
        <v>0</v>
      </c>
      <c r="P33" s="384">
        <v>0</v>
      </c>
      <c r="Q33" s="382">
        <v>0</v>
      </c>
    </row>
    <row r="34" ht="23" customHeight="1" spans="4:17">
      <c r="D34" s="343" t="s">
        <v>14</v>
      </c>
      <c r="E34" s="343"/>
      <c r="F34" s="343"/>
      <c r="G34" s="343"/>
      <c r="H34" s="344">
        <v>877</v>
      </c>
      <c r="I34" s="388">
        <v>1042</v>
      </c>
      <c r="J34" s="388">
        <v>2332</v>
      </c>
      <c r="K34" s="388">
        <v>1477</v>
      </c>
      <c r="L34" s="388">
        <v>1131</v>
      </c>
      <c r="M34" s="389">
        <f t="shared" ref="M34:Q34" si="32">M24*M13</f>
        <v>1832.50327763565</v>
      </c>
      <c r="N34" s="389">
        <f t="shared" si="32"/>
        <v>2024.08189425528</v>
      </c>
      <c r="O34" s="389">
        <f t="shared" si="32"/>
        <v>2206.8432431393</v>
      </c>
      <c r="P34" s="389">
        <f t="shared" si="32"/>
        <v>2001.92249252515</v>
      </c>
      <c r="Q34" s="413">
        <f t="shared" si="32"/>
        <v>2069.29646993956</v>
      </c>
    </row>
    <row r="35" ht="23" customHeight="1" spans="4:17">
      <c r="D35" s="338" t="s">
        <v>15</v>
      </c>
      <c r="E35" s="338"/>
      <c r="F35" s="338"/>
      <c r="G35" s="338"/>
      <c r="H35" s="345">
        <f t="shared" ref="H35:Q35" si="33">SUM(H32:H34)</f>
        <v>9546</v>
      </c>
      <c r="I35" s="390">
        <f t="shared" si="33"/>
        <v>12601</v>
      </c>
      <c r="J35" s="390">
        <f t="shared" si="33"/>
        <v>18421</v>
      </c>
      <c r="K35" s="390">
        <f t="shared" si="33"/>
        <v>18442</v>
      </c>
      <c r="L35" s="390">
        <f t="shared" si="33"/>
        <v>13048</v>
      </c>
      <c r="M35" s="383">
        <f t="shared" si="33"/>
        <v>21335.4456676786</v>
      </c>
      <c r="N35" s="383">
        <f t="shared" si="33"/>
        <v>23107.8894528963</v>
      </c>
      <c r="O35" s="383">
        <f t="shared" si="33"/>
        <v>24592.4628966907</v>
      </c>
      <c r="P35" s="383">
        <f t="shared" si="33"/>
        <v>24343.7773726315</v>
      </c>
      <c r="Q35" s="414">
        <f t="shared" si="33"/>
        <v>24768.1027322616</v>
      </c>
    </row>
    <row r="36" ht="23" customHeight="1" spans="4:17">
      <c r="D36" s="324" t="s">
        <v>16</v>
      </c>
      <c r="H36" s="337">
        <v>-1810</v>
      </c>
      <c r="I36" s="384">
        <v>-1105</v>
      </c>
      <c r="J36" s="384">
        <v>-2243</v>
      </c>
      <c r="K36" s="384">
        <v>-1640</v>
      </c>
      <c r="L36" s="384">
        <v>-2980</v>
      </c>
      <c r="M36" s="384">
        <f t="shared" ref="M36:Q36" si="34">-M35*M14</f>
        <v>-3056.84797501346</v>
      </c>
      <c r="N36" s="384">
        <f t="shared" si="34"/>
        <v>-3096.66590154371</v>
      </c>
      <c r="O36" s="384">
        <f t="shared" si="34"/>
        <v>-3523.42482121103</v>
      </c>
      <c r="P36" s="384">
        <f t="shared" si="34"/>
        <v>-3592.51874390578</v>
      </c>
      <c r="Q36" s="382">
        <f t="shared" si="34"/>
        <v>-3945.6531389419</v>
      </c>
    </row>
    <row r="37" s="315" customFormat="1" ht="23" customHeight="1" spans="4:17">
      <c r="D37" s="346" t="s">
        <v>17</v>
      </c>
      <c r="E37" s="346"/>
      <c r="F37" s="346"/>
      <c r="G37" s="346"/>
      <c r="H37" s="347">
        <f t="shared" ref="H37:Q37" si="35">SUM(H35:H36)</f>
        <v>7736</v>
      </c>
      <c r="I37" s="391">
        <f t="shared" si="35"/>
        <v>11496</v>
      </c>
      <c r="J37" s="391">
        <f t="shared" si="35"/>
        <v>16178</v>
      </c>
      <c r="K37" s="391">
        <f t="shared" si="35"/>
        <v>16802</v>
      </c>
      <c r="L37" s="391">
        <f t="shared" si="35"/>
        <v>10068</v>
      </c>
      <c r="M37" s="387">
        <f t="shared" si="35"/>
        <v>18278.5976926652</v>
      </c>
      <c r="N37" s="387">
        <f t="shared" si="35"/>
        <v>20011.2235513526</v>
      </c>
      <c r="O37" s="387">
        <f t="shared" si="35"/>
        <v>21069.0380754797</v>
      </c>
      <c r="P37" s="387">
        <f t="shared" si="35"/>
        <v>20751.2586287257</v>
      </c>
      <c r="Q37" s="412">
        <f t="shared" si="35"/>
        <v>20822.4495933197</v>
      </c>
    </row>
    <row r="38" s="313" customFormat="1" ht="23" customHeight="1" spans="4:17">
      <c r="D38" s="348"/>
      <c r="H38" s="349"/>
      <c r="K38" s="392"/>
      <c r="L38" s="393"/>
      <c r="M38" s="394"/>
      <c r="N38" s="394"/>
      <c r="O38" s="394"/>
      <c r="P38" s="394"/>
      <c r="Q38" s="415"/>
    </row>
    <row r="39" s="316" customFormat="1" ht="23" customHeight="1" spans="4:17">
      <c r="D39" s="350"/>
      <c r="H39" s="351"/>
      <c r="K39" s="395"/>
      <c r="L39" s="396"/>
      <c r="Q39" s="396"/>
    </row>
    <row r="40" s="314" customFormat="1" ht="23.4" spans="1:17">
      <c r="A40" s="329" t="s">
        <v>18</v>
      </c>
      <c r="H40" s="330"/>
      <c r="L40" s="368"/>
      <c r="Q40" s="368"/>
    </row>
    <row r="41" ht="23" customHeight="1" spans="2:17">
      <c r="B41" s="324" t="s">
        <v>19</v>
      </c>
      <c r="H41" s="352"/>
      <c r="K41" s="397"/>
      <c r="L41" s="398"/>
      <c r="Q41" s="380"/>
    </row>
    <row r="42" ht="23" customHeight="1" spans="3:17">
      <c r="C42" s="324" t="s">
        <v>20</v>
      </c>
      <c r="H42" s="352"/>
      <c r="K42" s="397"/>
      <c r="L42" s="398"/>
      <c r="Q42" s="380"/>
    </row>
    <row r="43" ht="23" customHeight="1" spans="4:17">
      <c r="D43" s="324" t="s">
        <v>21</v>
      </c>
      <c r="H43" s="352">
        <v>2491</v>
      </c>
      <c r="I43" s="324">
        <v>1759</v>
      </c>
      <c r="J43" s="324">
        <v>1742</v>
      </c>
      <c r="K43" s="399">
        <v>2322</v>
      </c>
      <c r="L43" s="400">
        <v>2738</v>
      </c>
      <c r="M43" s="324">
        <v>23098</v>
      </c>
      <c r="N43" s="324">
        <v>24528</v>
      </c>
      <c r="O43" s="324">
        <v>32020</v>
      </c>
      <c r="P43" s="324">
        <v>-7890</v>
      </c>
      <c r="Q43" s="380">
        <v>43662</v>
      </c>
    </row>
    <row r="44" ht="23" customHeight="1" spans="4:17">
      <c r="D44" s="324" t="s">
        <v>22</v>
      </c>
      <c r="H44" s="352">
        <v>4126</v>
      </c>
      <c r="I44" s="324">
        <v>9163</v>
      </c>
      <c r="J44" s="324">
        <v>18162</v>
      </c>
      <c r="K44" s="399">
        <v>23464</v>
      </c>
      <c r="L44" s="400">
        <v>23431</v>
      </c>
      <c r="M44" s="399">
        <f t="shared" ref="M44:Q44" si="36">L44</f>
        <v>23431</v>
      </c>
      <c r="N44" s="399">
        <f t="shared" si="36"/>
        <v>23431</v>
      </c>
      <c r="O44" s="399">
        <f t="shared" si="36"/>
        <v>23431</v>
      </c>
      <c r="P44" s="399">
        <f t="shared" si="36"/>
        <v>23431</v>
      </c>
      <c r="Q44" s="400">
        <f t="shared" si="36"/>
        <v>23431</v>
      </c>
    </row>
    <row r="45" ht="23" customHeight="1" spans="4:17">
      <c r="D45" s="324" t="s">
        <v>24</v>
      </c>
      <c r="H45" s="352">
        <v>12484</v>
      </c>
      <c r="I45" s="324">
        <v>16494</v>
      </c>
      <c r="J45" s="324">
        <v>16072</v>
      </c>
      <c r="K45" s="399">
        <v>18846</v>
      </c>
      <c r="L45" s="400">
        <v>21322</v>
      </c>
      <c r="M45" s="375">
        <f t="shared" ref="M45:Q45" si="37">M24*M16/365</f>
        <v>22420.1402792328</v>
      </c>
      <c r="N45" s="375">
        <f t="shared" si="37"/>
        <v>24139.7587328986</v>
      </c>
      <c r="O45" s="375">
        <f t="shared" si="37"/>
        <v>24979.6160836275</v>
      </c>
      <c r="P45" s="375">
        <f t="shared" si="37"/>
        <v>25989.4899431615</v>
      </c>
      <c r="Q45" s="374">
        <f t="shared" si="37"/>
        <v>26955.3740586026</v>
      </c>
    </row>
    <row r="46" ht="23" customHeight="1" spans="4:17">
      <c r="D46" s="324" t="s">
        <v>25</v>
      </c>
      <c r="H46" s="352">
        <v>14999</v>
      </c>
      <c r="I46" s="324">
        <v>18188</v>
      </c>
      <c r="J46" s="324">
        <v>23124</v>
      </c>
      <c r="K46" s="399">
        <v>30055</v>
      </c>
      <c r="L46" s="400">
        <v>26075</v>
      </c>
      <c r="M46" s="375">
        <f t="shared" ref="M46:Q46" si="38">-M25*M17/365</f>
        <v>29398.2028212154</v>
      </c>
      <c r="N46" s="375">
        <f t="shared" si="38"/>
        <v>32146.2943037729</v>
      </c>
      <c r="O46" s="375">
        <f t="shared" si="38"/>
        <v>34513.139630596</v>
      </c>
      <c r="P46" s="375">
        <f t="shared" si="38"/>
        <v>35601.1628103174</v>
      </c>
      <c r="Q46" s="374">
        <f t="shared" si="38"/>
        <v>35704.8441852738</v>
      </c>
    </row>
    <row r="47" ht="23" customHeight="1" spans="4:17">
      <c r="D47" s="324" t="s">
        <v>26</v>
      </c>
      <c r="H47" s="352">
        <v>4294</v>
      </c>
      <c r="I47" s="324">
        <v>5266</v>
      </c>
      <c r="J47" s="324">
        <v>5550</v>
      </c>
      <c r="K47" s="399">
        <v>6323</v>
      </c>
      <c r="L47" s="400">
        <v>7361</v>
      </c>
      <c r="M47" s="399">
        <f t="shared" ref="M47:Q47" si="39">L47</f>
        <v>7361</v>
      </c>
      <c r="N47" s="399">
        <f t="shared" si="39"/>
        <v>7361</v>
      </c>
      <c r="O47" s="399">
        <f t="shared" si="39"/>
        <v>7361</v>
      </c>
      <c r="P47" s="399">
        <f t="shared" si="39"/>
        <v>7361</v>
      </c>
      <c r="Q47" s="400">
        <f t="shared" si="39"/>
        <v>7361</v>
      </c>
    </row>
    <row r="48" s="317" customFormat="1" ht="23" customHeight="1" spans="3:17">
      <c r="C48" s="324"/>
      <c r="H48" s="353"/>
      <c r="K48" s="401"/>
      <c r="L48" s="393"/>
      <c r="Q48" s="416"/>
    </row>
    <row r="49" s="317" customFormat="1" ht="23" customHeight="1" spans="3:17">
      <c r="C49" s="324" t="s">
        <v>27</v>
      </c>
      <c r="H49" s="353"/>
      <c r="K49" s="397"/>
      <c r="L49" s="398"/>
      <c r="Q49" s="416"/>
    </row>
    <row r="50" ht="23" customHeight="1" spans="4:18">
      <c r="D50" s="324" t="s">
        <v>28</v>
      </c>
      <c r="H50" s="354">
        <v>26428</v>
      </c>
      <c r="I50" s="399">
        <v>28725</v>
      </c>
      <c r="J50" s="399">
        <v>27909</v>
      </c>
      <c r="K50" s="399">
        <v>28381</v>
      </c>
      <c r="L50" s="400">
        <v>25929</v>
      </c>
      <c r="M50" s="324">
        <v>26644</v>
      </c>
      <c r="N50" s="324">
        <v>26005</v>
      </c>
      <c r="O50" s="324">
        <v>25454</v>
      </c>
      <c r="P50" s="324">
        <v>24643</v>
      </c>
      <c r="Q50" s="325">
        <v>23702</v>
      </c>
      <c r="R50" s="352"/>
    </row>
    <row r="51" s="318" customFormat="1" ht="23" customHeight="1" spans="4:18">
      <c r="D51" s="355" t="s">
        <v>29</v>
      </c>
      <c r="E51" s="355"/>
      <c r="F51" s="355"/>
      <c r="G51" s="355"/>
      <c r="H51" s="356">
        <v>3806</v>
      </c>
      <c r="I51" s="402">
        <v>3985</v>
      </c>
      <c r="J51" s="402">
        <v>3954</v>
      </c>
      <c r="K51" s="402">
        <v>4031</v>
      </c>
      <c r="L51" s="403">
        <v>4132</v>
      </c>
      <c r="M51" s="356">
        <v>4132</v>
      </c>
      <c r="N51" s="403">
        <v>4132</v>
      </c>
      <c r="O51" s="403">
        <v>4132</v>
      </c>
      <c r="P51" s="403">
        <v>4132</v>
      </c>
      <c r="Q51" s="403">
        <v>4132</v>
      </c>
      <c r="R51" s="417"/>
    </row>
    <row r="52" s="315" customFormat="1" ht="23" customHeight="1" spans="4:18">
      <c r="D52" s="320" t="s">
        <v>30</v>
      </c>
      <c r="E52" s="320"/>
      <c r="F52" s="320"/>
      <c r="G52" s="320"/>
      <c r="H52" s="357">
        <v>5324</v>
      </c>
      <c r="I52" s="404">
        <v>5578</v>
      </c>
      <c r="J52" s="404">
        <v>6865</v>
      </c>
      <c r="K52" s="404">
        <v>12848</v>
      </c>
      <c r="L52" s="405">
        <v>12449</v>
      </c>
      <c r="M52" s="357">
        <v>12449</v>
      </c>
      <c r="N52" s="405">
        <v>12449</v>
      </c>
      <c r="O52" s="405">
        <v>12449</v>
      </c>
      <c r="P52" s="405">
        <v>12449</v>
      </c>
      <c r="Q52" s="405">
        <v>12449</v>
      </c>
      <c r="R52" s="418"/>
    </row>
    <row r="53" s="315" customFormat="1" ht="23" customHeight="1" spans="4:18">
      <c r="D53" s="320" t="s">
        <v>31</v>
      </c>
      <c r="E53" s="320"/>
      <c r="F53" s="320"/>
      <c r="G53" s="320"/>
      <c r="H53" s="357">
        <v>8131</v>
      </c>
      <c r="I53" s="404">
        <v>10275</v>
      </c>
      <c r="J53" s="404">
        <v>11814</v>
      </c>
      <c r="K53" s="404">
        <v>14422</v>
      </c>
      <c r="L53" s="405">
        <v>14130</v>
      </c>
      <c r="M53" s="357">
        <v>14130</v>
      </c>
      <c r="N53" s="405">
        <v>14130</v>
      </c>
      <c r="O53" s="405">
        <v>14130</v>
      </c>
      <c r="P53" s="405">
        <v>14130</v>
      </c>
      <c r="Q53" s="405">
        <v>14130</v>
      </c>
      <c r="R53" s="418"/>
    </row>
    <row r="54" s="319" customFormat="1" ht="23" customHeight="1" spans="4:18">
      <c r="D54" s="358" t="s">
        <v>32</v>
      </c>
      <c r="E54" s="359"/>
      <c r="F54" s="359"/>
      <c r="G54" s="359"/>
      <c r="H54" s="360">
        <f t="shared" ref="H54:Q54" si="40">SUM(H43:H53)</f>
        <v>82083</v>
      </c>
      <c r="I54" s="360">
        <f t="shared" si="40"/>
        <v>99433</v>
      </c>
      <c r="J54" s="360">
        <f t="shared" si="40"/>
        <v>115192</v>
      </c>
      <c r="K54" s="360">
        <f t="shared" si="40"/>
        <v>140692</v>
      </c>
      <c r="L54" s="360">
        <f t="shared" si="40"/>
        <v>137567</v>
      </c>
      <c r="M54" s="360">
        <f t="shared" si="40"/>
        <v>163063.343100448</v>
      </c>
      <c r="N54" s="360">
        <f t="shared" si="40"/>
        <v>168322.053036671</v>
      </c>
      <c r="O54" s="360">
        <f t="shared" si="40"/>
        <v>178469.755714224</v>
      </c>
      <c r="P54" s="360">
        <f t="shared" si="40"/>
        <v>139846.652753479</v>
      </c>
      <c r="Q54" s="360">
        <f t="shared" si="40"/>
        <v>191527.218243876</v>
      </c>
      <c r="R54" s="419"/>
    </row>
    <row r="55" ht="23" customHeight="1" spans="4:17">
      <c r="D55" s="324"/>
      <c r="F55" s="325"/>
      <c r="H55" s="354"/>
      <c r="I55" s="399"/>
      <c r="J55" s="399"/>
      <c r="K55" s="399"/>
      <c r="L55" s="400"/>
      <c r="Q55" s="380"/>
    </row>
    <row r="56" ht="23" customHeight="1" spans="2:17">
      <c r="B56" s="324" t="s">
        <v>33</v>
      </c>
      <c r="D56" s="324"/>
      <c r="H56" s="352"/>
      <c r="K56" s="392"/>
      <c r="L56" s="401"/>
      <c r="M56" s="352"/>
      <c r="Q56" s="380"/>
    </row>
    <row r="57" ht="23" customHeight="1" spans="3:17">
      <c r="C57" s="324" t="s">
        <v>34</v>
      </c>
      <c r="D57" s="324"/>
      <c r="H57" s="352"/>
      <c r="K57" s="397"/>
      <c r="L57" s="406"/>
      <c r="M57" s="352"/>
      <c r="Q57" s="380"/>
    </row>
    <row r="58" s="320" customFormat="1" ht="23" customHeight="1" spans="4:17">
      <c r="D58" s="320" t="s">
        <v>35</v>
      </c>
      <c r="H58" s="361">
        <v>9622.5</v>
      </c>
      <c r="I58" s="407">
        <v>9540.5</v>
      </c>
      <c r="J58" s="407">
        <v>10694</v>
      </c>
      <c r="K58" s="407">
        <v>11733</v>
      </c>
      <c r="L58" s="408">
        <v>11650</v>
      </c>
      <c r="M58" s="361">
        <f t="shared" ref="M58:Q58" si="41">-M25*M18/365</f>
        <v>14238.3447626893</v>
      </c>
      <c r="N58" s="407">
        <f t="shared" si="41"/>
        <v>14724.8336832217</v>
      </c>
      <c r="O58" s="407">
        <f t="shared" si="41"/>
        <v>15408.2425123168</v>
      </c>
      <c r="P58" s="407">
        <f t="shared" si="41"/>
        <v>15771.4367304198</v>
      </c>
      <c r="Q58" s="420">
        <f t="shared" si="41"/>
        <v>16271.9009528896</v>
      </c>
    </row>
    <row r="59" ht="23" customHeight="1" spans="3:17">
      <c r="C59" s="316"/>
      <c r="D59" s="324" t="s">
        <v>36</v>
      </c>
      <c r="H59" s="333">
        <v>5840.5</v>
      </c>
      <c r="I59" s="375">
        <v>7857.5</v>
      </c>
      <c r="J59" s="375">
        <v>8403</v>
      </c>
      <c r="K59" s="375">
        <v>10396</v>
      </c>
      <c r="L59" s="373">
        <v>12157</v>
      </c>
      <c r="M59" s="333">
        <v>12157</v>
      </c>
      <c r="N59" s="373">
        <v>12157</v>
      </c>
      <c r="O59" s="373">
        <v>12157</v>
      </c>
      <c r="P59" s="373">
        <v>12157</v>
      </c>
      <c r="Q59" s="374">
        <v>12157</v>
      </c>
    </row>
    <row r="60" ht="23" customHeight="1" spans="3:17">
      <c r="C60" s="316" t="s">
        <v>37</v>
      </c>
      <c r="D60" s="324"/>
      <c r="H60" s="333"/>
      <c r="I60" s="375"/>
      <c r="J60" s="375"/>
      <c r="K60" s="375"/>
      <c r="L60" s="373"/>
      <c r="M60" s="352"/>
      <c r="Q60" s="380"/>
    </row>
    <row r="61" ht="23" customHeight="1" spans="4:17">
      <c r="D61" s="324" t="s">
        <v>38</v>
      </c>
      <c r="H61" s="333">
        <v>9025</v>
      </c>
      <c r="I61" s="375">
        <v>16627.5</v>
      </c>
      <c r="J61" s="375">
        <v>17222</v>
      </c>
      <c r="K61" s="375">
        <v>26017.5</v>
      </c>
      <c r="L61" s="373">
        <v>13966</v>
      </c>
      <c r="M61" s="352">
        <v>13967</v>
      </c>
      <c r="N61" s="324">
        <v>13967</v>
      </c>
      <c r="O61" s="324">
        <v>13967</v>
      </c>
      <c r="P61" s="324">
        <v>13967</v>
      </c>
      <c r="Q61" s="380">
        <v>13967</v>
      </c>
    </row>
    <row r="62" ht="23" customHeight="1" spans="4:17">
      <c r="D62" s="362" t="s">
        <v>39</v>
      </c>
      <c r="E62" s="362"/>
      <c r="F62" s="362"/>
      <c r="G62" s="362"/>
      <c r="H62" s="333">
        <v>1874</v>
      </c>
      <c r="I62" s="373">
        <v>2318</v>
      </c>
      <c r="J62" s="373">
        <v>3292.5</v>
      </c>
      <c r="K62" s="373">
        <v>4071.5</v>
      </c>
      <c r="L62" s="373">
        <v>5441</v>
      </c>
      <c r="M62" s="333">
        <v>5441</v>
      </c>
      <c r="N62" s="373">
        <v>5441</v>
      </c>
      <c r="O62" s="373">
        <v>5441</v>
      </c>
      <c r="P62" s="373">
        <v>5441</v>
      </c>
      <c r="Q62" s="374">
        <v>5441</v>
      </c>
    </row>
    <row r="63" s="316" customFormat="1" ht="23" customHeight="1" spans="4:17">
      <c r="D63" s="363" t="s">
        <v>40</v>
      </c>
      <c r="E63" s="363"/>
      <c r="F63" s="363"/>
      <c r="G63" s="363"/>
      <c r="H63" s="364">
        <f t="shared" ref="H63:Q63" si="42">SUM(H58:H62)</f>
        <v>26362</v>
      </c>
      <c r="I63" s="409">
        <f t="shared" si="42"/>
        <v>36343.5</v>
      </c>
      <c r="J63" s="409">
        <f t="shared" si="42"/>
        <v>39611.5</v>
      </c>
      <c r="K63" s="409">
        <f t="shared" si="42"/>
        <v>52218</v>
      </c>
      <c r="L63" s="409">
        <f t="shared" si="42"/>
        <v>43214</v>
      </c>
      <c r="M63" s="364">
        <f t="shared" si="42"/>
        <v>45803.3447626893</v>
      </c>
      <c r="N63" s="409">
        <f t="shared" si="42"/>
        <v>46289.8336832217</v>
      </c>
      <c r="O63" s="409">
        <f t="shared" si="42"/>
        <v>46973.2425123168</v>
      </c>
      <c r="P63" s="409">
        <f t="shared" si="42"/>
        <v>47336.4367304198</v>
      </c>
      <c r="Q63" s="421">
        <f t="shared" si="42"/>
        <v>47836.9009528896</v>
      </c>
    </row>
    <row r="64" ht="23" customHeight="1" spans="3:17">
      <c r="C64" s="313" t="s">
        <v>41</v>
      </c>
      <c r="D64" s="324"/>
      <c r="H64" s="333"/>
      <c r="I64" s="375"/>
      <c r="J64" s="375"/>
      <c r="K64" s="375"/>
      <c r="L64" s="373"/>
      <c r="M64" s="352"/>
      <c r="Q64" s="380"/>
    </row>
    <row r="65" ht="23" customHeight="1" spans="4:17">
      <c r="D65" s="324" t="s">
        <v>42</v>
      </c>
      <c r="H65" s="333">
        <v>239.5</v>
      </c>
      <c r="I65" s="375">
        <v>239</v>
      </c>
      <c r="J65" s="375">
        <v>239</v>
      </c>
      <c r="K65" s="375">
        <v>239.5</v>
      </c>
      <c r="L65" s="373">
        <v>239</v>
      </c>
      <c r="M65" s="333">
        <v>239</v>
      </c>
      <c r="N65" s="373">
        <v>239</v>
      </c>
      <c r="O65" s="373">
        <v>239</v>
      </c>
      <c r="P65" s="373">
        <v>239</v>
      </c>
      <c r="Q65" s="374">
        <v>239</v>
      </c>
    </row>
    <row r="66" s="315" customFormat="1" ht="23" customHeight="1" spans="4:17">
      <c r="D66" s="320" t="s">
        <v>43</v>
      </c>
      <c r="E66" s="320"/>
      <c r="F66" s="320"/>
      <c r="G66" s="320"/>
      <c r="H66" s="361">
        <v>54154.5</v>
      </c>
      <c r="I66" s="408">
        <v>61367</v>
      </c>
      <c r="J66" s="408">
        <v>73528.5</v>
      </c>
      <c r="K66" s="408">
        <v>86139.5</v>
      </c>
      <c r="L66" s="408">
        <v>90213</v>
      </c>
      <c r="M66" s="430">
        <f t="array" ref="M66">L66+M37-M91</f>
        <v>102464.547163099</v>
      </c>
      <c r="N66" s="431">
        <f t="array" ref="N66">M66+N37-N91</f>
        <v>115688.162933821</v>
      </c>
      <c r="O66" s="431">
        <f t="array" ref="O66">N66+O37-O91</f>
        <v>129792.479169254</v>
      </c>
      <c r="P66" s="431">
        <f t="array" ref="P66">O66+P37-P91</f>
        <v>143170.756884009</v>
      </c>
      <c r="Q66" s="439">
        <f t="array" ref="Q66">P66+Q37-Q91</f>
        <v>156160.983989575</v>
      </c>
    </row>
    <row r="67" s="321" customFormat="1" ht="23" customHeight="1" spans="4:17">
      <c r="D67" s="321" t="s">
        <v>41</v>
      </c>
      <c r="H67" s="422">
        <f t="shared" ref="H67:Q67" si="43">SUM(H65:H66)</f>
        <v>54394</v>
      </c>
      <c r="I67" s="432">
        <f t="shared" si="43"/>
        <v>61606</v>
      </c>
      <c r="J67" s="432">
        <f t="shared" si="43"/>
        <v>73767.5</v>
      </c>
      <c r="K67" s="432">
        <f t="shared" si="43"/>
        <v>86379</v>
      </c>
      <c r="L67" s="432">
        <f t="shared" si="43"/>
        <v>90452</v>
      </c>
      <c r="M67" s="422">
        <f t="shared" si="43"/>
        <v>102703.547163099</v>
      </c>
      <c r="N67" s="432">
        <f t="shared" si="43"/>
        <v>115927.162933821</v>
      </c>
      <c r="O67" s="432">
        <f t="shared" si="43"/>
        <v>130031.479169254</v>
      </c>
      <c r="P67" s="432">
        <f t="shared" si="43"/>
        <v>143409.756884009</v>
      </c>
      <c r="Q67" s="440">
        <f t="shared" si="43"/>
        <v>156399.983989575</v>
      </c>
    </row>
    <row r="68" ht="23" customHeight="1" spans="4:17">
      <c r="D68" s="362" t="s">
        <v>44</v>
      </c>
      <c r="E68" s="362"/>
      <c r="F68" s="325"/>
      <c r="G68" s="325"/>
      <c r="H68" s="333">
        <v>1326.5</v>
      </c>
      <c r="I68" s="373">
        <v>1483</v>
      </c>
      <c r="J68" s="373">
        <v>1812.5</v>
      </c>
      <c r="K68" s="373">
        <v>2094.5</v>
      </c>
      <c r="L68" s="373">
        <v>3897</v>
      </c>
      <c r="M68" s="333">
        <v>3897</v>
      </c>
      <c r="N68" s="373">
        <v>3897</v>
      </c>
      <c r="O68" s="373">
        <v>3897</v>
      </c>
      <c r="P68" s="373">
        <v>3897</v>
      </c>
      <c r="Q68" s="374">
        <v>3897</v>
      </c>
    </row>
    <row r="69" s="322" customFormat="1" ht="23" customHeight="1" spans="4:17">
      <c r="D69" s="423" t="s">
        <v>45</v>
      </c>
      <c r="E69" s="423"/>
      <c r="F69" s="359"/>
      <c r="G69" s="359"/>
      <c r="H69" s="424">
        <f t="shared" ref="H69:Q69" si="44">SUM(H63+H67+H68)</f>
        <v>82082.5</v>
      </c>
      <c r="I69" s="433">
        <f t="shared" si="44"/>
        <v>99432.5</v>
      </c>
      <c r="J69" s="433">
        <f t="shared" si="44"/>
        <v>115191.5</v>
      </c>
      <c r="K69" s="433">
        <f t="shared" si="44"/>
        <v>140691.5</v>
      </c>
      <c r="L69" s="434">
        <f t="shared" si="44"/>
        <v>137563</v>
      </c>
      <c r="M69" s="424">
        <f t="shared" si="44"/>
        <v>152403.891925788</v>
      </c>
      <c r="N69" s="433">
        <f t="shared" si="44"/>
        <v>166113.996617042</v>
      </c>
      <c r="O69" s="433">
        <f t="shared" si="44"/>
        <v>180901.721681571</v>
      </c>
      <c r="P69" s="433">
        <f t="shared" si="44"/>
        <v>194643.193614429</v>
      </c>
      <c r="Q69" s="441">
        <f t="shared" si="44"/>
        <v>208133.884942464</v>
      </c>
    </row>
    <row r="70" ht="23" customHeight="1" spans="4:17">
      <c r="D70" s="324"/>
      <c r="H70" s="352"/>
      <c r="M70" s="354">
        <f t="shared" ref="M70:Q70" si="45">M54-M69</f>
        <v>10659.4511746604</v>
      </c>
      <c r="N70" s="354">
        <f t="shared" si="45"/>
        <v>2208.05641962923</v>
      </c>
      <c r="O70" s="354">
        <f t="shared" si="45"/>
        <v>-2431.965967347</v>
      </c>
      <c r="P70" s="354">
        <f t="shared" si="45"/>
        <v>-54796.54086095</v>
      </c>
      <c r="Q70" s="354">
        <f t="shared" si="45"/>
        <v>-16606.6666985881</v>
      </c>
    </row>
    <row r="71" ht="23" customHeight="1" spans="4:17">
      <c r="D71" s="324"/>
      <c r="H71" s="352"/>
      <c r="L71" s="398"/>
      <c r="Q71" s="380"/>
    </row>
    <row r="72" s="314" customFormat="1" ht="23.4" spans="1:17">
      <c r="A72" s="329"/>
      <c r="B72" s="314" t="s">
        <v>46</v>
      </c>
      <c r="H72" s="330"/>
      <c r="L72" s="368"/>
      <c r="Q72" s="368"/>
    </row>
    <row r="73" s="313" customFormat="1" ht="23" customHeight="1" spans="3:17">
      <c r="C73" s="348" t="s">
        <v>47</v>
      </c>
      <c r="H73" s="349"/>
      <c r="K73" s="392"/>
      <c r="L73" s="393"/>
      <c r="Q73" s="411"/>
    </row>
    <row r="74" ht="23" customHeight="1" spans="4:17">
      <c r="D74" s="324" t="s">
        <v>17</v>
      </c>
      <c r="H74" s="352">
        <v>7036</v>
      </c>
      <c r="I74" s="324">
        <v>9764</v>
      </c>
      <c r="J74" s="324">
        <v>14414</v>
      </c>
      <c r="K74" s="397">
        <v>14474</v>
      </c>
      <c r="L74" s="398">
        <v>10314</v>
      </c>
      <c r="M74" s="408">
        <v>20878</v>
      </c>
      <c r="N74" s="408">
        <v>26124</v>
      </c>
      <c r="O74" s="408">
        <v>30564</v>
      </c>
      <c r="P74" s="408">
        <v>32822</v>
      </c>
      <c r="Q74" s="420">
        <v>35233</v>
      </c>
    </row>
    <row r="75" ht="23" customHeight="1" spans="4:17">
      <c r="D75" s="324" t="s">
        <v>48</v>
      </c>
      <c r="H75" s="352">
        <v>1932</v>
      </c>
      <c r="I75" s="324">
        <v>2528</v>
      </c>
      <c r="J75" s="324">
        <v>2746</v>
      </c>
      <c r="K75" s="397">
        <v>3040</v>
      </c>
      <c r="L75" s="398">
        <v>3104</v>
      </c>
      <c r="M75" s="324">
        <v>2124</v>
      </c>
      <c r="N75" s="324">
        <v>2567</v>
      </c>
      <c r="O75" s="324">
        <v>2559</v>
      </c>
      <c r="P75" s="324">
        <v>2523</v>
      </c>
      <c r="Q75" s="380">
        <v>2397</v>
      </c>
    </row>
    <row r="76" customHeight="1" spans="4:17">
      <c r="D76" s="324" t="s">
        <v>49</v>
      </c>
      <c r="H76" s="352">
        <v>232</v>
      </c>
      <c r="I76" s="324">
        <v>31</v>
      </c>
      <c r="J76" s="324">
        <v>-1099</v>
      </c>
      <c r="K76" s="324">
        <v>-954</v>
      </c>
      <c r="L76" s="380">
        <v>139</v>
      </c>
      <c r="M76" s="375">
        <f t="shared" ref="M76:Q76" si="46">-M33-M34</f>
        <v>-1794.50327763565</v>
      </c>
      <c r="N76" s="375">
        <f t="shared" si="46"/>
        <v>-2022.08189425528</v>
      </c>
      <c r="O76" s="375">
        <f t="shared" si="46"/>
        <v>-2206.8432431393</v>
      </c>
      <c r="P76" s="375">
        <f t="shared" si="46"/>
        <v>-2001.92249252515</v>
      </c>
      <c r="Q76" s="374">
        <f t="shared" si="46"/>
        <v>-2069.29646993956</v>
      </c>
    </row>
    <row r="77" s="313" customFormat="1" customHeight="1" spans="4:17">
      <c r="D77" s="324" t="s">
        <v>50</v>
      </c>
      <c r="H77" s="352">
        <v>-1403</v>
      </c>
      <c r="I77" s="324">
        <v>-6472</v>
      </c>
      <c r="J77" s="324">
        <v>-3412</v>
      </c>
      <c r="K77" s="397">
        <v>-5450</v>
      </c>
      <c r="L77" s="398">
        <v>3268</v>
      </c>
      <c r="M77" s="324">
        <v>-6686</v>
      </c>
      <c r="N77" s="324">
        <v>-10555</v>
      </c>
      <c r="O77" s="324">
        <v>-9092</v>
      </c>
      <c r="P77" s="324">
        <v>-7890</v>
      </c>
      <c r="Q77" s="380">
        <v>-5691</v>
      </c>
    </row>
    <row r="78" s="316" customFormat="1" customHeight="1" spans="4:17">
      <c r="D78" s="339" t="s">
        <v>51</v>
      </c>
      <c r="E78" s="339"/>
      <c r="F78" s="339"/>
      <c r="G78" s="339"/>
      <c r="H78" s="425">
        <f t="shared" ref="H78:Q78" si="47">SUM(H74:H77)</f>
        <v>7797</v>
      </c>
      <c r="I78" s="425">
        <f t="shared" si="47"/>
        <v>5851</v>
      </c>
      <c r="J78" s="425">
        <f t="shared" si="47"/>
        <v>12649</v>
      </c>
      <c r="K78" s="425">
        <f t="shared" si="47"/>
        <v>11110</v>
      </c>
      <c r="L78" s="425">
        <f t="shared" si="47"/>
        <v>16825</v>
      </c>
      <c r="M78" s="409">
        <f t="shared" si="47"/>
        <v>14521.4967223644</v>
      </c>
      <c r="N78" s="409">
        <f t="shared" si="47"/>
        <v>16113.9181057447</v>
      </c>
      <c r="O78" s="409">
        <f t="shared" si="47"/>
        <v>21824.1567568607</v>
      </c>
      <c r="P78" s="409">
        <f t="shared" si="47"/>
        <v>25453.0775074748</v>
      </c>
      <c r="Q78" s="409">
        <f t="shared" si="47"/>
        <v>29869.7035300604</v>
      </c>
    </row>
    <row r="79" s="323" customFormat="1" customHeight="1" spans="8:17">
      <c r="H79" s="426"/>
      <c r="K79" s="435"/>
      <c r="L79" s="436"/>
      <c r="Q79" s="442"/>
    </row>
    <row r="80" customHeight="1" spans="3:17">
      <c r="C80" s="348" t="s">
        <v>52</v>
      </c>
      <c r="D80" s="324"/>
      <c r="H80" s="352"/>
      <c r="L80" s="380"/>
      <c r="Q80" s="380"/>
    </row>
    <row r="81" customHeight="1" spans="4:17">
      <c r="D81" s="324" t="s">
        <v>53</v>
      </c>
      <c r="H81" s="352">
        <v>-5291</v>
      </c>
      <c r="I81" s="324">
        <v>-3631</v>
      </c>
      <c r="J81" s="324">
        <v>-1949</v>
      </c>
      <c r="K81" s="324">
        <v>-3389</v>
      </c>
      <c r="L81" s="380">
        <v>-2329</v>
      </c>
      <c r="M81" s="373">
        <v>-2839</v>
      </c>
      <c r="N81" s="325">
        <v>-2459</v>
      </c>
      <c r="O81" s="325">
        <v>-2114</v>
      </c>
      <c r="P81" s="325">
        <v>-1804</v>
      </c>
      <c r="Q81" s="380">
        <v>-1530</v>
      </c>
    </row>
    <row r="82" customHeight="1" spans="4:17">
      <c r="D82" s="324" t="s">
        <v>54</v>
      </c>
      <c r="H82" s="352">
        <v>22</v>
      </c>
      <c r="I82" s="324">
        <v>155</v>
      </c>
      <c r="J82" s="324">
        <v>105</v>
      </c>
      <c r="K82" s="324">
        <v>109</v>
      </c>
      <c r="L82" s="380">
        <v>32</v>
      </c>
      <c r="Q82" s="380"/>
    </row>
    <row r="83" customHeight="1" spans="4:17">
      <c r="D83" s="324" t="s">
        <v>55</v>
      </c>
      <c r="H83" s="352">
        <v>1662</v>
      </c>
      <c r="I83" s="324">
        <v>-4454</v>
      </c>
      <c r="J83" s="324">
        <v>-8935</v>
      </c>
      <c r="K83" s="324">
        <v>-12051</v>
      </c>
      <c r="L83" s="380">
        <v>1955</v>
      </c>
      <c r="M83" s="399">
        <f t="shared" ref="M83:P83" si="48">M52-N52</f>
        <v>0</v>
      </c>
      <c r="N83" s="399">
        <f t="shared" si="48"/>
        <v>0</v>
      </c>
      <c r="O83" s="399">
        <f t="shared" si="48"/>
        <v>0</v>
      </c>
      <c r="P83" s="399">
        <f t="shared" si="48"/>
        <v>0</v>
      </c>
      <c r="Q83" s="400">
        <v>0</v>
      </c>
    </row>
    <row r="84" customHeight="1" spans="4:17">
      <c r="D84" s="324" t="s">
        <v>56</v>
      </c>
      <c r="H84" s="352">
        <v>1</v>
      </c>
      <c r="I84" s="324">
        <v>1</v>
      </c>
      <c r="J84" s="324">
        <v>0</v>
      </c>
      <c r="K84" s="324">
        <v>2</v>
      </c>
      <c r="L84" s="380">
        <v>2</v>
      </c>
      <c r="M84" s="324">
        <v>0</v>
      </c>
      <c r="N84" s="324">
        <v>0</v>
      </c>
      <c r="O84" s="324">
        <v>0</v>
      </c>
      <c r="P84" s="324">
        <v>0</v>
      </c>
      <c r="Q84" s="380">
        <v>0</v>
      </c>
    </row>
    <row r="85" customHeight="1" spans="4:17">
      <c r="D85" s="324" t="s">
        <v>57</v>
      </c>
      <c r="H85" s="352">
        <v>437</v>
      </c>
      <c r="I85" s="324">
        <v>509</v>
      </c>
      <c r="J85" s="324">
        <v>786</v>
      </c>
      <c r="K85" s="324">
        <v>978</v>
      </c>
      <c r="L85" s="380">
        <v>1469</v>
      </c>
      <c r="M85" s="375" cm="1">
        <f t="array" ref="M85:Q85">M34:Q34</f>
        <v>1832.50327763565</v>
      </c>
      <c r="N85" s="375">
        <v>2024.08189425528</v>
      </c>
      <c r="O85" s="375">
        <v>2206.8432431393</v>
      </c>
      <c r="P85" s="375">
        <v>2001.92249252515</v>
      </c>
      <c r="Q85" s="374">
        <v>2069.29646993956</v>
      </c>
    </row>
    <row r="86" customHeight="1" spans="4:17">
      <c r="D86" s="324" t="s">
        <v>58</v>
      </c>
      <c r="H86" s="352">
        <v>5</v>
      </c>
      <c r="I86" s="324">
        <v>7</v>
      </c>
      <c r="J86" s="324">
        <v>8</v>
      </c>
      <c r="K86" s="324">
        <v>0</v>
      </c>
      <c r="L86" s="380">
        <v>0</v>
      </c>
      <c r="M86" s="324">
        <v>0</v>
      </c>
      <c r="N86" s="324">
        <v>0</v>
      </c>
      <c r="O86" s="324">
        <v>0</v>
      </c>
      <c r="P86" s="324">
        <v>0</v>
      </c>
      <c r="Q86" s="380">
        <v>0</v>
      </c>
    </row>
    <row r="87" s="316" customFormat="1" customHeight="1" spans="4:17">
      <c r="D87" s="339" t="s">
        <v>59</v>
      </c>
      <c r="E87" s="339"/>
      <c r="F87" s="339"/>
      <c r="G87" s="339"/>
      <c r="H87" s="425">
        <f t="shared" ref="H87:Q87" si="49">SUM(H81:H86)</f>
        <v>-3164</v>
      </c>
      <c r="I87" s="387">
        <f t="shared" si="49"/>
        <v>-7413</v>
      </c>
      <c r="J87" s="387">
        <f t="shared" si="49"/>
        <v>-9985</v>
      </c>
      <c r="K87" s="387">
        <f t="shared" si="49"/>
        <v>-14351</v>
      </c>
      <c r="L87" s="387">
        <f t="shared" si="49"/>
        <v>1129</v>
      </c>
      <c r="M87" s="364">
        <f t="shared" si="49"/>
        <v>-1006.49672236435</v>
      </c>
      <c r="N87" s="409">
        <f t="shared" si="49"/>
        <v>-434.918105744723</v>
      </c>
      <c r="O87" s="409">
        <f t="shared" si="49"/>
        <v>92.8432431393016</v>
      </c>
      <c r="P87" s="409">
        <f t="shared" si="49"/>
        <v>197.922492525154</v>
      </c>
      <c r="Q87" s="421">
        <f t="shared" si="49"/>
        <v>539.29646993956</v>
      </c>
    </row>
    <row r="88" customHeight="1" spans="3:17">
      <c r="C88" s="348" t="s">
        <v>60</v>
      </c>
      <c r="D88" s="324"/>
      <c r="H88" s="352"/>
      <c r="L88" s="380"/>
      <c r="Q88" s="380"/>
    </row>
    <row r="89" customHeight="1" spans="4:17">
      <c r="D89" s="324" t="s">
        <v>61</v>
      </c>
      <c r="H89" s="352">
        <v>-1057</v>
      </c>
      <c r="I89" s="324">
        <v>5837</v>
      </c>
      <c r="J89" s="324">
        <v>1166</v>
      </c>
      <c r="K89" s="324">
        <v>8416</v>
      </c>
      <c r="L89" s="380">
        <v>-13023</v>
      </c>
      <c r="M89" s="324">
        <v>0</v>
      </c>
      <c r="N89" s="324">
        <v>0</v>
      </c>
      <c r="O89" s="324">
        <v>0</v>
      </c>
      <c r="P89" s="324">
        <v>0</v>
      </c>
      <c r="Q89" s="380">
        <v>0</v>
      </c>
    </row>
    <row r="90" customHeight="1" spans="4:17">
      <c r="D90" s="324" t="s">
        <v>62</v>
      </c>
      <c r="H90" s="352">
        <v>0</v>
      </c>
      <c r="I90" s="324">
        <v>0</v>
      </c>
      <c r="J90" s="324">
        <v>0</v>
      </c>
      <c r="K90" s="324">
        <v>0</v>
      </c>
      <c r="L90" s="380">
        <v>1614</v>
      </c>
      <c r="M90" s="324">
        <v>0</v>
      </c>
      <c r="N90" s="324">
        <v>0</v>
      </c>
      <c r="O90" s="324">
        <v>0</v>
      </c>
      <c r="P90" s="324">
        <v>0</v>
      </c>
      <c r="Q90" s="380">
        <v>0</v>
      </c>
    </row>
    <row r="91" customHeight="1" spans="4:17">
      <c r="D91" s="324" t="s">
        <v>63</v>
      </c>
      <c r="H91" s="352">
        <v>-2185</v>
      </c>
      <c r="I91" s="324">
        <v>-4395</v>
      </c>
      <c r="J91" s="324">
        <v>-3347</v>
      </c>
      <c r="K91" s="324">
        <v>-4219</v>
      </c>
      <c r="L91" s="380">
        <v>-5295</v>
      </c>
      <c r="M91" s="375">
        <f t="shared" ref="M91:Q91" si="50">M37*M15</f>
        <v>6027.05052956664</v>
      </c>
      <c r="N91" s="375">
        <f t="shared" si="50"/>
        <v>6787.60778063052</v>
      </c>
      <c r="O91" s="375">
        <f t="shared" si="50"/>
        <v>6964.72184004653</v>
      </c>
      <c r="P91" s="375">
        <f t="shared" si="50"/>
        <v>7372.98091397038</v>
      </c>
      <c r="Q91" s="374">
        <f t="shared" si="50"/>
        <v>7832.2224877539</v>
      </c>
    </row>
    <row r="92" customHeight="1" spans="4:17">
      <c r="D92" s="324" t="s">
        <v>64</v>
      </c>
      <c r="H92" s="352">
        <v>-546</v>
      </c>
      <c r="I92" s="324">
        <v>-650</v>
      </c>
      <c r="J92" s="324">
        <v>-536</v>
      </c>
      <c r="K92" s="324">
        <v>-401</v>
      </c>
      <c r="L92" s="380">
        <v>-905</v>
      </c>
      <c r="M92" s="324">
        <v>-38</v>
      </c>
      <c r="N92" s="324">
        <v>-2</v>
      </c>
      <c r="O92" s="324">
        <v>0</v>
      </c>
      <c r="P92" s="324">
        <v>0</v>
      </c>
      <c r="Q92" s="380">
        <v>0</v>
      </c>
    </row>
    <row r="93" s="313" customFormat="1" customHeight="1" spans="4:18">
      <c r="D93" s="339" t="s">
        <v>65</v>
      </c>
      <c r="E93" s="394"/>
      <c r="F93" s="394"/>
      <c r="G93" s="394"/>
      <c r="H93" s="425">
        <f t="shared" ref="H93:Q93" si="51">SUM(H89:H92)</f>
        <v>-3788</v>
      </c>
      <c r="I93" s="387">
        <f t="shared" si="51"/>
        <v>792</v>
      </c>
      <c r="J93" s="387">
        <f t="shared" si="51"/>
        <v>-2717</v>
      </c>
      <c r="K93" s="387">
        <f t="shared" si="51"/>
        <v>3796</v>
      </c>
      <c r="L93" s="387">
        <f t="shared" si="51"/>
        <v>-17609</v>
      </c>
      <c r="M93" s="364">
        <f t="shared" si="51"/>
        <v>5989.05052956664</v>
      </c>
      <c r="N93" s="409">
        <f t="shared" si="51"/>
        <v>6785.60778063052</v>
      </c>
      <c r="O93" s="409">
        <f t="shared" si="51"/>
        <v>6964.72184004653</v>
      </c>
      <c r="P93" s="409">
        <f t="shared" si="51"/>
        <v>7372.98091397038</v>
      </c>
      <c r="Q93" s="409">
        <f t="shared" si="51"/>
        <v>7832.2224877539</v>
      </c>
      <c r="R93" s="349"/>
    </row>
    <row r="94" customHeight="1" spans="4:18">
      <c r="D94" s="324"/>
      <c r="H94" s="352"/>
      <c r="M94" s="352"/>
      <c r="N94" s="325"/>
      <c r="O94" s="325"/>
      <c r="P94" s="325"/>
      <c r="Q94" s="325"/>
      <c r="R94" s="352"/>
    </row>
    <row r="95" customHeight="1" spans="4:18">
      <c r="D95" s="324" t="s">
        <v>66</v>
      </c>
      <c r="H95" s="352">
        <v>843</v>
      </c>
      <c r="I95" s="324">
        <v>-771</v>
      </c>
      <c r="J95" s="324">
        <v>-53</v>
      </c>
      <c r="K95" s="324">
        <v>554</v>
      </c>
      <c r="L95" s="325">
        <v>345</v>
      </c>
      <c r="M95" s="333">
        <f t="shared" ref="M95:Q95" si="52">M93+M87+M78</f>
        <v>19504.0505295666</v>
      </c>
      <c r="N95" s="373">
        <f t="shared" si="52"/>
        <v>22464.6077806305</v>
      </c>
      <c r="O95" s="373">
        <f t="shared" si="52"/>
        <v>28881.7218400465</v>
      </c>
      <c r="P95" s="373">
        <f t="shared" si="52"/>
        <v>33023.9809139704</v>
      </c>
      <c r="Q95" s="373">
        <f t="shared" si="52"/>
        <v>38241.2224877539</v>
      </c>
      <c r="R95" s="352"/>
    </row>
    <row r="96" customHeight="1" spans="4:18">
      <c r="D96" s="324" t="s">
        <v>67</v>
      </c>
      <c r="H96" s="352">
        <v>1647</v>
      </c>
      <c r="I96" s="324">
        <v>2530</v>
      </c>
      <c r="J96" s="324">
        <v>1796</v>
      </c>
      <c r="K96" s="324">
        <v>1767</v>
      </c>
      <c r="L96" s="325">
        <v>2392</v>
      </c>
      <c r="M96" s="352">
        <f>L97</f>
        <v>2737</v>
      </c>
      <c r="N96" s="325">
        <v>0</v>
      </c>
      <c r="O96" s="325">
        <v>0</v>
      </c>
      <c r="P96" s="325">
        <v>0</v>
      </c>
      <c r="Q96" s="325">
        <v>0</v>
      </c>
      <c r="R96" s="352"/>
    </row>
    <row r="97" s="316" customFormat="1" customHeight="1" spans="4:18">
      <c r="D97" s="339" t="s">
        <v>68</v>
      </c>
      <c r="E97" s="339"/>
      <c r="F97" s="339"/>
      <c r="G97" s="339"/>
      <c r="H97" s="425">
        <f t="shared" ref="H97:Q97" si="53">SUM(H95:H96)</f>
        <v>2490</v>
      </c>
      <c r="I97" s="387">
        <f t="shared" si="53"/>
        <v>1759</v>
      </c>
      <c r="J97" s="387">
        <f t="shared" si="53"/>
        <v>1743</v>
      </c>
      <c r="K97" s="387">
        <f t="shared" si="53"/>
        <v>2321</v>
      </c>
      <c r="L97" s="387">
        <f t="shared" si="53"/>
        <v>2737</v>
      </c>
      <c r="M97" s="364">
        <f t="shared" si="53"/>
        <v>22241.0505295666</v>
      </c>
      <c r="N97" s="409">
        <f t="shared" si="53"/>
        <v>22464.6077806305</v>
      </c>
      <c r="O97" s="409">
        <f t="shared" si="53"/>
        <v>28881.7218400465</v>
      </c>
      <c r="P97" s="409">
        <f t="shared" si="53"/>
        <v>33023.9809139704</v>
      </c>
      <c r="Q97" s="409">
        <f t="shared" si="53"/>
        <v>38241.2224877539</v>
      </c>
      <c r="R97" s="351"/>
    </row>
    <row r="98" customHeight="1" spans="4:17">
      <c r="D98" s="324"/>
      <c r="H98" s="352"/>
      <c r="L98" s="380"/>
      <c r="Q98" s="380"/>
    </row>
    <row r="99" customHeight="1" spans="4:17">
      <c r="D99" s="324"/>
      <c r="H99" s="352"/>
      <c r="L99" s="380"/>
      <c r="Q99" s="380"/>
    </row>
    <row r="100" s="314" customFormat="1" customHeight="1" spans="1:17">
      <c r="A100" s="329"/>
      <c r="B100" s="314" t="s">
        <v>87</v>
      </c>
      <c r="H100" s="330"/>
      <c r="L100" s="368"/>
      <c r="Q100" s="368"/>
    </row>
    <row r="101" customHeight="1" spans="4:17">
      <c r="D101" s="324"/>
      <c r="H101" s="352"/>
      <c r="L101" s="380"/>
      <c r="Q101" s="380"/>
    </row>
    <row r="102" customHeight="1" spans="3:17">
      <c r="C102" s="348" t="s">
        <v>88</v>
      </c>
      <c r="D102" s="324"/>
      <c r="H102" s="352"/>
      <c r="L102" s="380"/>
      <c r="Q102" s="380"/>
    </row>
    <row r="103" customHeight="1" spans="4:17">
      <c r="D103" s="324" t="s">
        <v>89</v>
      </c>
      <c r="H103" s="352">
        <v>-1559</v>
      </c>
      <c r="I103" s="324">
        <v>-2574</v>
      </c>
      <c r="J103" s="324">
        <v>-258</v>
      </c>
      <c r="K103" s="324">
        <v>-2218</v>
      </c>
      <c r="L103" s="325">
        <v>-1347</v>
      </c>
      <c r="M103" s="354">
        <f>L45-M45</f>
        <v>-1098.14027923283</v>
      </c>
      <c r="N103" s="399">
        <f t="shared" ref="N103:Q103" si="54">M45-N45</f>
        <v>-1719.6184536658</v>
      </c>
      <c r="O103" s="399">
        <f t="shared" si="54"/>
        <v>-839.857350728907</v>
      </c>
      <c r="P103" s="399">
        <f t="shared" si="54"/>
        <v>-1009.87385953399</v>
      </c>
      <c r="Q103" s="400">
        <f t="shared" si="54"/>
        <v>-965.88411544108</v>
      </c>
    </row>
    <row r="104" customHeight="1" spans="4:17">
      <c r="D104" s="324" t="s">
        <v>25</v>
      </c>
      <c r="H104" s="352">
        <v>-373</v>
      </c>
      <c r="I104" s="324">
        <v>-2817</v>
      </c>
      <c r="J104" s="324">
        <v>-4977</v>
      </c>
      <c r="K104" s="324">
        <v>-6731</v>
      </c>
      <c r="L104" s="325">
        <v>4734</v>
      </c>
      <c r="M104" s="354">
        <f t="shared" ref="M104:Q104" si="55">L46-M46</f>
        <v>-3323.20282121535</v>
      </c>
      <c r="N104" s="399">
        <f t="shared" si="55"/>
        <v>-2748.09148255751</v>
      </c>
      <c r="O104" s="399">
        <f t="shared" si="55"/>
        <v>-2366.84532682313</v>
      </c>
      <c r="P104" s="399">
        <f t="shared" si="55"/>
        <v>-1088.02317972142</v>
      </c>
      <c r="Q104" s="400">
        <f t="shared" si="55"/>
        <v>-103.681374956359</v>
      </c>
    </row>
    <row r="105" customHeight="1" spans="4:17">
      <c r="D105" s="324" t="s">
        <v>90</v>
      </c>
      <c r="H105" s="352">
        <v>-110</v>
      </c>
      <c r="I105" s="324">
        <v>-37</v>
      </c>
      <c r="J105" s="324">
        <v>2124</v>
      </c>
      <c r="K105" s="324">
        <v>3345</v>
      </c>
      <c r="L105" s="325">
        <v>145</v>
      </c>
      <c r="M105" s="333">
        <f t="shared" ref="M105:Q105" si="56">M58-L58</f>
        <v>2588.34476268928</v>
      </c>
      <c r="N105" s="375">
        <f t="shared" si="56"/>
        <v>486.488920532427</v>
      </c>
      <c r="O105" s="375">
        <f t="shared" si="56"/>
        <v>683.408829095089</v>
      </c>
      <c r="P105" s="375">
        <f t="shared" si="56"/>
        <v>363.194218103043</v>
      </c>
      <c r="Q105" s="374">
        <f t="shared" si="56"/>
        <v>500.464222469775</v>
      </c>
    </row>
    <row r="106" customHeight="1" spans="4:17">
      <c r="D106" s="324" t="s">
        <v>91</v>
      </c>
      <c r="H106" s="352">
        <v>638</v>
      </c>
      <c r="I106" s="324">
        <v>-1043</v>
      </c>
      <c r="J106" s="324">
        <v>-301</v>
      </c>
      <c r="K106" s="324">
        <v>154</v>
      </c>
      <c r="L106" s="325">
        <v>-264</v>
      </c>
      <c r="M106" s="354">
        <v>0</v>
      </c>
      <c r="N106" s="324">
        <v>0</v>
      </c>
      <c r="O106" s="324">
        <v>0</v>
      </c>
      <c r="P106" s="324">
        <v>0</v>
      </c>
      <c r="Q106" s="380">
        <v>0</v>
      </c>
    </row>
    <row r="107" s="315" customFormat="1" customHeight="1" spans="4:17">
      <c r="D107" s="339" t="s">
        <v>92</v>
      </c>
      <c r="E107" s="338"/>
      <c r="F107" s="338"/>
      <c r="G107" s="338"/>
      <c r="H107" s="340">
        <f t="shared" ref="H107:Q107" si="57">SUM(H103:H106)</f>
        <v>-1404</v>
      </c>
      <c r="I107" s="383">
        <f t="shared" si="57"/>
        <v>-6471</v>
      </c>
      <c r="J107" s="383">
        <f t="shared" si="57"/>
        <v>-3412</v>
      </c>
      <c r="K107" s="383">
        <f t="shared" si="57"/>
        <v>-5450</v>
      </c>
      <c r="L107" s="383">
        <f t="shared" si="57"/>
        <v>3268</v>
      </c>
      <c r="M107" s="437">
        <f t="shared" si="57"/>
        <v>-1832.9983377589</v>
      </c>
      <c r="N107" s="438">
        <f t="shared" si="57"/>
        <v>-3981.22101569088</v>
      </c>
      <c r="O107" s="438">
        <f t="shared" si="57"/>
        <v>-2523.29384845695</v>
      </c>
      <c r="P107" s="438">
        <f t="shared" si="57"/>
        <v>-1734.70282115236</v>
      </c>
      <c r="Q107" s="443">
        <f t="shared" si="57"/>
        <v>-569.101267927665</v>
      </c>
    </row>
    <row r="108" customHeight="1" spans="4:17">
      <c r="D108" s="324"/>
      <c r="H108" s="352"/>
      <c r="M108" s="352"/>
      <c r="Q108" s="380"/>
    </row>
    <row r="109" customHeight="1" spans="3:17">
      <c r="C109" s="348" t="s">
        <v>93</v>
      </c>
      <c r="D109" s="324"/>
      <c r="H109" s="352"/>
      <c r="M109" s="352"/>
      <c r="Q109" s="380"/>
    </row>
    <row r="110" customHeight="1" spans="4:17">
      <c r="D110" s="324" t="s">
        <v>94</v>
      </c>
      <c r="H110" s="352">
        <v>0</v>
      </c>
      <c r="I110" s="324">
        <v>26428</v>
      </c>
      <c r="J110" s="324">
        <v>28725</v>
      </c>
      <c r="K110" s="324">
        <v>27909</v>
      </c>
      <c r="L110" s="325">
        <v>28381</v>
      </c>
      <c r="M110" s="352">
        <v>25929</v>
      </c>
      <c r="N110" s="325">
        <v>26113</v>
      </c>
      <c r="O110" s="325">
        <v>25899</v>
      </c>
      <c r="P110" s="325">
        <v>25362</v>
      </c>
      <c r="Q110" s="380">
        <v>24569</v>
      </c>
    </row>
    <row r="111" customHeight="1" spans="4:17">
      <c r="D111" s="324" t="s">
        <v>95</v>
      </c>
      <c r="H111" s="352">
        <v>0</v>
      </c>
      <c r="I111" s="324">
        <v>4825</v>
      </c>
      <c r="J111" s="324">
        <v>1929</v>
      </c>
      <c r="K111" s="324">
        <v>3512</v>
      </c>
      <c r="L111" s="325">
        <v>652</v>
      </c>
      <c r="M111" s="333">
        <v>2839</v>
      </c>
      <c r="N111" s="325">
        <v>2459</v>
      </c>
      <c r="O111" s="325">
        <v>2114</v>
      </c>
      <c r="P111" s="325">
        <v>1804</v>
      </c>
      <c r="Q111" s="380">
        <v>1530</v>
      </c>
    </row>
    <row r="112" customHeight="1" spans="4:17">
      <c r="D112" s="324" t="s">
        <v>96</v>
      </c>
      <c r="H112" s="352">
        <v>-1932</v>
      </c>
      <c r="I112" s="324">
        <v>-2528</v>
      </c>
      <c r="J112" s="324">
        <v>-2746</v>
      </c>
      <c r="K112" s="324">
        <v>-3040</v>
      </c>
      <c r="L112" s="325">
        <v>-3104</v>
      </c>
      <c r="M112" s="333">
        <f>-M110*M11</f>
        <v>-2123.8271375108</v>
      </c>
      <c r="N112" s="373">
        <f t="shared" ref="N112:Q112" si="58">-N110*N11</f>
        <v>-2566.67814609832</v>
      </c>
      <c r="O112" s="373">
        <f t="shared" si="58"/>
        <v>-2559.29301249848</v>
      </c>
      <c r="P112" s="373">
        <f t="shared" si="58"/>
        <v>-2522.57114003842</v>
      </c>
      <c r="Q112" s="374">
        <f t="shared" si="58"/>
        <v>-2397.19892382341</v>
      </c>
    </row>
    <row r="113" s="315" customFormat="1" customHeight="1" spans="4:17">
      <c r="D113" s="339" t="s">
        <v>97</v>
      </c>
      <c r="E113" s="338"/>
      <c r="F113" s="338"/>
      <c r="G113" s="338"/>
      <c r="H113" s="340">
        <f t="shared" ref="H113:Q113" si="59">SUM(H110:H112)</f>
        <v>-1932</v>
      </c>
      <c r="I113" s="383">
        <f t="shared" si="59"/>
        <v>28725</v>
      </c>
      <c r="J113" s="383">
        <f t="shared" si="59"/>
        <v>27908</v>
      </c>
      <c r="K113" s="383">
        <f t="shared" si="59"/>
        <v>28381</v>
      </c>
      <c r="L113" s="383">
        <f t="shared" si="59"/>
        <v>25929</v>
      </c>
      <c r="M113" s="437">
        <f t="shared" si="59"/>
        <v>26644.1728624892</v>
      </c>
      <c r="N113" s="438">
        <f t="shared" si="59"/>
        <v>26005.3218539017</v>
      </c>
      <c r="O113" s="438">
        <f t="shared" si="59"/>
        <v>25453.7069875015</v>
      </c>
      <c r="P113" s="438">
        <f t="shared" si="59"/>
        <v>24643.4288599616</v>
      </c>
      <c r="Q113" s="443">
        <f t="shared" si="59"/>
        <v>23701.8010761766</v>
      </c>
    </row>
    <row r="114" customHeight="1" spans="4:17">
      <c r="D114" s="324"/>
      <c r="H114" s="352"/>
      <c r="M114" s="352"/>
      <c r="N114" s="325"/>
      <c r="O114" s="325"/>
      <c r="P114" s="325"/>
      <c r="Q114" s="380"/>
    </row>
    <row r="115" customHeight="1" spans="3:17">
      <c r="C115" s="348" t="s">
        <v>98</v>
      </c>
      <c r="D115" s="324"/>
      <c r="H115" s="352"/>
      <c r="M115" s="352"/>
      <c r="N115" s="325"/>
      <c r="O115" s="325"/>
      <c r="P115" s="325"/>
      <c r="Q115" s="380"/>
    </row>
    <row r="116" customHeight="1" spans="4:17">
      <c r="D116" s="324" t="s">
        <v>99</v>
      </c>
      <c r="H116" s="352">
        <v>0</v>
      </c>
      <c r="I116" s="324">
        <v>9026</v>
      </c>
      <c r="J116" s="324">
        <v>16628</v>
      </c>
      <c r="K116" s="324">
        <v>17920</v>
      </c>
      <c r="L116" s="325">
        <v>26682</v>
      </c>
      <c r="M116" s="352">
        <f t="shared" ref="M116:Q116" si="60">L118</f>
        <v>13967</v>
      </c>
      <c r="N116" s="325">
        <f t="shared" si="60"/>
        <v>13967</v>
      </c>
      <c r="O116" s="325">
        <f t="shared" si="60"/>
        <v>13967</v>
      </c>
      <c r="P116" s="325">
        <f t="shared" si="60"/>
        <v>13967</v>
      </c>
      <c r="Q116" s="380">
        <f t="shared" si="60"/>
        <v>13967</v>
      </c>
    </row>
    <row r="117" customHeight="1" spans="4:17">
      <c r="D117" s="324" t="s">
        <v>100</v>
      </c>
      <c r="H117" s="352">
        <v>0</v>
      </c>
      <c r="I117" s="324">
        <v>7602</v>
      </c>
      <c r="J117" s="324">
        <v>1292</v>
      </c>
      <c r="K117" s="324">
        <v>8762</v>
      </c>
      <c r="L117" s="325">
        <v>-12715</v>
      </c>
      <c r="M117" s="352">
        <v>0</v>
      </c>
      <c r="N117" s="325">
        <v>0</v>
      </c>
      <c r="O117" s="325">
        <v>0</v>
      </c>
      <c r="P117" s="325">
        <v>0</v>
      </c>
      <c r="Q117" s="380">
        <v>0</v>
      </c>
    </row>
    <row r="118" s="315" customFormat="1" customHeight="1" spans="4:17">
      <c r="D118" s="339" t="s">
        <v>101</v>
      </c>
      <c r="E118" s="338"/>
      <c r="F118" s="338"/>
      <c r="G118" s="338"/>
      <c r="H118" s="340">
        <f t="shared" ref="H118:L118" si="61">SUM(H116:H117)</f>
        <v>0</v>
      </c>
      <c r="I118" s="383">
        <f t="shared" si="61"/>
        <v>16628</v>
      </c>
      <c r="J118" s="383">
        <f t="shared" si="61"/>
        <v>17920</v>
      </c>
      <c r="K118" s="383">
        <f t="shared" si="61"/>
        <v>26682</v>
      </c>
      <c r="L118" s="383">
        <f t="shared" si="61"/>
        <v>13967</v>
      </c>
      <c r="M118" s="340">
        <f t="shared" ref="M118:Q118" si="62">SUM(M116:M117)</f>
        <v>13967</v>
      </c>
      <c r="N118" s="383">
        <f t="shared" si="62"/>
        <v>13967</v>
      </c>
      <c r="O118" s="383">
        <f t="shared" si="62"/>
        <v>13967</v>
      </c>
      <c r="P118" s="383">
        <f t="shared" si="62"/>
        <v>13967</v>
      </c>
      <c r="Q118" s="414">
        <f t="shared" si="62"/>
        <v>13967</v>
      </c>
    </row>
    <row r="119" customHeight="1" spans="4:17">
      <c r="D119" s="324" t="s">
        <v>102</v>
      </c>
      <c r="H119" s="352">
        <v>-546</v>
      </c>
      <c r="I119" s="324">
        <v>-651</v>
      </c>
      <c r="J119" s="324">
        <v>-589</v>
      </c>
      <c r="K119" s="324">
        <v>-524</v>
      </c>
      <c r="L119" s="325">
        <v>-1074</v>
      </c>
      <c r="M119" s="333">
        <f t="array" ref="M119">L119*M12</f>
        <v>-38.0282088339657</v>
      </c>
      <c r="N119" s="373">
        <f t="array" ref="N119">M119*N12</f>
        <v>-1.61580409734046</v>
      </c>
      <c r="O119" s="373">
        <f t="array" ref="O119">N119*O12</f>
        <v>-0.0590779150457216</v>
      </c>
      <c r="P119" s="373">
        <f t="array" ref="P119">O119*P12</f>
        <v>-0.00217351323160255</v>
      </c>
      <c r="Q119" s="374">
        <f t="array" ref="Q119">P119*Q12</f>
        <v>-8.3246712913142e-5</v>
      </c>
    </row>
    <row r="120" customHeight="1" spans="4:17">
      <c r="D120" s="362"/>
      <c r="E120" s="362"/>
      <c r="F120" s="362"/>
      <c r="G120" s="362"/>
      <c r="H120" s="427"/>
      <c r="I120" s="362"/>
      <c r="J120" s="362"/>
      <c r="K120" s="362"/>
      <c r="L120" s="362"/>
      <c r="M120" s="427"/>
      <c r="N120" s="362"/>
      <c r="O120" s="362"/>
      <c r="P120" s="362"/>
      <c r="Q120" s="444"/>
    </row>
    <row r="121" customHeight="1" spans="4:4">
      <c r="D121" s="324"/>
    </row>
    <row r="122" customHeight="1" spans="4:4">
      <c r="D122" s="324"/>
    </row>
    <row r="123" customHeight="1" spans="4:4">
      <c r="D123" s="324"/>
    </row>
    <row r="124" customHeight="1" spans="4:5">
      <c r="D124" s="428" t="s">
        <v>103</v>
      </c>
      <c r="E124" s="428"/>
    </row>
    <row r="125" customHeight="1" spans="4:4">
      <c r="D125" s="324"/>
    </row>
    <row r="126" customHeight="1" spans="4:5">
      <c r="D126" s="362" t="s">
        <v>104</v>
      </c>
      <c r="E126" s="362"/>
    </row>
    <row r="127" customHeight="1" spans="4:5">
      <c r="D127" s="324" t="s">
        <v>105</v>
      </c>
      <c r="E127" s="429">
        <v>45323</v>
      </c>
    </row>
    <row r="128" customHeight="1" spans="4:5">
      <c r="D128" s="324" t="s">
        <v>106</v>
      </c>
      <c r="E128" s="429">
        <v>45382</v>
      </c>
    </row>
    <row r="129" customHeight="1" spans="4:5">
      <c r="D129" s="324" t="s">
        <v>107</v>
      </c>
      <c r="E129" s="370">
        <f>'WACC '!F38</f>
        <v>0.157</v>
      </c>
    </row>
    <row r="130" customHeight="1" spans="4:5">
      <c r="D130" s="324" t="s">
        <v>108</v>
      </c>
      <c r="E130" s="378">
        <v>28.1</v>
      </c>
    </row>
    <row r="131" customHeight="1" spans="4:5">
      <c r="D131" s="324" t="s">
        <v>109</v>
      </c>
      <c r="E131" s="370">
        <f>'WACC '!F50</f>
        <v>0.0955072054309888</v>
      </c>
    </row>
    <row r="132" customHeight="1" spans="4:5">
      <c r="D132" s="324" t="s">
        <v>110</v>
      </c>
      <c r="E132" s="445">
        <v>0.06</v>
      </c>
    </row>
    <row r="133" customHeight="1" spans="4:6">
      <c r="D133" s="324" t="s">
        <v>111</v>
      </c>
      <c r="E133" s="446">
        <f>Comps!F23</f>
        <v>120</v>
      </c>
      <c r="F133" s="324" t="s">
        <v>112</v>
      </c>
    </row>
    <row r="134" customHeight="1" spans="4:5">
      <c r="D134" s="324" t="s">
        <v>113</v>
      </c>
      <c r="E134" s="447">
        <v>5166.05</v>
      </c>
    </row>
    <row r="135" customHeight="1" spans="4:5">
      <c r="D135" s="362"/>
      <c r="E135" s="448"/>
    </row>
    <row r="136" customHeight="1" spans="4:4">
      <c r="D136" s="324"/>
    </row>
    <row r="137" s="316" customFormat="1" customHeight="1" spans="4:15">
      <c r="D137" s="316" t="s">
        <v>114</v>
      </c>
      <c r="H137" s="363" t="s">
        <v>115</v>
      </c>
      <c r="I137" s="316">
        <v>2024</v>
      </c>
      <c r="J137" s="316">
        <f t="shared" ref="J137:M137" si="63">I137+1</f>
        <v>2025</v>
      </c>
      <c r="K137" s="316">
        <f t="shared" si="63"/>
        <v>2026</v>
      </c>
      <c r="L137" s="316">
        <f t="shared" si="63"/>
        <v>2027</v>
      </c>
      <c r="M137" s="316">
        <f t="shared" si="63"/>
        <v>2028</v>
      </c>
      <c r="N137" s="316" t="s">
        <v>116</v>
      </c>
      <c r="O137" s="316" t="s">
        <v>117</v>
      </c>
    </row>
    <row r="138" customHeight="1" spans="4:16">
      <c r="D138" s="324" t="s">
        <v>118</v>
      </c>
      <c r="H138" s="449">
        <v>45323</v>
      </c>
      <c r="I138" s="429">
        <v>45382</v>
      </c>
      <c r="J138" s="429">
        <v>45747</v>
      </c>
      <c r="K138" s="429">
        <v>46112</v>
      </c>
      <c r="L138" s="429">
        <v>46477</v>
      </c>
      <c r="M138" s="429">
        <v>46843</v>
      </c>
      <c r="O138" s="343" t="str">
        <f>D130</f>
        <v>EV/EBITDA</v>
      </c>
      <c r="P138" s="451">
        <f>(M144+M147)*E130</f>
        <v>705192.15597125</v>
      </c>
    </row>
    <row r="139" customHeight="1" spans="4:13">
      <c r="D139" s="324" t="s">
        <v>119</v>
      </c>
      <c r="I139" s="324">
        <v>0</v>
      </c>
      <c r="J139" s="324">
        <v>1</v>
      </c>
      <c r="K139" s="324">
        <v>2</v>
      </c>
      <c r="L139" s="324">
        <v>3</v>
      </c>
      <c r="M139" s="324">
        <v>4</v>
      </c>
    </row>
    <row r="140" customHeight="1" spans="4:16">
      <c r="D140" s="324" t="s">
        <v>120</v>
      </c>
      <c r="O140" s="324" t="s">
        <v>110</v>
      </c>
      <c r="P140" s="450">
        <f t="array" ref="P140">M150*(1-E132)/(E131-E132)</f>
        <v>514459.322968705</v>
      </c>
    </row>
    <row r="141" customHeight="1" spans="4:13">
      <c r="D141" s="324"/>
      <c r="I141" s="453">
        <f t="shared" ref="I141:M141" si="64">YEARFRAC(H138,I138)</f>
        <v>0.166666666666667</v>
      </c>
      <c r="J141" s="453">
        <f t="shared" si="64"/>
        <v>1</v>
      </c>
      <c r="K141" s="453">
        <f t="shared" si="64"/>
        <v>1</v>
      </c>
      <c r="L141" s="453">
        <f t="shared" si="64"/>
        <v>1</v>
      </c>
      <c r="M141" s="454">
        <f t="shared" si="64"/>
        <v>1</v>
      </c>
    </row>
    <row r="142" customHeight="1" spans="4:16">
      <c r="D142" s="324"/>
      <c r="O142" s="343" t="s">
        <v>121</v>
      </c>
      <c r="P142" s="455">
        <f>AVERAGE(P138:P140)</f>
        <v>609825.739469977</v>
      </c>
    </row>
    <row r="143" customHeight="1" spans="4:4">
      <c r="D143" s="324"/>
    </row>
    <row r="144" customHeight="1" spans="4:13">
      <c r="D144" s="324" t="s">
        <v>12</v>
      </c>
      <c r="I144" s="375">
        <f t="array" ref="I144:M144">M32:Q32</f>
        <v>19540.942390043</v>
      </c>
      <c r="J144" s="375">
        <v>21085.807558641</v>
      </c>
      <c r="K144" s="375">
        <v>22385.6196535514</v>
      </c>
      <c r="L144" s="373">
        <v>22341.8548801063</v>
      </c>
      <c r="M144" s="375">
        <v>22698.8062623221</v>
      </c>
    </row>
    <row r="145" customHeight="1" spans="4:13">
      <c r="D145" s="362" t="s">
        <v>122</v>
      </c>
      <c r="E145" s="362"/>
      <c r="F145" s="362"/>
      <c r="G145" s="362"/>
      <c r="H145" s="362"/>
      <c r="I145" s="456">
        <f>-I144*$E$129</f>
        <v>-3067.92795523675</v>
      </c>
      <c r="J145" s="456">
        <f>-J144*$E$129</f>
        <v>-3310.47178670664</v>
      </c>
      <c r="K145" s="456">
        <f>-K144*$E$129</f>
        <v>-3514.54228560757</v>
      </c>
      <c r="L145" s="456">
        <f>-L144*$E$129</f>
        <v>-3507.67121617669</v>
      </c>
      <c r="M145" s="456">
        <f>-M144*$E$129</f>
        <v>-3563.71258318456</v>
      </c>
    </row>
    <row r="146" customHeight="1" spans="4:13">
      <c r="D146" s="324" t="s">
        <v>123</v>
      </c>
      <c r="I146" s="375">
        <f t="shared" ref="I146:M146" si="65">SUM(I144:I145)</f>
        <v>16473.0144348062</v>
      </c>
      <c r="J146" s="375">
        <f t="shared" si="65"/>
        <v>17775.3357719344</v>
      </c>
      <c r="K146" s="375">
        <f t="shared" si="65"/>
        <v>18871.0773679438</v>
      </c>
      <c r="L146" s="375">
        <f t="shared" si="65"/>
        <v>18834.1836639296</v>
      </c>
      <c r="M146" s="375">
        <f t="shared" si="65"/>
        <v>19135.0936791375</v>
      </c>
    </row>
    <row r="147" customHeight="1" spans="4:13">
      <c r="D147" s="324" t="s">
        <v>48</v>
      </c>
      <c r="I147" s="381">
        <f t="array" ref="I147:M147">-M31:Q31</f>
        <v>2124</v>
      </c>
      <c r="J147" s="381">
        <v>2567</v>
      </c>
      <c r="K147" s="381">
        <v>2559</v>
      </c>
      <c r="L147" s="384">
        <v>2523</v>
      </c>
      <c r="M147" s="381">
        <v>2397</v>
      </c>
    </row>
    <row r="148" customHeight="1" spans="4:13">
      <c r="D148" s="324" t="s">
        <v>124</v>
      </c>
      <c r="I148" s="375">
        <f t="array" ref="I148:M148">-M111:Q111</f>
        <v>-2839</v>
      </c>
      <c r="J148" s="375">
        <v>-2459</v>
      </c>
      <c r="K148" s="375">
        <v>-2114</v>
      </c>
      <c r="L148" s="373">
        <v>-1804</v>
      </c>
      <c r="M148" s="375">
        <v>-1530</v>
      </c>
    </row>
    <row r="149" customHeight="1" spans="4:13">
      <c r="D149" s="324" t="s">
        <v>125</v>
      </c>
      <c r="I149" s="375">
        <f t="array" ref="I149:M149">M107:Q107</f>
        <v>-1832.9983377589</v>
      </c>
      <c r="J149" s="375">
        <v>-3981.22101569088</v>
      </c>
      <c r="K149" s="375">
        <v>-2523.29384845695</v>
      </c>
      <c r="L149" s="373">
        <v>-1734.70282115236</v>
      </c>
      <c r="M149" s="375">
        <v>-569.101267927665</v>
      </c>
    </row>
    <row r="150" s="313" customFormat="1" customHeight="1" spans="4:16">
      <c r="D150" s="394" t="s">
        <v>126</v>
      </c>
      <c r="E150" s="394"/>
      <c r="F150" s="394"/>
      <c r="G150" s="394"/>
      <c r="H150" s="394"/>
      <c r="I150" s="457">
        <f t="shared" ref="I150:M150" si="66">SUM(I146:I149)</f>
        <v>13925.0160970473</v>
      </c>
      <c r="J150" s="457">
        <f t="shared" si="66"/>
        <v>13902.1147562435</v>
      </c>
      <c r="K150" s="457">
        <f t="shared" si="66"/>
        <v>16792.7835194869</v>
      </c>
      <c r="L150" s="457">
        <f t="shared" si="66"/>
        <v>17818.4808427773</v>
      </c>
      <c r="M150" s="457">
        <f t="shared" si="66"/>
        <v>19432.9924112098</v>
      </c>
      <c r="N150" s="458">
        <f>AVERAGE(P138:P140)</f>
        <v>609825.739469977</v>
      </c>
      <c r="O150" s="458"/>
      <c r="P150" s="458"/>
    </row>
    <row r="151" customHeight="1" spans="4:16">
      <c r="D151" s="324"/>
      <c r="N151" s="459"/>
      <c r="O151" s="459"/>
      <c r="P151" s="459"/>
    </row>
    <row r="152" customHeight="1" spans="4:16">
      <c r="D152" s="324"/>
      <c r="N152" s="459"/>
      <c r="O152" s="459"/>
      <c r="P152" s="459"/>
    </row>
    <row r="153" s="313" customFormat="1" customHeight="1" spans="4:16">
      <c r="D153" s="313" t="s">
        <v>127</v>
      </c>
      <c r="H153" s="327">
        <v>0</v>
      </c>
      <c r="I153" s="460">
        <f t="shared" ref="I153:M153" si="67">I150*I141</f>
        <v>2320.83601617455</v>
      </c>
      <c r="J153" s="460">
        <f t="shared" si="67"/>
        <v>13902.1147562435</v>
      </c>
      <c r="K153" s="460">
        <f t="shared" si="67"/>
        <v>16792.7835194869</v>
      </c>
      <c r="L153" s="460">
        <f t="shared" si="67"/>
        <v>17818.4808427773</v>
      </c>
      <c r="M153" s="460">
        <f t="shared" si="67"/>
        <v>19432.9924112098</v>
      </c>
      <c r="N153" s="458">
        <v>941234</v>
      </c>
      <c r="O153" s="458"/>
      <c r="P153" s="458"/>
    </row>
    <row r="154" s="313" customFormat="1" customHeight="1" spans="8:12">
      <c r="H154" s="327"/>
      <c r="L154" s="327"/>
    </row>
    <row r="155" customHeight="1" spans="4:4">
      <c r="D155" s="324"/>
    </row>
    <row r="156" customHeight="1" spans="4:4">
      <c r="D156" s="324"/>
    </row>
    <row r="157" customHeight="1" spans="4:12">
      <c r="D157" s="362" t="s">
        <v>128</v>
      </c>
      <c r="E157" s="362"/>
      <c r="F157" s="325"/>
      <c r="J157" s="362" t="s">
        <v>129</v>
      </c>
      <c r="K157" s="362"/>
      <c r="L157" s="362"/>
    </row>
    <row r="158" customHeight="1" spans="4:16">
      <c r="D158" s="324" t="s">
        <v>130</v>
      </c>
      <c r="E158" s="450">
        <f>XNPV(E131,H150:N150,H138:M138)</f>
        <v>489014.943765658</v>
      </c>
      <c r="J158" s="325" t="s">
        <v>131</v>
      </c>
      <c r="K158" s="325"/>
      <c r="L158" s="461">
        <f>E134*E133</f>
        <v>619926</v>
      </c>
      <c r="P158" s="462"/>
    </row>
    <row r="159" customHeight="1" spans="4:12">
      <c r="D159" s="324" t="s">
        <v>132</v>
      </c>
      <c r="E159" s="399">
        <f t="array" ref="E159">L43+L44+L52</f>
        <v>38618</v>
      </c>
      <c r="J159" s="324" t="s">
        <v>133</v>
      </c>
      <c r="L159" s="373">
        <f>-E161</f>
        <v>3897</v>
      </c>
    </row>
    <row r="160" customHeight="1" spans="4:12">
      <c r="D160" s="324" t="s">
        <v>134</v>
      </c>
      <c r="E160" s="324">
        <v>-13967</v>
      </c>
      <c r="J160" s="324" t="s">
        <v>135</v>
      </c>
      <c r="L160" s="463">
        <f>-E159</f>
        <v>-38618</v>
      </c>
    </row>
    <row r="161" customHeight="1" spans="4:12">
      <c r="D161" s="324" t="s">
        <v>136</v>
      </c>
      <c r="E161" s="375">
        <f>-L68</f>
        <v>-3897</v>
      </c>
      <c r="J161" s="324" t="s">
        <v>137</v>
      </c>
      <c r="L161" s="384">
        <f>-E160</f>
        <v>13967</v>
      </c>
    </row>
    <row r="162" customHeight="1" spans="4:12">
      <c r="D162" s="343" t="s">
        <v>138</v>
      </c>
      <c r="E162" s="451">
        <f>SUM(E158:E161)</f>
        <v>509768.943765658</v>
      </c>
      <c r="I162" s="324" t="s">
        <v>139</v>
      </c>
      <c r="J162" s="343" t="str">
        <f>D158</f>
        <v>Enterprise Value</v>
      </c>
      <c r="K162" s="343"/>
      <c r="L162" s="464">
        <f>SUM(L158:L161)</f>
        <v>599172</v>
      </c>
    </row>
    <row r="163" customHeight="1" spans="4:4">
      <c r="D163" s="324"/>
    </row>
    <row r="164" customHeight="1" spans="4:12">
      <c r="D164" s="324" t="s">
        <v>140</v>
      </c>
      <c r="E164" s="452">
        <f>E162/E133</f>
        <v>4248.07453138048</v>
      </c>
      <c r="J164" s="324" t="str">
        <f>D164</f>
        <v>Equity Value / Share</v>
      </c>
      <c r="L164" s="465">
        <f>L162/E133</f>
        <v>4993.1</v>
      </c>
    </row>
    <row r="165" customHeight="1" spans="4:12">
      <c r="D165" s="324"/>
      <c r="L165" s="466"/>
    </row>
    <row r="166" customHeight="1" spans="4:4">
      <c r="D166" s="324"/>
    </row>
    <row r="247" customHeight="1" spans="11:11">
      <c r="K247" s="324">
        <v>2322</v>
      </c>
    </row>
    <row r="248" customHeight="1" spans="11:11">
      <c r="K248" s="324">
        <v>23464</v>
      </c>
    </row>
    <row r="249" customHeight="1" spans="11:11">
      <c r="K249" s="324">
        <v>18846</v>
      </c>
    </row>
    <row r="250" customHeight="1" spans="11:11">
      <c r="K250" s="324">
        <v>30055</v>
      </c>
    </row>
    <row r="251" customHeight="1" spans="11:11">
      <c r="K251" s="324">
        <v>6323</v>
      </c>
    </row>
    <row r="252" customHeight="1" spans="11:11">
      <c r="K252" s="324">
        <v>28381</v>
      </c>
    </row>
    <row r="253" customHeight="1" spans="11:11">
      <c r="K253" s="324">
        <v>4031</v>
      </c>
    </row>
    <row r="254" customHeight="1" spans="11:11">
      <c r="K254" s="324">
        <v>12848</v>
      </c>
    </row>
    <row r="255" customHeight="1" spans="11:11">
      <c r="K255" s="324">
        <v>14422</v>
      </c>
    </row>
    <row r="256" customHeight="1" spans="11:11">
      <c r="K256" s="381">
        <f>SUM(K247:K255)</f>
        <v>140692</v>
      </c>
    </row>
  </sheetData>
  <dataValidations count="1">
    <dataValidation type="list" allowBlank="1" showInputMessage="1" showErrorMessage="1" sqref="E6">
      <formula1>Scenarios!$D$5:$D$7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8576"/>
  <sheetViews>
    <sheetView showGridLines="0" zoomScale="130" zoomScaleNormal="130" workbookViewId="0">
      <selection activeCell="K9" sqref="K9"/>
    </sheetView>
  </sheetViews>
  <sheetFormatPr defaultColWidth="8.90740740740741" defaultRowHeight="21" customHeight="1"/>
  <cols>
    <col min="1" max="3" width="1.36111111111111" style="292" customWidth="1"/>
    <col min="4" max="4" width="40.9074074074074" style="292" customWidth="1"/>
    <col min="5" max="5" width="12.9074074074074" style="292"/>
    <col min="6" max="6" width="8.90740740740741" style="292"/>
    <col min="7" max="7" width="2.81481481481481" style="292" customWidth="1"/>
    <col min="8" max="8" width="12.9074074074074" style="292" customWidth="1"/>
    <col min="9" max="10" width="12.8148148148148" style="292" customWidth="1"/>
    <col min="11" max="12" width="12.9074074074074" style="292" customWidth="1"/>
    <col min="13" max="13" width="12.8148148148148" style="292" customWidth="1"/>
    <col min="14" max="14" width="12.9074074074074" style="292" customWidth="1"/>
    <col min="15" max="16" width="12.8148148148148" style="292" customWidth="1"/>
    <col min="17" max="16384" width="8.90740740740741" style="292"/>
  </cols>
  <sheetData>
    <row r="1" s="287" customFormat="1" customHeight="1" spans="1:12">
      <c r="A1" s="287" t="s">
        <v>0</v>
      </c>
      <c r="G1" s="293"/>
      <c r="H1" s="293"/>
      <c r="L1" s="293"/>
    </row>
    <row r="2" s="288" customFormat="1" customHeight="1" spans="1:16">
      <c r="A2" s="294" t="s">
        <v>70</v>
      </c>
      <c r="H2" s="295"/>
      <c r="I2" s="295"/>
      <c r="J2" s="295"/>
      <c r="K2" s="295"/>
      <c r="L2" s="295"/>
      <c r="M2" s="303"/>
      <c r="N2" s="303"/>
      <c r="O2" s="303"/>
      <c r="P2" s="303"/>
    </row>
    <row r="3" s="289" customFormat="1" customHeight="1"/>
    <row r="4" s="290" customFormat="1" customHeight="1" spans="1:12">
      <c r="A4" s="296"/>
      <c r="D4" s="290" t="s">
        <v>70</v>
      </c>
      <c r="E4" s="290" t="s">
        <v>141</v>
      </c>
      <c r="H4" s="297">
        <v>2024</v>
      </c>
      <c r="I4" s="297">
        <f t="shared" ref="I4:L4" si="0">H4+1</f>
        <v>2025</v>
      </c>
      <c r="J4" s="297">
        <f t="shared" si="0"/>
        <v>2026</v>
      </c>
      <c r="K4" s="297">
        <f t="shared" si="0"/>
        <v>2027</v>
      </c>
      <c r="L4" s="297">
        <f t="shared" si="0"/>
        <v>2028</v>
      </c>
    </row>
    <row r="5" customHeight="1" spans="4:12">
      <c r="D5" s="292" t="s">
        <v>142</v>
      </c>
      <c r="E5" s="298">
        <f>AVERAGE(Model!I7:L7)</f>
        <v>0.121724083968687</v>
      </c>
      <c r="H5" s="299" cm="1">
        <f t="array" ref="H5:H7">E5:E7</f>
        <v>0.121724083968687</v>
      </c>
      <c r="I5" s="304">
        <f>H5*(1-$E$8)</f>
        <v>0.0973792671749493</v>
      </c>
      <c r="J5" s="304">
        <f t="shared" ref="J5:J7" si="1">I5*(1-$E$8)</f>
        <v>0.0779034137399594</v>
      </c>
      <c r="K5" s="304">
        <f t="shared" ref="K5:K7" si="2">J5*(1-$E$8)</f>
        <v>0.0623227309919675</v>
      </c>
      <c r="L5" s="304">
        <f t="shared" ref="L5:L7" si="3">K5*(1-$E$8)</f>
        <v>0.049858184793574</v>
      </c>
    </row>
    <row r="6" customHeight="1" spans="4:12">
      <c r="D6" s="292" t="s">
        <v>71</v>
      </c>
      <c r="E6" s="298">
        <f>MAX(Model!I7:L7)</f>
        <v>0.199571347997744</v>
      </c>
      <c r="H6" s="299">
        <v>0.199571347997744</v>
      </c>
      <c r="I6" s="299">
        <f>H6*(1-E8)</f>
        <v>0.159657078398195</v>
      </c>
      <c r="J6" s="304">
        <f t="shared" si="1"/>
        <v>0.127725662718556</v>
      </c>
      <c r="K6" s="304">
        <f t="shared" si="2"/>
        <v>0.102180530174845</v>
      </c>
      <c r="L6" s="304">
        <f t="shared" si="3"/>
        <v>0.0817444241398759</v>
      </c>
    </row>
    <row r="7" customHeight="1" spans="4:12">
      <c r="D7" s="292" t="s">
        <v>143</v>
      </c>
      <c r="E7" s="298">
        <f>MIN(Model!I7:L7)</f>
        <v>0.0623891472125018</v>
      </c>
      <c r="F7" s="300"/>
      <c r="H7" s="299">
        <v>0.0623891472125018</v>
      </c>
      <c r="I7" s="305">
        <f>H7*(1-$E$8)</f>
        <v>0.0499113177700014</v>
      </c>
      <c r="J7" s="304">
        <f t="shared" si="1"/>
        <v>0.0399290542160011</v>
      </c>
      <c r="K7" s="304">
        <f t="shared" si="2"/>
        <v>0.0319432433728009</v>
      </c>
      <c r="L7" s="304">
        <f t="shared" si="3"/>
        <v>0.0255545946982407</v>
      </c>
    </row>
    <row r="8" customHeight="1" spans="4:11">
      <c r="D8" s="292" t="s">
        <v>144</v>
      </c>
      <c r="E8" s="301">
        <v>0.2</v>
      </c>
      <c r="F8" s="300"/>
      <c r="H8" s="299"/>
      <c r="J8" s="306"/>
      <c r="K8" s="307"/>
    </row>
    <row r="9" s="291" customFormat="1" customHeight="1" spans="8:11">
      <c r="H9" s="292"/>
      <c r="J9" s="308"/>
      <c r="K9" s="309"/>
    </row>
    <row r="10" customHeight="1" spans="10:11">
      <c r="J10" s="310"/>
      <c r="K10" s="307"/>
    </row>
    <row r="11" customHeight="1" spans="11:11">
      <c r="K11" s="307"/>
    </row>
    <row r="12" customHeight="1" spans="8:11">
      <c r="H12" s="302"/>
      <c r="K12" s="307"/>
    </row>
    <row r="13" customHeight="1" spans="11:11">
      <c r="K13" s="307"/>
    </row>
    <row r="14" customHeight="1" spans="11:11">
      <c r="K14" s="307"/>
    </row>
    <row r="15" customHeight="1" spans="9:11">
      <c r="I15" s="311"/>
      <c r="K15" s="307"/>
    </row>
    <row r="17" customHeight="1" spans="11:11">
      <c r="K17" s="307"/>
    </row>
    <row r="18" customHeight="1" spans="11:11">
      <c r="K18" s="307"/>
    </row>
    <row r="19" s="291" customFormat="1" customHeight="1" spans="11:11">
      <c r="K19" s="309"/>
    </row>
    <row r="20" customHeight="1" spans="11:11">
      <c r="K20" s="307"/>
    </row>
    <row r="21" customHeight="1" spans="11:11">
      <c r="K21" s="312"/>
    </row>
    <row r="22" customHeight="1" spans="11:11">
      <c r="K22" s="307"/>
    </row>
    <row r="23" customHeight="1" spans="11:11">
      <c r="K23" s="307"/>
    </row>
    <row r="24" customHeight="1" spans="11:11">
      <c r="K24" s="307"/>
    </row>
    <row r="25" customHeight="1" spans="11:11">
      <c r="K25" s="307"/>
    </row>
    <row r="26" customHeight="1" spans="11:11">
      <c r="K26" s="307"/>
    </row>
    <row r="28" customHeight="1" spans="11:11">
      <c r="K28" s="307"/>
    </row>
    <row r="1048564" ht="14.4"/>
    <row r="1048565" ht="14.4"/>
    <row r="1048566" ht="14.4"/>
    <row r="1048567" ht="14.4"/>
    <row r="1048568" ht="14.4"/>
    <row r="1048569" ht="14.4"/>
    <row r="1048570" ht="14.4"/>
    <row r="1048571" ht="14.4"/>
    <row r="1048572" ht="14.4"/>
    <row r="1048573" ht="14.4"/>
    <row r="1048574" ht="14.4"/>
    <row r="1048575" ht="14.4"/>
    <row r="1048576" ht="14.4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showGridLines="0" zoomScale="90" zoomScaleNormal="90" workbookViewId="0">
      <pane ySplit="5" topLeftCell="A16" activePane="bottomLeft" state="frozen"/>
      <selection/>
      <selection pane="bottomLeft" activeCell="F23" sqref="F23"/>
    </sheetView>
  </sheetViews>
  <sheetFormatPr defaultColWidth="8.90740740740741" defaultRowHeight="20" customHeight="1"/>
  <cols>
    <col min="1" max="3" width="2" customWidth="1"/>
    <col min="4" max="4" width="39.1759259259259" customWidth="1"/>
    <col min="5" max="5" width="12.1759259259259" customWidth="1"/>
    <col min="6" max="6" width="15.2685185185185" customWidth="1"/>
    <col min="7" max="7" width="15" customWidth="1"/>
    <col min="8" max="8" width="12.1759259259259" customWidth="1"/>
    <col min="9" max="9" width="17.4537037037037" customWidth="1"/>
    <col min="10" max="10" width="14.5462962962963" customWidth="1"/>
    <col min="11" max="11" width="12.1759259259259" customWidth="1"/>
    <col min="12" max="12" width="13.9074074074074" customWidth="1"/>
    <col min="13" max="13" width="12.0925925925926" customWidth="1"/>
    <col min="14" max="14" width="15.6296296296296"/>
    <col min="16" max="16" width="12.9074074074074"/>
    <col min="17" max="17" width="11" customWidth="1"/>
    <col min="18" max="18" width="9.17592592592593"/>
    <col min="19" max="19" width="10.9074074074074"/>
  </cols>
  <sheetData>
    <row r="1" ht="38" customHeight="1" spans="1:18">
      <c r="A1" s="176" t="s">
        <v>0</v>
      </c>
      <c r="B1" s="177"/>
      <c r="C1" s="177"/>
      <c r="D1" s="177"/>
      <c r="E1" s="177"/>
      <c r="F1" s="177"/>
      <c r="G1" s="178"/>
      <c r="H1" s="179"/>
      <c r="I1" s="177"/>
      <c r="J1" s="177"/>
      <c r="K1" s="177"/>
      <c r="L1" s="177"/>
      <c r="M1" s="178"/>
      <c r="N1" s="178"/>
      <c r="O1" s="177"/>
      <c r="P1" s="177"/>
      <c r="Q1" s="177"/>
      <c r="R1" s="187"/>
    </row>
    <row r="2" ht="30" customHeight="1" spans="3:5">
      <c r="C2" s="247" t="s">
        <v>145</v>
      </c>
      <c r="E2" s="248" t="s">
        <v>146</v>
      </c>
    </row>
    <row r="3" s="244" customFormat="1" ht="15" customHeight="1" spans="8:17">
      <c r="H3" s="249" t="s">
        <v>147</v>
      </c>
      <c r="I3" s="249"/>
      <c r="L3" s="270" t="s">
        <v>148</v>
      </c>
      <c r="M3" s="270"/>
      <c r="P3" s="270" t="s">
        <v>149</v>
      </c>
      <c r="Q3" s="270"/>
    </row>
    <row r="4" s="244" customFormat="1" ht="12" customHeight="1" spans="5:19">
      <c r="E4" s="244" t="s">
        <v>150</v>
      </c>
      <c r="F4" s="244" t="s">
        <v>151</v>
      </c>
      <c r="G4" s="244" t="s">
        <v>152</v>
      </c>
      <c r="H4" s="244" t="s">
        <v>38</v>
      </c>
      <c r="I4" s="244" t="s">
        <v>153</v>
      </c>
      <c r="J4" s="271" t="s">
        <v>154</v>
      </c>
      <c r="K4" s="271"/>
      <c r="L4" s="244" t="s">
        <v>155</v>
      </c>
      <c r="M4" s="244" t="s">
        <v>10</v>
      </c>
      <c r="N4" s="244" t="s">
        <v>156</v>
      </c>
      <c r="P4" s="244" t="s">
        <v>157</v>
      </c>
      <c r="Q4" s="244" t="s">
        <v>108</v>
      </c>
      <c r="R4" s="244" t="s">
        <v>158</v>
      </c>
      <c r="S4" s="244" t="s">
        <v>159</v>
      </c>
    </row>
    <row r="5" s="244" customFormat="1" ht="19" customHeight="1" spans="2:19">
      <c r="B5" s="244" t="s">
        <v>160</v>
      </c>
      <c r="E5" s="244" t="s">
        <v>161</v>
      </c>
      <c r="G5" s="244" t="s">
        <v>162</v>
      </c>
      <c r="J5" s="271" t="s">
        <v>162</v>
      </c>
      <c r="L5" s="244" t="s">
        <v>162</v>
      </c>
      <c r="M5" s="244" t="s">
        <v>162</v>
      </c>
      <c r="N5" s="244" t="s">
        <v>162</v>
      </c>
      <c r="P5" s="244" t="s">
        <v>163</v>
      </c>
      <c r="Q5" s="244" t="s">
        <v>163</v>
      </c>
      <c r="R5" s="244" t="s">
        <v>163</v>
      </c>
      <c r="S5" s="244" t="s">
        <v>164</v>
      </c>
    </row>
    <row r="6" s="244" customFormat="1" ht="19" customHeight="1" spans="10:10">
      <c r="J6" s="271"/>
    </row>
    <row r="7" s="245" customFormat="1" customHeight="1" spans="4:19">
      <c r="D7" s="250" t="s">
        <v>165</v>
      </c>
      <c r="E7" s="251">
        <v>6445</v>
      </c>
      <c r="F7" s="245">
        <v>167</v>
      </c>
      <c r="G7" s="251">
        <f t="shared" ref="G7:G16" si="0">E7*F7</f>
        <v>1076315</v>
      </c>
      <c r="H7" s="245">
        <v>19776.03</v>
      </c>
      <c r="I7" s="272">
        <v>7503</v>
      </c>
      <c r="J7" s="272">
        <f t="shared" ref="J7:J16" si="1">G7+H7-I7</f>
        <v>1088588.03</v>
      </c>
      <c r="L7" s="251">
        <v>270141</v>
      </c>
      <c r="M7" s="251">
        <v>80632</v>
      </c>
      <c r="N7" s="251">
        <v>51983</v>
      </c>
      <c r="P7" s="273">
        <f>J7/L7</f>
        <v>4.02970311800134</v>
      </c>
      <c r="Q7" s="273">
        <f t="shared" ref="Q7:Q16" si="2">J7/M7</f>
        <v>13.5006948854053</v>
      </c>
      <c r="R7" s="273">
        <f t="shared" ref="R7:R16" si="3">G7/N7</f>
        <v>20.705134370852</v>
      </c>
      <c r="S7" s="285">
        <v>0.2446</v>
      </c>
    </row>
    <row r="8" customHeight="1" spans="4:19">
      <c r="D8" s="250" t="s">
        <v>166</v>
      </c>
      <c r="E8" s="252">
        <v>923</v>
      </c>
      <c r="F8" s="250">
        <v>1012</v>
      </c>
      <c r="G8" s="253">
        <f t="shared" si="0"/>
        <v>934076</v>
      </c>
      <c r="H8" s="254">
        <v>1910.79</v>
      </c>
      <c r="I8" s="274">
        <v>5781</v>
      </c>
      <c r="J8" s="275">
        <f t="shared" si="1"/>
        <v>930205.79</v>
      </c>
      <c r="K8" s="257"/>
      <c r="L8" s="276">
        <v>187864</v>
      </c>
      <c r="M8" s="276">
        <v>49049</v>
      </c>
      <c r="N8" s="276">
        <v>29611</v>
      </c>
      <c r="O8" s="257"/>
      <c r="P8" s="277">
        <f t="shared" ref="P8:P16" si="4">J8/L8</f>
        <v>4.95148506366308</v>
      </c>
      <c r="Q8" s="277">
        <f t="shared" si="2"/>
        <v>18.9648268058472</v>
      </c>
      <c r="R8" s="277">
        <f t="shared" si="3"/>
        <v>31.5448988551552</v>
      </c>
      <c r="S8" s="286">
        <v>0.2055</v>
      </c>
    </row>
    <row r="9" customHeight="1" spans="4:19">
      <c r="D9" s="250" t="s">
        <v>167</v>
      </c>
      <c r="E9" s="255">
        <v>2627</v>
      </c>
      <c r="F9" s="250">
        <v>338</v>
      </c>
      <c r="G9" s="253">
        <f t="shared" si="0"/>
        <v>887926</v>
      </c>
      <c r="H9" s="254">
        <v>44697.86</v>
      </c>
      <c r="I9" s="274">
        <v>5130</v>
      </c>
      <c r="J9" s="275">
        <f t="shared" si="1"/>
        <v>927493.86</v>
      </c>
      <c r="K9" s="257"/>
      <c r="L9" s="276">
        <v>104303</v>
      </c>
      <c r="M9" s="276">
        <v>31025</v>
      </c>
      <c r="N9" s="276">
        <v>14878</v>
      </c>
      <c r="O9" s="257"/>
      <c r="P9" s="277">
        <f t="shared" si="4"/>
        <v>8.89230281008216</v>
      </c>
      <c r="Q9" s="277">
        <f t="shared" si="2"/>
        <v>29.8950478646253</v>
      </c>
      <c r="R9" s="277">
        <f t="shared" si="3"/>
        <v>59.6804678048125</v>
      </c>
      <c r="S9" s="286">
        <v>0.3064</v>
      </c>
    </row>
    <row r="10" customHeight="1" spans="4:19">
      <c r="D10" s="250" t="s">
        <v>168</v>
      </c>
      <c r="E10" s="255">
        <v>2154</v>
      </c>
      <c r="F10" s="256">
        <v>401</v>
      </c>
      <c r="G10" s="253">
        <f t="shared" si="0"/>
        <v>863754</v>
      </c>
      <c r="H10" s="254">
        <v>1786.67</v>
      </c>
      <c r="I10" s="278">
        <v>3075</v>
      </c>
      <c r="J10" s="275">
        <f t="shared" si="1"/>
        <v>862465.67</v>
      </c>
      <c r="K10" s="257"/>
      <c r="L10" s="276">
        <v>99038</v>
      </c>
      <c r="M10" s="276">
        <v>23054</v>
      </c>
      <c r="N10" s="276">
        <v>17197</v>
      </c>
      <c r="O10" s="257"/>
      <c r="P10" s="277">
        <f t="shared" si="4"/>
        <v>8.70843181405117</v>
      </c>
      <c r="Q10" s="277">
        <f t="shared" si="2"/>
        <v>37.4106736358116</v>
      </c>
      <c r="R10" s="277">
        <f t="shared" si="3"/>
        <v>50.2270163400593</v>
      </c>
      <c r="S10" s="286">
        <v>0.2023</v>
      </c>
    </row>
    <row r="11" customHeight="1" spans="4:19">
      <c r="D11" s="250" t="s">
        <v>169</v>
      </c>
      <c r="E11" s="255">
        <v>1612</v>
      </c>
      <c r="F11" s="250">
        <v>457</v>
      </c>
      <c r="G11" s="253">
        <f t="shared" si="0"/>
        <v>736684</v>
      </c>
      <c r="H11" s="254">
        <v>37684.11</v>
      </c>
      <c r="I11" s="278">
        <v>12426</v>
      </c>
      <c r="J11" s="275">
        <f t="shared" si="1"/>
        <v>761942.11</v>
      </c>
      <c r="K11" s="257"/>
      <c r="L11" s="276">
        <v>193799</v>
      </c>
      <c r="M11" s="276">
        <v>31334</v>
      </c>
      <c r="N11" s="276">
        <v>17833</v>
      </c>
      <c r="O11" s="257"/>
      <c r="P11" s="277">
        <f t="shared" si="4"/>
        <v>3.93161012182725</v>
      </c>
      <c r="Q11" s="277">
        <f t="shared" si="2"/>
        <v>24.3167840045956</v>
      </c>
      <c r="R11" s="277">
        <f t="shared" si="3"/>
        <v>41.3101553300062</v>
      </c>
      <c r="S11" s="286">
        <v>0.171</v>
      </c>
    </row>
    <row r="12" customHeight="1" spans="4:19">
      <c r="D12" s="250" t="s">
        <v>170</v>
      </c>
      <c r="E12" s="255">
        <v>1044</v>
      </c>
      <c r="F12" s="250">
        <v>587</v>
      </c>
      <c r="G12" s="253">
        <f t="shared" si="0"/>
        <v>612828</v>
      </c>
      <c r="H12" s="254">
        <v>66201.73</v>
      </c>
      <c r="I12" s="278">
        <v>44347</v>
      </c>
      <c r="J12" s="275">
        <f t="shared" si="1"/>
        <v>634682.73</v>
      </c>
      <c r="K12" s="257"/>
      <c r="L12" s="276">
        <v>277104</v>
      </c>
      <c r="M12" s="276">
        <v>48727</v>
      </c>
      <c r="N12" s="276">
        <v>27586</v>
      </c>
      <c r="O12" s="257"/>
      <c r="P12" s="277">
        <f t="shared" si="4"/>
        <v>2.29041345487615</v>
      </c>
      <c r="Q12" s="277">
        <f t="shared" si="2"/>
        <v>13.0252781825271</v>
      </c>
      <c r="R12" s="277">
        <f t="shared" si="3"/>
        <v>22.2151816138621</v>
      </c>
      <c r="S12" s="286">
        <v>0.2867</v>
      </c>
    </row>
    <row r="13" customHeight="1" spans="4:19">
      <c r="D13" s="250" t="s">
        <v>171</v>
      </c>
      <c r="E13" s="255">
        <v>28686</v>
      </c>
      <c r="F13" s="250">
        <v>21</v>
      </c>
      <c r="G13" s="253">
        <f t="shared" si="0"/>
        <v>602406</v>
      </c>
      <c r="H13" s="254">
        <v>911.48</v>
      </c>
      <c r="I13" s="278">
        <v>2418</v>
      </c>
      <c r="J13" s="275">
        <f t="shared" si="1"/>
        <v>600899.48</v>
      </c>
      <c r="K13" s="257"/>
      <c r="L13" s="276">
        <v>57287</v>
      </c>
      <c r="M13" s="276">
        <v>13600</v>
      </c>
      <c r="N13" s="276">
        <v>11407</v>
      </c>
      <c r="O13" s="257"/>
      <c r="P13" s="277">
        <f t="shared" si="4"/>
        <v>10.4892816869447</v>
      </c>
      <c r="Q13" s="277">
        <f t="shared" si="2"/>
        <v>44.1837852941176</v>
      </c>
      <c r="R13" s="277">
        <f t="shared" si="3"/>
        <v>52.8102042605418</v>
      </c>
      <c r="S13" s="286">
        <v>0.2544</v>
      </c>
    </row>
    <row r="14" customHeight="1" spans="4:19">
      <c r="D14" s="250" t="s">
        <v>172</v>
      </c>
      <c r="E14" s="255">
        <v>2169</v>
      </c>
      <c r="F14" s="250">
        <v>169</v>
      </c>
      <c r="G14" s="253">
        <f t="shared" si="0"/>
        <v>366561</v>
      </c>
      <c r="H14" s="254">
        <v>212.88</v>
      </c>
      <c r="I14" s="278">
        <v>352</v>
      </c>
      <c r="J14" s="275">
        <f t="shared" si="1"/>
        <v>366421.88</v>
      </c>
      <c r="K14" s="257"/>
      <c r="L14" s="276">
        <v>32972</v>
      </c>
      <c r="M14" s="276">
        <v>7959</v>
      </c>
      <c r="N14" s="276">
        <v>5266</v>
      </c>
      <c r="O14" s="257"/>
      <c r="P14" s="277">
        <f t="shared" si="4"/>
        <v>11.1131226495208</v>
      </c>
      <c r="Q14" s="277">
        <f t="shared" si="2"/>
        <v>46.0386832516648</v>
      </c>
      <c r="R14" s="277">
        <f t="shared" si="3"/>
        <v>69.6090011393847</v>
      </c>
      <c r="S14" s="286">
        <v>0.2809</v>
      </c>
    </row>
    <row r="15" customHeight="1" spans="4:19">
      <c r="D15" s="250" t="s">
        <v>173</v>
      </c>
      <c r="E15" s="255">
        <v>1218</v>
      </c>
      <c r="F15" s="250">
        <v>254</v>
      </c>
      <c r="G15" s="253">
        <f t="shared" si="0"/>
        <v>309372</v>
      </c>
      <c r="H15" s="254">
        <v>19789.53</v>
      </c>
      <c r="I15" s="278">
        <v>12688</v>
      </c>
      <c r="J15" s="275">
        <f t="shared" si="1"/>
        <v>316473.53</v>
      </c>
      <c r="K15" s="257"/>
      <c r="L15" s="276">
        <v>71529</v>
      </c>
      <c r="M15" s="276">
        <v>11088</v>
      </c>
      <c r="N15" s="276">
        <v>5619</v>
      </c>
      <c r="O15" s="257"/>
      <c r="P15" s="277">
        <f t="shared" si="4"/>
        <v>4.42440870136588</v>
      </c>
      <c r="Q15" s="277">
        <f t="shared" si="2"/>
        <v>28.54198502886</v>
      </c>
      <c r="R15" s="277">
        <f t="shared" si="3"/>
        <v>55.0581954084357</v>
      </c>
      <c r="S15" s="286">
        <v>0.3245</v>
      </c>
    </row>
    <row r="16" customHeight="1" spans="4:19">
      <c r="D16" s="250" t="s">
        <v>174</v>
      </c>
      <c r="E16" s="255">
        <v>1861</v>
      </c>
      <c r="F16" s="250">
        <v>165</v>
      </c>
      <c r="G16" s="253">
        <f t="shared" si="0"/>
        <v>307065</v>
      </c>
      <c r="H16" s="254">
        <v>3555.02</v>
      </c>
      <c r="I16" s="278">
        <v>19256</v>
      </c>
      <c r="J16" s="275">
        <f t="shared" si="1"/>
        <v>291364.02</v>
      </c>
      <c r="K16" s="257"/>
      <c r="L16" s="276">
        <v>48913</v>
      </c>
      <c r="M16" s="276">
        <v>10292</v>
      </c>
      <c r="N16" s="276">
        <v>6559</v>
      </c>
      <c r="O16" s="257"/>
      <c r="P16" s="277">
        <f t="shared" si="4"/>
        <v>5.95678081491628</v>
      </c>
      <c r="Q16" s="277">
        <f t="shared" si="2"/>
        <v>28.3097570928877</v>
      </c>
      <c r="R16" s="277">
        <f t="shared" si="3"/>
        <v>46.8158255831682</v>
      </c>
      <c r="S16" s="286">
        <v>0.3033</v>
      </c>
    </row>
    <row r="17" customHeight="1" spans="4:18">
      <c r="D17" s="257"/>
      <c r="E17" s="250"/>
      <c r="F17" s="250"/>
      <c r="G17" s="258"/>
      <c r="H17" s="254"/>
      <c r="I17" s="254"/>
      <c r="J17" s="258"/>
      <c r="K17" s="257"/>
      <c r="L17" s="278"/>
      <c r="M17" s="278"/>
      <c r="N17" s="279"/>
      <c r="O17" s="257"/>
      <c r="P17" s="280"/>
      <c r="Q17" s="280"/>
      <c r="R17" s="280"/>
    </row>
    <row r="18" customHeight="1" spans="4:18">
      <c r="D18" s="259" t="s">
        <v>121</v>
      </c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81">
        <f>AVERAGE(P8:P16)</f>
        <v>6.75087079080527</v>
      </c>
      <c r="Q18" s="281">
        <f t="shared" ref="Q18:R18" si="5">AVERAGE(Q8:Q16)</f>
        <v>30.0763134623263</v>
      </c>
      <c r="R18" s="281">
        <f t="shared" si="5"/>
        <v>47.6967718150473</v>
      </c>
    </row>
    <row r="19" customHeight="1" spans="4:18">
      <c r="D19" s="259" t="s">
        <v>175</v>
      </c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81">
        <f t="shared" ref="P19:R19" si="6">MEDIAN(P7:P16)</f>
        <v>5.45413293928968</v>
      </c>
      <c r="Q19" s="281">
        <f t="shared" si="6"/>
        <v>28.4258710608739</v>
      </c>
      <c r="R19" s="281">
        <f t="shared" si="6"/>
        <v>48.5214209616137</v>
      </c>
    </row>
    <row r="23" s="246" customFormat="1" customHeight="1" spans="4:18">
      <c r="D23" s="261" t="s">
        <v>176</v>
      </c>
      <c r="E23" s="262">
        <v>5421</v>
      </c>
      <c r="F23" s="263">
        <v>120</v>
      </c>
      <c r="G23" s="262">
        <f>E23*F23</f>
        <v>650520</v>
      </c>
      <c r="H23" s="264">
        <v>14368</v>
      </c>
      <c r="I23" s="264">
        <v>2762</v>
      </c>
      <c r="J23" s="282">
        <f>G23+H23-I23</f>
        <v>662126</v>
      </c>
      <c r="L23" s="262">
        <v>125803</v>
      </c>
      <c r="M23" s="262">
        <v>21840</v>
      </c>
      <c r="N23" s="262">
        <v>15665</v>
      </c>
      <c r="P23" s="283">
        <f>J23/L23</f>
        <v>5.26319722105196</v>
      </c>
      <c r="Q23" s="283">
        <f>J23/M23</f>
        <v>30.3171245421245</v>
      </c>
      <c r="R23" s="283">
        <f>G23/N23</f>
        <v>41.5269709543568</v>
      </c>
    </row>
    <row r="27" customHeight="1" spans="4:10">
      <c r="D27" s="265" t="s">
        <v>177</v>
      </c>
      <c r="E27" s="265" t="s">
        <v>178</v>
      </c>
      <c r="F27" s="265" t="s">
        <v>154</v>
      </c>
      <c r="G27" s="265" t="s">
        <v>179</v>
      </c>
      <c r="H27" s="265" t="s">
        <v>180</v>
      </c>
      <c r="I27" s="265" t="s">
        <v>151</v>
      </c>
      <c r="J27" s="265" t="s">
        <v>181</v>
      </c>
    </row>
    <row r="28" customHeight="1" spans="4:10">
      <c r="D28" s="266" t="s">
        <v>182</v>
      </c>
      <c r="E28" s="267">
        <v>5.5</v>
      </c>
      <c r="F28" s="268">
        <f>E28*L23</f>
        <v>691916.5</v>
      </c>
      <c r="G28" s="269">
        <f>H23-I23</f>
        <v>11606</v>
      </c>
      <c r="H28" s="269">
        <f>F28-G28</f>
        <v>680310.5</v>
      </c>
      <c r="I28" s="284">
        <f t="shared" ref="I28:I30" si="7">$F$23</f>
        <v>120</v>
      </c>
      <c r="J28" s="269">
        <f t="shared" ref="J28:J30" si="8">H28/I28</f>
        <v>5669.25416666667</v>
      </c>
    </row>
    <row r="29" customHeight="1" spans="4:10">
      <c r="D29" s="266" t="s">
        <v>108</v>
      </c>
      <c r="E29" s="267">
        <v>28.4</v>
      </c>
      <c r="F29" s="269">
        <f>E29*M23</f>
        <v>620256</v>
      </c>
      <c r="G29" s="269">
        <f>G28</f>
        <v>11606</v>
      </c>
      <c r="H29" s="269">
        <f>F29-G29</f>
        <v>608650</v>
      </c>
      <c r="I29" s="284">
        <f t="shared" si="7"/>
        <v>120</v>
      </c>
      <c r="J29" s="269">
        <f t="shared" si="8"/>
        <v>5072.08333333333</v>
      </c>
    </row>
    <row r="30" customHeight="1" spans="4:10">
      <c r="D30" s="266" t="s">
        <v>158</v>
      </c>
      <c r="E30" s="267">
        <v>48.5</v>
      </c>
      <c r="F30" s="269">
        <f>H30+G30</f>
        <v>771358.5</v>
      </c>
      <c r="G30" s="269">
        <f>G28</f>
        <v>11606</v>
      </c>
      <c r="H30" s="269">
        <f>E30*N23</f>
        <v>759752.5</v>
      </c>
      <c r="I30" s="284">
        <f t="shared" si="7"/>
        <v>120</v>
      </c>
      <c r="J30" s="269">
        <f t="shared" si="8"/>
        <v>6331.27083333333</v>
      </c>
    </row>
  </sheetData>
  <mergeCells count="3">
    <mergeCell ref="H3:I3"/>
    <mergeCell ref="L3:M3"/>
    <mergeCell ref="P3:Q3"/>
  </mergeCells>
  <hyperlinks>
    <hyperlink ref="D23" r:id="rId1" display="ALKEM" tooltip="https://finchat.io/company/NSEI-ALKEM/"/>
    <hyperlink ref="D9" r:id="rId2" display="Torrent" tooltip="https://finchat.io/company/NSEI-MANKIND/"/>
    <hyperlink ref="D10" r:id="rId3" display="Mankind" tooltip="https://finchat.io/company/NSEI-ZYDUSLIFE/"/>
    <hyperlink ref="D11" r:id="rId4" display="Lupin" tooltip="https://finchat.io/company/BSE-500257/"/>
    <hyperlink ref="D12" r:id="rId5" display="AUROPHARMA" tooltip="https://finchat.io/company/NSEI-AUROPHARMA/"/>
    <hyperlink ref="D13" r:id="rId6" display="Abbott" tooltip="https://finchat.io/company/BSE-500488/"/>
    <hyperlink ref="D16" r:id="rId7" display="GLand Pharma" tooltip="https://finchat.io/company/NSEI-GLENMARK/"/>
    <hyperlink ref="D15" r:id="rId8" display="IPCALAB" tooltip="https://finchat.io/company/NSEI-IPCALAB/"/>
    <hyperlink ref="D14" r:id="rId9" display="GLaxo Smith KIne" tooltip="https://finchat.io/company/BSE-500660/"/>
    <hyperlink ref="D8" r:id="rId3" display="ZYDUSLIFE" tooltip="https://finchat.io/company/NSEI-ZYDUSLIFE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showGridLines="0" workbookViewId="0">
      <selection activeCell="H20" sqref="H20"/>
    </sheetView>
  </sheetViews>
  <sheetFormatPr defaultColWidth="33.5462962962963" defaultRowHeight="17" customHeight="1"/>
  <cols>
    <col min="1" max="1" width="1.62962962962963" style="188" customWidth="1"/>
    <col min="2" max="2" width="1.5462962962963" style="188" customWidth="1"/>
    <col min="3" max="3" width="1.17592592592593" style="188" customWidth="1"/>
    <col min="4" max="4" width="41.3611111111111" style="188" customWidth="1"/>
    <col min="5" max="5" width="12.6296296296296" style="188" customWidth="1"/>
    <col min="6" max="6" width="22.1759259259259" style="188" customWidth="1"/>
    <col min="7" max="8" width="12.6296296296296" style="188" customWidth="1"/>
    <col min="9" max="9" width="17.0925925925926" style="188" customWidth="1"/>
    <col min="10" max="11" width="12.6296296296296" style="188" customWidth="1"/>
    <col min="12" max="12" width="14.9074074074074" style="188" customWidth="1"/>
    <col min="13" max="19" width="12.6296296296296" style="188" customWidth="1"/>
    <col min="20" max="20" width="33.5462962962963" style="188" customWidth="1"/>
    <col min="21" max="16384" width="33.5462962962963" style="188"/>
  </cols>
  <sheetData>
    <row r="1" customFormat="1" ht="38" customHeight="1" spans="1:18">
      <c r="A1" s="176" t="s">
        <v>0</v>
      </c>
      <c r="B1" s="177"/>
      <c r="C1" s="177"/>
      <c r="D1" s="177"/>
      <c r="E1" s="177"/>
      <c r="F1" s="177"/>
      <c r="G1" s="178"/>
      <c r="H1" s="179"/>
      <c r="I1" s="177"/>
      <c r="J1" s="177"/>
      <c r="K1" s="177"/>
      <c r="L1" s="177"/>
      <c r="M1" s="178"/>
      <c r="N1" s="178"/>
      <c r="O1" s="177"/>
      <c r="P1" s="177"/>
      <c r="Q1" s="177"/>
      <c r="R1" s="187"/>
    </row>
    <row r="2" ht="24" customHeight="1"/>
    <row r="3" ht="25" customHeight="1" spans="4:4">
      <c r="D3" s="188" t="s">
        <v>183</v>
      </c>
    </row>
    <row r="4" ht="18" spans="4:12">
      <c r="D4" s="208"/>
      <c r="E4" s="208"/>
      <c r="F4" s="209" t="s">
        <v>184</v>
      </c>
      <c r="G4" s="209" t="s">
        <v>92</v>
      </c>
      <c r="H4" s="210" t="s">
        <v>185</v>
      </c>
      <c r="I4" s="210" t="s">
        <v>185</v>
      </c>
      <c r="J4" s="209" t="s">
        <v>107</v>
      </c>
      <c r="K4" s="209" t="s">
        <v>186</v>
      </c>
      <c r="L4" s="210" t="s">
        <v>187</v>
      </c>
    </row>
    <row r="5" ht="18" customHeight="1" spans="4:12">
      <c r="D5" s="208"/>
      <c r="E5" s="208"/>
      <c r="F5" s="209" t="s">
        <v>152</v>
      </c>
      <c r="G5" s="209" t="s">
        <v>38</v>
      </c>
      <c r="H5" s="210" t="s">
        <v>188</v>
      </c>
      <c r="I5" s="210" t="s">
        <v>189</v>
      </c>
      <c r="J5" s="209" t="s">
        <v>74</v>
      </c>
      <c r="K5" s="209" t="s">
        <v>190</v>
      </c>
      <c r="L5" s="210" t="s">
        <v>190</v>
      </c>
    </row>
    <row r="6" ht="24" customHeight="1" spans="4:12">
      <c r="D6" s="208" t="s">
        <v>191</v>
      </c>
      <c r="E6" s="208"/>
      <c r="F6" s="208"/>
      <c r="G6" s="208"/>
      <c r="H6" s="208"/>
      <c r="I6" s="208"/>
      <c r="J6" s="208"/>
      <c r="K6" s="208"/>
      <c r="L6" s="208"/>
    </row>
    <row r="7" ht="24" customHeight="1" spans="4:12">
      <c r="D7" s="211" t="s">
        <v>165</v>
      </c>
      <c r="F7" s="212">
        <f>Comps!G7</f>
        <v>1076315</v>
      </c>
      <c r="G7" s="213">
        <v>19776.03</v>
      </c>
      <c r="H7" s="214">
        <f>G7/F7</f>
        <v>0.0183738310810497</v>
      </c>
      <c r="I7" s="214">
        <f>G7/(F7+G7)</f>
        <v>0.0180423244591282</v>
      </c>
      <c r="J7" s="214">
        <v>0.2446</v>
      </c>
      <c r="K7" s="188">
        <v>0.33</v>
      </c>
      <c r="L7" s="239">
        <f t="shared" ref="L7:L15" si="0">K7/(1+H7*(1-J7))</f>
        <v>0.325482436577585</v>
      </c>
    </row>
    <row r="8" ht="24" customHeight="1" spans="4:12">
      <c r="D8" s="211" t="s">
        <v>166</v>
      </c>
      <c r="F8" s="212">
        <f>Comps!G8</f>
        <v>934076</v>
      </c>
      <c r="G8" s="215">
        <v>1910.79</v>
      </c>
      <c r="H8" s="214">
        <f>G8/F8</f>
        <v>0.00204564724926023</v>
      </c>
      <c r="I8" s="214">
        <f>G8/(F8+G8)</f>
        <v>0.00204147111948022</v>
      </c>
      <c r="J8" s="214">
        <v>0.2055</v>
      </c>
      <c r="K8" s="188">
        <v>0.49</v>
      </c>
      <c r="L8" s="239">
        <f t="shared" si="0"/>
        <v>0.489204911528474</v>
      </c>
    </row>
    <row r="9" ht="24" customHeight="1" spans="4:12">
      <c r="D9" s="211" t="s">
        <v>167</v>
      </c>
      <c r="F9" s="212">
        <f>Comps!G9</f>
        <v>887926</v>
      </c>
      <c r="G9" s="215">
        <v>44697.86</v>
      </c>
      <c r="H9" s="214">
        <f>G9/F9</f>
        <v>0.0503396228965026</v>
      </c>
      <c r="I9" s="214">
        <f>G9/(F9+G9)</f>
        <v>0.0479269959917174</v>
      </c>
      <c r="J9" s="214">
        <v>0.3064</v>
      </c>
      <c r="K9" s="188">
        <v>0.28</v>
      </c>
      <c r="L9" s="239">
        <f t="shared" si="0"/>
        <v>0.270553473309045</v>
      </c>
    </row>
    <row r="10" ht="24" customHeight="1" spans="4:12">
      <c r="D10" s="211" t="s">
        <v>169</v>
      </c>
      <c r="F10" s="212">
        <f>Comps!G11</f>
        <v>736684</v>
      </c>
      <c r="G10" s="215">
        <v>37684.11</v>
      </c>
      <c r="H10" s="214">
        <f t="shared" ref="H10:H15" si="1">G10/F10</f>
        <v>0.0511536968360925</v>
      </c>
      <c r="I10" s="214">
        <f t="shared" ref="I10:I15" si="2">G10/(F10+G10)</f>
        <v>0.0486643361385324</v>
      </c>
      <c r="J10" s="214">
        <v>0.171</v>
      </c>
      <c r="K10" s="188">
        <v>0.58</v>
      </c>
      <c r="L10" s="239">
        <f t="shared" si="0"/>
        <v>0.55640486458408</v>
      </c>
    </row>
    <row r="11" ht="24" customHeight="1" spans="4:12">
      <c r="D11" s="211" t="s">
        <v>170</v>
      </c>
      <c r="F11" s="212">
        <f>Comps!G12</f>
        <v>612828</v>
      </c>
      <c r="G11" s="215">
        <v>66201.73</v>
      </c>
      <c r="H11" s="214">
        <f t="shared" si="1"/>
        <v>0.108026607792072</v>
      </c>
      <c r="I11" s="214">
        <f t="shared" si="2"/>
        <v>0.0974945971805977</v>
      </c>
      <c r="J11" s="214">
        <v>0.2867</v>
      </c>
      <c r="K11" s="188">
        <v>0.59</v>
      </c>
      <c r="L11" s="239">
        <f t="shared" si="0"/>
        <v>0.547789845646182</v>
      </c>
    </row>
    <row r="12" ht="24" customHeight="1" spans="4:12">
      <c r="D12" s="211" t="s">
        <v>171</v>
      </c>
      <c r="F12" s="212">
        <f>Comps!G13</f>
        <v>602406</v>
      </c>
      <c r="G12" s="215">
        <v>911.48</v>
      </c>
      <c r="H12" s="214">
        <f t="shared" si="1"/>
        <v>0.00151306593891827</v>
      </c>
      <c r="I12" s="214">
        <f t="shared" si="2"/>
        <v>0.00151078002911502</v>
      </c>
      <c r="J12" s="214">
        <v>0.2544</v>
      </c>
      <c r="K12" s="188">
        <v>0.05</v>
      </c>
      <c r="L12" s="239">
        <f t="shared" si="0"/>
        <v>0.049943656465303</v>
      </c>
    </row>
    <row r="13" ht="24" customHeight="1" spans="4:12">
      <c r="D13" s="211" t="s">
        <v>172</v>
      </c>
      <c r="F13" s="212">
        <f>Comps!G14</f>
        <v>366561</v>
      </c>
      <c r="G13" s="215">
        <v>212.88</v>
      </c>
      <c r="H13" s="214">
        <f t="shared" si="1"/>
        <v>0.000580749179536285</v>
      </c>
      <c r="I13" s="214">
        <f t="shared" si="2"/>
        <v>0.000580412105682117</v>
      </c>
      <c r="J13" s="214">
        <v>0.2809</v>
      </c>
      <c r="K13" s="188">
        <v>0.19</v>
      </c>
      <c r="L13" s="239">
        <f t="shared" si="0"/>
        <v>0.189920685943227</v>
      </c>
    </row>
    <row r="14" ht="24" customHeight="1" spans="4:12">
      <c r="D14" s="211" t="s">
        <v>173</v>
      </c>
      <c r="F14" s="212">
        <f>Comps!G15</f>
        <v>309372</v>
      </c>
      <c r="G14" s="215">
        <v>19789.53</v>
      </c>
      <c r="H14" s="214">
        <f t="shared" si="1"/>
        <v>0.0639667778596641</v>
      </c>
      <c r="I14" s="214">
        <f t="shared" si="2"/>
        <v>0.0601210293317083</v>
      </c>
      <c r="J14" s="214">
        <v>0.3245</v>
      </c>
      <c r="K14" s="188">
        <v>0.23</v>
      </c>
      <c r="L14" s="239">
        <f t="shared" si="0"/>
        <v>0.220473440008556</v>
      </c>
    </row>
    <row r="15" ht="24" customHeight="1" spans="4:12">
      <c r="D15" s="216" t="s">
        <v>174</v>
      </c>
      <c r="E15" s="205"/>
      <c r="F15" s="217">
        <f>Comps!G16</f>
        <v>307065</v>
      </c>
      <c r="G15" s="215">
        <v>3555.02</v>
      </c>
      <c r="H15" s="218">
        <f t="shared" si="1"/>
        <v>0.0115774184618892</v>
      </c>
      <c r="I15" s="218">
        <f t="shared" si="2"/>
        <v>0.0114449158814683</v>
      </c>
      <c r="J15" s="214">
        <v>0.3033</v>
      </c>
      <c r="K15" s="188">
        <v>0.33</v>
      </c>
      <c r="L15" s="239">
        <f t="shared" si="0"/>
        <v>0.327359522204747</v>
      </c>
    </row>
    <row r="16" s="205" customFormat="1" ht="24" customHeight="1" spans="2:12">
      <c r="B16" s="219"/>
      <c r="C16" s="219"/>
      <c r="D16" s="220" t="s">
        <v>121</v>
      </c>
      <c r="E16" s="219"/>
      <c r="F16" s="219"/>
      <c r="G16" s="219"/>
      <c r="H16" s="221">
        <f t="shared" ref="H16:L16" si="3">AVERAGE(H7:H15)</f>
        <v>0.0341752685883317</v>
      </c>
      <c r="I16" s="221">
        <f t="shared" si="3"/>
        <v>0.0319807624708255</v>
      </c>
      <c r="J16" s="221">
        <f t="shared" si="3"/>
        <v>0.264144444444444</v>
      </c>
      <c r="K16" s="221">
        <f t="shared" si="3"/>
        <v>0.341111111111111</v>
      </c>
      <c r="L16" s="221">
        <f t="shared" si="3"/>
        <v>0.330792537363022</v>
      </c>
    </row>
    <row r="17" ht="24" customHeight="1" spans="2:12">
      <c r="B17" s="222"/>
      <c r="C17" s="222"/>
      <c r="D17" s="222" t="s">
        <v>175</v>
      </c>
      <c r="E17" s="222"/>
      <c r="F17" s="222"/>
      <c r="G17" s="222"/>
      <c r="H17" s="223">
        <f t="shared" ref="H17:L17" si="4">MEDIAN(H7:H15)</f>
        <v>0.0183738310810497</v>
      </c>
      <c r="I17" s="223">
        <f t="shared" si="4"/>
        <v>0.0180423244591282</v>
      </c>
      <c r="J17" s="223">
        <f t="shared" si="4"/>
        <v>0.2809</v>
      </c>
      <c r="K17" s="223">
        <f t="shared" si="4"/>
        <v>0.33</v>
      </c>
      <c r="L17" s="221">
        <f t="shared" si="4"/>
        <v>0.325482436577585</v>
      </c>
    </row>
    <row r="18" ht="24" customHeight="1"/>
    <row r="19" ht="24" customHeight="1"/>
    <row r="20" ht="24" customHeight="1"/>
    <row r="21" s="206" customFormat="1" ht="24" customHeight="1" spans="4:7">
      <c r="D21" s="224" t="s">
        <v>176</v>
      </c>
      <c r="F21" s="225">
        <f>Comps!G23</f>
        <v>650520</v>
      </c>
      <c r="G21" s="226">
        <f>Comps!H23</f>
        <v>14368</v>
      </c>
    </row>
    <row r="22" ht="24" customHeight="1"/>
    <row r="23" ht="24" customHeight="1"/>
    <row r="24" s="207" customFormat="1" ht="24" customHeight="1" spans="4:4">
      <c r="D24" s="207" t="s">
        <v>192</v>
      </c>
    </row>
    <row r="25" ht="24" customHeight="1"/>
    <row r="26" ht="24" customHeight="1" spans="4:4">
      <c r="D26" s="227" t="s">
        <v>193</v>
      </c>
    </row>
    <row r="28" customHeight="1" spans="4:6">
      <c r="D28" s="188" t="s">
        <v>194</v>
      </c>
      <c r="F28" s="228">
        <f>I16</f>
        <v>0.0319807624708255</v>
      </c>
    </row>
    <row r="29" customHeight="1" spans="4:6">
      <c r="D29" s="229" t="s">
        <v>195</v>
      </c>
      <c r="E29" s="229"/>
      <c r="F29" s="230">
        <f>1-F28</f>
        <v>0.968019237529175</v>
      </c>
    </row>
    <row r="31" customHeight="1" spans="4:6">
      <c r="D31" s="227" t="s">
        <v>196</v>
      </c>
      <c r="E31" s="229"/>
      <c r="F31" s="229"/>
    </row>
    <row r="32" customHeight="1" spans="4:6">
      <c r="D32" s="188" t="s">
        <v>131</v>
      </c>
      <c r="F32" s="231">
        <f>F21</f>
        <v>650520</v>
      </c>
    </row>
    <row r="33" customHeight="1" spans="4:6">
      <c r="D33" s="188" t="s">
        <v>197</v>
      </c>
      <c r="F33" s="232">
        <f>G21</f>
        <v>14368</v>
      </c>
    </row>
    <row r="34" customHeight="1" spans="4:6">
      <c r="D34" s="188" t="s">
        <v>198</v>
      </c>
      <c r="F34" s="228">
        <f>F33/F32</f>
        <v>0.022086945827953</v>
      </c>
    </row>
    <row r="36" customHeight="1" spans="4:6">
      <c r="D36" s="227" t="s">
        <v>199</v>
      </c>
      <c r="E36" s="229"/>
      <c r="F36" s="229"/>
    </row>
    <row r="37" customHeight="1" spans="4:6">
      <c r="D37" s="188" t="s">
        <v>200</v>
      </c>
      <c r="F37" s="228">
        <f>Model!M12</f>
        <v>0.0354080156740835</v>
      </c>
    </row>
    <row r="38" customHeight="1" spans="4:7">
      <c r="D38" s="188" t="s">
        <v>201</v>
      </c>
      <c r="F38" s="233">
        <v>0.157</v>
      </c>
      <c r="G38" s="188" t="s">
        <v>202</v>
      </c>
    </row>
    <row r="39" customHeight="1" spans="4:6">
      <c r="D39" s="234" t="s">
        <v>203</v>
      </c>
      <c r="E39" s="235"/>
      <c r="F39" s="236">
        <f>F37*(1-F38)</f>
        <v>0.0298489572132524</v>
      </c>
    </row>
    <row r="42" customHeight="1" spans="4:6">
      <c r="D42" s="227" t="s">
        <v>204</v>
      </c>
      <c r="E42" s="229"/>
      <c r="F42" s="229"/>
    </row>
    <row r="43" customHeight="1" spans="4:6">
      <c r="D43" s="188" t="s">
        <v>205</v>
      </c>
      <c r="F43" s="228">
        <v>0.071</v>
      </c>
    </row>
    <row r="44" customHeight="1" spans="4:6">
      <c r="D44" s="188" t="s">
        <v>206</v>
      </c>
      <c r="F44" s="237">
        <v>0.151</v>
      </c>
    </row>
    <row r="45" customHeight="1" spans="4:6">
      <c r="D45" s="188" t="s">
        <v>207</v>
      </c>
      <c r="F45" s="238">
        <f>F44-F43</f>
        <v>0.08</v>
      </c>
    </row>
    <row r="46" customHeight="1" spans="4:6">
      <c r="D46" s="188" t="s">
        <v>208</v>
      </c>
      <c r="F46" s="239">
        <f>L15*(1+F34*(1-F38))</f>
        <v>0.333454725828735</v>
      </c>
    </row>
    <row r="47" customHeight="1" spans="4:6">
      <c r="D47" s="234" t="s">
        <v>209</v>
      </c>
      <c r="E47" s="235"/>
      <c r="F47" s="240">
        <f>F43+(F45*F46)</f>
        <v>0.0976763780662988</v>
      </c>
    </row>
    <row r="50" customHeight="1" spans="4:6">
      <c r="D50" s="241" t="s">
        <v>210</v>
      </c>
      <c r="E50" s="242"/>
      <c r="F50" s="243">
        <f>(F39*F28)+(F47*F29)</f>
        <v>0.0955072054309888</v>
      </c>
    </row>
  </sheetData>
  <hyperlinks>
    <hyperlink ref="D9" r:id="rId1" display="Torrent" tooltip="https://finchat.io/company/NSEI-MANKIND/"/>
    <hyperlink ref="D10" r:id="rId2" display="Lupin" tooltip="https://finchat.io/company/BSE-500257/"/>
    <hyperlink ref="D11" r:id="rId3" display="AUROPHARMA" tooltip="https://finchat.io/company/NSEI-AUROPHARMA/"/>
    <hyperlink ref="D12" r:id="rId4" display="Abbott" tooltip="https://finchat.io/company/BSE-500488/"/>
    <hyperlink ref="D15" r:id="rId5" display="GLand Pharma" tooltip="https://finchat.io/company/NSEI-GLENMARK/"/>
    <hyperlink ref="D14" r:id="rId6" display="IPCALAB" tooltip="https://finchat.io/company/NSEI-IPCALAB/"/>
    <hyperlink ref="D13" r:id="rId7" display="GLaxo Smith KIne" tooltip="https://finchat.io/company/BSE-500660/"/>
    <hyperlink ref="D8" r:id="rId8" display="ZYDUSLIFE" tooltip="https://finchat.io/company/NSEI-ZYDUSLIFE/"/>
    <hyperlink ref="D21" r:id="rId9" display="ALKEM" tooltip="https://finchat.io/company/NSEI-ALKEM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showGridLines="0" tabSelected="1" workbookViewId="0">
      <selection activeCell="I5" sqref="I5"/>
    </sheetView>
  </sheetViews>
  <sheetFormatPr defaultColWidth="8.90740740740741" defaultRowHeight="24" customHeight="1"/>
  <cols>
    <col min="1" max="1" width="14.4537037037037"/>
    <col min="2" max="2" width="15.4537037037037"/>
    <col min="3" max="3" width="14.0925925925926"/>
    <col min="4" max="4" width="13.8148148148148" customWidth="1"/>
    <col min="5" max="5" width="12.5462962962963" customWidth="1"/>
    <col min="11" max="11" width="15.1759259259259"/>
  </cols>
  <sheetData>
    <row r="1" ht="38" customHeight="1" spans="1:18">
      <c r="A1" s="176" t="s">
        <v>0</v>
      </c>
      <c r="B1" s="177"/>
      <c r="C1" s="177"/>
      <c r="D1" s="177"/>
      <c r="E1" s="177"/>
      <c r="F1" s="177"/>
      <c r="G1" s="178"/>
      <c r="H1" s="179"/>
      <c r="I1" s="177"/>
      <c r="J1" s="177"/>
      <c r="K1" s="177"/>
      <c r="L1" s="177"/>
      <c r="M1" s="178"/>
      <c r="N1" s="178"/>
      <c r="O1" s="177"/>
      <c r="P1" s="177"/>
      <c r="Q1" s="177"/>
      <c r="R1" s="187"/>
    </row>
    <row r="2" ht="32" customHeight="1" spans="2:3">
      <c r="B2" s="190" t="s">
        <v>211</v>
      </c>
      <c r="C2" s="177"/>
    </row>
    <row r="3" ht="32" customHeight="1" spans="2:2">
      <c r="B3" s="191"/>
    </row>
    <row r="4" s="188" customFormat="1" customHeight="1" spans="1:5">
      <c r="A4" s="192"/>
      <c r="B4" s="193" t="s">
        <v>212</v>
      </c>
      <c r="C4" s="194" t="s">
        <v>213</v>
      </c>
      <c r="D4" s="193" t="s">
        <v>214</v>
      </c>
      <c r="E4" s="195" t="s">
        <v>213</v>
      </c>
    </row>
    <row r="5" s="188" customFormat="1" customHeight="1" spans="1:5">
      <c r="A5" s="196" t="s">
        <v>118</v>
      </c>
      <c r="B5" s="197" t="s">
        <v>215</v>
      </c>
      <c r="C5" s="198" t="s">
        <v>216</v>
      </c>
      <c r="D5" s="197" t="s">
        <v>215</v>
      </c>
      <c r="E5" s="199" t="s">
        <v>216</v>
      </c>
    </row>
    <row r="6" s="189" customFormat="1" customHeight="1" spans="1:4">
      <c r="A6" s="200">
        <v>43862</v>
      </c>
      <c r="B6" s="201">
        <v>38297.29</v>
      </c>
      <c r="D6" s="202">
        <v>2627.9</v>
      </c>
    </row>
    <row r="7" s="189" customFormat="1" customHeight="1" spans="1:5">
      <c r="A7" s="200">
        <v>43891</v>
      </c>
      <c r="B7" s="201">
        <v>29468.49</v>
      </c>
      <c r="C7" s="203">
        <f t="shared" ref="C7:C65" si="0">B7/B6-1</f>
        <v>-0.230533283164422</v>
      </c>
      <c r="D7" s="202">
        <v>2328.85</v>
      </c>
      <c r="E7" s="203">
        <f t="shared" ref="E7:E65" si="1">D7/D6-1</f>
        <v>-0.113798089729442</v>
      </c>
    </row>
    <row r="8" s="189" customFormat="1" customHeight="1" spans="1:11">
      <c r="A8" s="200">
        <v>43922</v>
      </c>
      <c r="B8" s="201">
        <v>33717.62</v>
      </c>
      <c r="C8" s="203">
        <f t="shared" si="0"/>
        <v>0.144192322036182</v>
      </c>
      <c r="D8" s="202">
        <v>2608.45</v>
      </c>
      <c r="E8" s="203">
        <f t="shared" si="1"/>
        <v>0.120059256714687</v>
      </c>
      <c r="J8" s="189" t="s">
        <v>190</v>
      </c>
      <c r="K8" s="204">
        <f t="array" ref="K8">SLOPE(E7:E65,C7:C65)</f>
        <v>0.710349652823787</v>
      </c>
    </row>
    <row r="9" s="189" customFormat="1" customHeight="1" spans="1:10">
      <c r="A9" s="200">
        <v>43952</v>
      </c>
      <c r="B9" s="201">
        <v>32424.1</v>
      </c>
      <c r="C9" s="203">
        <f t="shared" si="0"/>
        <v>-0.0383633245762899</v>
      </c>
      <c r="D9" s="202">
        <v>2261.2</v>
      </c>
      <c r="E9" s="203">
        <f t="shared" si="1"/>
        <v>-0.133125035940884</v>
      </c>
      <c r="J9" s="175" t="str">
        <f>_xlfn.FORMULATEXT(K8)</f>
        <v>{=SLOPE(E7:E65,C7:C65)}</v>
      </c>
    </row>
    <row r="10" s="189" customFormat="1" customHeight="1" spans="1:5">
      <c r="A10" s="200">
        <v>43983</v>
      </c>
      <c r="B10" s="201">
        <v>34915.8</v>
      </c>
      <c r="C10" s="203">
        <f t="shared" si="0"/>
        <v>0.0768471599828524</v>
      </c>
      <c r="D10" s="202">
        <v>2366.1</v>
      </c>
      <c r="E10" s="203">
        <f t="shared" si="1"/>
        <v>0.0463912966566424</v>
      </c>
    </row>
    <row r="11" s="189" customFormat="1" customHeight="1" spans="1:11">
      <c r="A11" s="200">
        <v>44013</v>
      </c>
      <c r="B11" s="201">
        <v>37606.89</v>
      </c>
      <c r="C11" s="203">
        <f t="shared" si="0"/>
        <v>0.0770737030227002</v>
      </c>
      <c r="D11" s="202">
        <v>2662.4</v>
      </c>
      <c r="E11" s="203">
        <f t="shared" si="1"/>
        <v>0.125227167068171</v>
      </c>
      <c r="K11" s="189" t="s">
        <v>217</v>
      </c>
    </row>
    <row r="12" s="189" customFormat="1" customHeight="1" spans="1:11">
      <c r="A12" s="200">
        <v>44044</v>
      </c>
      <c r="B12" s="201">
        <v>38628.29</v>
      </c>
      <c r="C12" s="203">
        <f t="shared" si="0"/>
        <v>0.0271599167067524</v>
      </c>
      <c r="D12" s="202">
        <v>2720.8</v>
      </c>
      <c r="E12" s="203">
        <f t="shared" si="1"/>
        <v>0.0219350961538463</v>
      </c>
      <c r="J12" s="189" t="s">
        <v>218</v>
      </c>
      <c r="K12" s="189">
        <f>MAX(D53:D65)</f>
        <v>6167.8</v>
      </c>
    </row>
    <row r="13" s="189" customFormat="1" customHeight="1" spans="1:11">
      <c r="A13" s="200">
        <v>44075</v>
      </c>
      <c r="B13" s="201">
        <v>38067.93</v>
      </c>
      <c r="C13" s="203">
        <f t="shared" si="0"/>
        <v>-0.0145064666336512</v>
      </c>
      <c r="D13" s="202">
        <v>2779.05</v>
      </c>
      <c r="E13" s="203">
        <f t="shared" si="1"/>
        <v>0.0214091443693032</v>
      </c>
      <c r="J13" s="189" t="s">
        <v>219</v>
      </c>
      <c r="K13" s="189">
        <f>MIN(D53:D65)</f>
        <v>4811.95</v>
      </c>
    </row>
    <row r="14" s="189" customFormat="1" customHeight="1" spans="1:5">
      <c r="A14" s="200">
        <v>44105</v>
      </c>
      <c r="B14" s="201">
        <v>39614.07</v>
      </c>
      <c r="C14" s="203">
        <f t="shared" si="0"/>
        <v>0.0406152895626319</v>
      </c>
      <c r="D14" s="202">
        <v>2634.25</v>
      </c>
      <c r="E14" s="203">
        <f t="shared" si="1"/>
        <v>-0.0521041363055721</v>
      </c>
    </row>
    <row r="15" s="189" customFormat="1" customHeight="1" spans="1:5">
      <c r="A15" s="200">
        <v>44136</v>
      </c>
      <c r="B15" s="201">
        <v>44149.72</v>
      </c>
      <c r="C15" s="203">
        <f t="shared" si="0"/>
        <v>0.114495935408808</v>
      </c>
      <c r="D15" s="202">
        <v>2840.65</v>
      </c>
      <c r="E15" s="203">
        <f t="shared" si="1"/>
        <v>0.0783524722406757</v>
      </c>
    </row>
    <row r="16" s="189" customFormat="1" customHeight="1" spans="1:5">
      <c r="A16" s="200">
        <v>44166</v>
      </c>
      <c r="B16" s="201">
        <v>47751.33</v>
      </c>
      <c r="C16" s="203">
        <f t="shared" si="0"/>
        <v>0.0815771878054945</v>
      </c>
      <c r="D16" s="202">
        <v>2908.7</v>
      </c>
      <c r="E16" s="203">
        <f t="shared" si="1"/>
        <v>0.0239557847675707</v>
      </c>
    </row>
    <row r="17" s="189" customFormat="1" customHeight="1" spans="1:5">
      <c r="A17" s="200">
        <v>44197</v>
      </c>
      <c r="B17" s="201">
        <v>46285.77</v>
      </c>
      <c r="C17" s="203">
        <f t="shared" si="0"/>
        <v>-0.0306915011581878</v>
      </c>
      <c r="D17" s="202">
        <v>3003.75</v>
      </c>
      <c r="E17" s="203">
        <f t="shared" si="1"/>
        <v>0.0326778285832159</v>
      </c>
    </row>
    <row r="18" s="189" customFormat="1" customHeight="1" spans="1:5">
      <c r="A18" s="200">
        <v>44228</v>
      </c>
      <c r="B18" s="201">
        <v>49099.99</v>
      </c>
      <c r="C18" s="203">
        <f t="shared" si="0"/>
        <v>0.0608009761963559</v>
      </c>
      <c r="D18" s="202">
        <v>2718.6</v>
      </c>
      <c r="E18" s="203">
        <f t="shared" si="1"/>
        <v>-0.0949313358302123</v>
      </c>
    </row>
    <row r="19" s="189" customFormat="1" customHeight="1" spans="1:5">
      <c r="A19" s="200">
        <v>44256</v>
      </c>
      <c r="B19" s="201">
        <v>49509.15</v>
      </c>
      <c r="C19" s="203">
        <f t="shared" si="0"/>
        <v>0.00833319925319742</v>
      </c>
      <c r="D19" s="202">
        <v>2772.2</v>
      </c>
      <c r="E19" s="203">
        <f t="shared" si="1"/>
        <v>0.0197160303097181</v>
      </c>
    </row>
    <row r="20" s="189" customFormat="1" customHeight="1" spans="1:5">
      <c r="A20" s="200">
        <v>44287</v>
      </c>
      <c r="B20" s="201">
        <v>48782.36</v>
      </c>
      <c r="C20" s="203">
        <f t="shared" si="0"/>
        <v>-0.0146799127030054</v>
      </c>
      <c r="D20" s="202">
        <v>2757.25</v>
      </c>
      <c r="E20" s="203">
        <f t="shared" si="1"/>
        <v>-0.00539282880023084</v>
      </c>
    </row>
    <row r="21" s="189" customFormat="1" customHeight="1" spans="1:5">
      <c r="A21" s="200">
        <v>44317</v>
      </c>
      <c r="B21" s="201">
        <v>51937.44</v>
      </c>
      <c r="C21" s="203">
        <f t="shared" si="0"/>
        <v>0.0646766577098772</v>
      </c>
      <c r="D21" s="202">
        <v>2984.9</v>
      </c>
      <c r="E21" s="203">
        <f t="shared" si="1"/>
        <v>0.082564149061565</v>
      </c>
    </row>
    <row r="22" s="189" customFormat="1" customHeight="1" spans="1:5">
      <c r="A22" s="200">
        <v>44348</v>
      </c>
      <c r="B22" s="201">
        <v>52482.71</v>
      </c>
      <c r="C22" s="203">
        <f t="shared" si="0"/>
        <v>0.0104985921524048</v>
      </c>
      <c r="D22" s="202">
        <v>3196.7</v>
      </c>
      <c r="E22" s="203">
        <f t="shared" si="1"/>
        <v>0.0709571509933331</v>
      </c>
    </row>
    <row r="23" s="189" customFormat="1" customHeight="1" spans="1:5">
      <c r="A23" s="200">
        <v>44378</v>
      </c>
      <c r="B23" s="201">
        <v>52586.84</v>
      </c>
      <c r="C23" s="203">
        <f t="shared" si="0"/>
        <v>0.00198408199576572</v>
      </c>
      <c r="D23" s="202">
        <v>3454.55</v>
      </c>
      <c r="E23" s="203">
        <f t="shared" si="1"/>
        <v>0.0806613069728159</v>
      </c>
    </row>
    <row r="24" s="189" customFormat="1" customHeight="1" spans="1:5">
      <c r="A24" s="200">
        <v>44409</v>
      </c>
      <c r="B24" s="201">
        <v>57552.39</v>
      </c>
      <c r="C24" s="203">
        <f t="shared" si="0"/>
        <v>0.0944257156353188</v>
      </c>
      <c r="D24" s="202">
        <v>3878.6</v>
      </c>
      <c r="E24" s="203">
        <f t="shared" si="1"/>
        <v>0.122751154274797</v>
      </c>
    </row>
    <row r="25" s="189" customFormat="1" customHeight="1" spans="1:5">
      <c r="A25" s="200">
        <v>44440</v>
      </c>
      <c r="B25" s="201">
        <v>59126.36</v>
      </c>
      <c r="C25" s="203">
        <f t="shared" si="0"/>
        <v>0.0273484732779994</v>
      </c>
      <c r="D25" s="202">
        <v>3980.05</v>
      </c>
      <c r="E25" s="203">
        <f t="shared" si="1"/>
        <v>0.0261563450729645</v>
      </c>
    </row>
    <row r="26" s="189" customFormat="1" customHeight="1" spans="1:5">
      <c r="A26" s="200">
        <v>44470</v>
      </c>
      <c r="B26" s="201">
        <v>59306.93</v>
      </c>
      <c r="C26" s="203">
        <f t="shared" si="0"/>
        <v>0.00305396780725209</v>
      </c>
      <c r="D26" s="202">
        <v>3608.45</v>
      </c>
      <c r="E26" s="203">
        <f t="shared" si="1"/>
        <v>-0.0933656612354117</v>
      </c>
    </row>
    <row r="27" s="189" customFormat="1" customHeight="1" spans="1:5">
      <c r="A27" s="200">
        <v>44501</v>
      </c>
      <c r="B27" s="201">
        <v>57064.87</v>
      </c>
      <c r="C27" s="203">
        <f t="shared" si="0"/>
        <v>-0.0378043510260943</v>
      </c>
      <c r="D27" s="202">
        <v>3591.3</v>
      </c>
      <c r="E27" s="203">
        <f t="shared" si="1"/>
        <v>-0.00475273316798064</v>
      </c>
    </row>
    <row r="28" s="189" customFormat="1" customHeight="1" spans="1:5">
      <c r="A28" s="200">
        <v>44531</v>
      </c>
      <c r="B28" s="201">
        <v>58253.82</v>
      </c>
      <c r="C28" s="203">
        <f t="shared" si="0"/>
        <v>0.0208350601692424</v>
      </c>
      <c r="D28" s="202">
        <v>3622.95</v>
      </c>
      <c r="E28" s="203">
        <f t="shared" si="1"/>
        <v>0.00881296466460602</v>
      </c>
    </row>
    <row r="29" s="189" customFormat="1" customHeight="1" spans="1:5">
      <c r="A29" s="200">
        <v>44562</v>
      </c>
      <c r="B29" s="201">
        <v>58014.17</v>
      </c>
      <c r="C29" s="203">
        <f t="shared" si="0"/>
        <v>-0.00411389330347778</v>
      </c>
      <c r="D29" s="202">
        <v>3541.6</v>
      </c>
      <c r="E29" s="203">
        <f t="shared" si="1"/>
        <v>-0.0224540774782981</v>
      </c>
    </row>
    <row r="30" s="189" customFormat="1" customHeight="1" spans="1:5">
      <c r="A30" s="200">
        <v>44593</v>
      </c>
      <c r="B30" s="201">
        <v>56247.28</v>
      </c>
      <c r="C30" s="203">
        <f t="shared" si="0"/>
        <v>-0.0304561799298344</v>
      </c>
      <c r="D30" s="202">
        <v>3278.35</v>
      </c>
      <c r="E30" s="203">
        <f t="shared" si="1"/>
        <v>-0.0743308109329117</v>
      </c>
    </row>
    <row r="31" s="189" customFormat="1" customHeight="1" spans="1:5">
      <c r="A31" s="200">
        <v>44621</v>
      </c>
      <c r="B31" s="201">
        <v>58568.51</v>
      </c>
      <c r="C31" s="203">
        <f t="shared" si="0"/>
        <v>0.0412683066630066</v>
      </c>
      <c r="D31" s="202">
        <v>3617.1</v>
      </c>
      <c r="E31" s="203">
        <f t="shared" si="1"/>
        <v>0.103329418762487</v>
      </c>
    </row>
    <row r="32" s="189" customFormat="1" customHeight="1" spans="1:5">
      <c r="A32" s="200">
        <v>44652</v>
      </c>
      <c r="B32" s="201">
        <v>57060.87</v>
      </c>
      <c r="C32" s="203">
        <f t="shared" si="0"/>
        <v>-0.0257414778009548</v>
      </c>
      <c r="D32" s="202">
        <v>3253.05</v>
      </c>
      <c r="E32" s="203">
        <f t="shared" si="1"/>
        <v>-0.100646927096293</v>
      </c>
    </row>
    <row r="33" s="189" customFormat="1" customHeight="1" spans="1:5">
      <c r="A33" s="200">
        <v>44682</v>
      </c>
      <c r="B33" s="201">
        <v>55566.41</v>
      </c>
      <c r="C33" s="203">
        <f t="shared" si="0"/>
        <v>-0.0261906276577977</v>
      </c>
      <c r="D33" s="202">
        <v>3152.15</v>
      </c>
      <c r="E33" s="203">
        <f t="shared" si="1"/>
        <v>-0.0310170455418761</v>
      </c>
    </row>
    <row r="34" s="189" customFormat="1" customHeight="1" spans="1:5">
      <c r="A34" s="200">
        <v>44713</v>
      </c>
      <c r="B34" s="201">
        <v>53018.94</v>
      </c>
      <c r="C34" s="203">
        <f t="shared" si="0"/>
        <v>-0.0458455027056813</v>
      </c>
      <c r="D34" s="202">
        <v>3001.05</v>
      </c>
      <c r="E34" s="203">
        <f t="shared" si="1"/>
        <v>-0.0479355360626873</v>
      </c>
    </row>
    <row r="35" s="189" customFormat="1" customHeight="1" spans="1:5">
      <c r="A35" s="200">
        <v>44743</v>
      </c>
      <c r="B35" s="201">
        <v>57570.25</v>
      </c>
      <c r="C35" s="203">
        <f t="shared" si="0"/>
        <v>0.0858430968253985</v>
      </c>
      <c r="D35" s="202">
        <v>3221.55</v>
      </c>
      <c r="E35" s="203">
        <f t="shared" si="1"/>
        <v>0.0734742840005997</v>
      </c>
    </row>
    <row r="36" s="189" customFormat="1" customHeight="1" spans="1:5">
      <c r="A36" s="200">
        <v>44774</v>
      </c>
      <c r="B36" s="201">
        <v>59537.07</v>
      </c>
      <c r="C36" s="203">
        <f t="shared" si="0"/>
        <v>0.0341638259344019</v>
      </c>
      <c r="D36" s="202">
        <v>2975.5</v>
      </c>
      <c r="E36" s="203">
        <f t="shared" si="1"/>
        <v>-0.0763762784994801</v>
      </c>
    </row>
    <row r="37" s="189" customFormat="1" customHeight="1" spans="1:5">
      <c r="A37" s="200">
        <v>44805</v>
      </c>
      <c r="B37" s="201">
        <v>57426.92</v>
      </c>
      <c r="C37" s="203">
        <f t="shared" si="0"/>
        <v>-0.0354426242339437</v>
      </c>
      <c r="D37" s="202">
        <v>3279.75</v>
      </c>
      <c r="E37" s="203">
        <f t="shared" si="1"/>
        <v>0.102251722399597</v>
      </c>
    </row>
    <row r="38" s="189" customFormat="1" customHeight="1" spans="1:5">
      <c r="A38" s="200">
        <v>44835</v>
      </c>
      <c r="B38" s="201">
        <v>60746.59</v>
      </c>
      <c r="C38" s="203">
        <f t="shared" si="0"/>
        <v>0.0578068613117333</v>
      </c>
      <c r="D38" s="202">
        <v>3155.05</v>
      </c>
      <c r="E38" s="203">
        <f t="shared" si="1"/>
        <v>-0.0380211906395304</v>
      </c>
    </row>
    <row r="39" s="189" customFormat="1" customHeight="1" spans="1:5">
      <c r="A39" s="200">
        <v>44866</v>
      </c>
      <c r="B39" s="201">
        <v>63099.65</v>
      </c>
      <c r="C39" s="203">
        <f t="shared" si="0"/>
        <v>0.0387356722410264</v>
      </c>
      <c r="D39" s="202">
        <v>3126.35</v>
      </c>
      <c r="E39" s="203">
        <f t="shared" si="1"/>
        <v>-0.00909652778878312</v>
      </c>
    </row>
    <row r="40" s="189" customFormat="1" customHeight="1" spans="1:5">
      <c r="A40" s="200">
        <v>44896</v>
      </c>
      <c r="B40" s="201">
        <v>60840.74</v>
      </c>
      <c r="C40" s="203">
        <f t="shared" si="0"/>
        <v>-0.035799089218403</v>
      </c>
      <c r="D40" s="202">
        <v>3005.25</v>
      </c>
      <c r="E40" s="203">
        <f t="shared" si="1"/>
        <v>-0.0387352663649303</v>
      </c>
    </row>
    <row r="41" s="189" customFormat="1" customHeight="1" spans="1:5">
      <c r="A41" s="200">
        <v>44927</v>
      </c>
      <c r="B41" s="201">
        <v>59549.9</v>
      </c>
      <c r="C41" s="203">
        <f t="shared" si="0"/>
        <v>-0.0212167044648043</v>
      </c>
      <c r="D41" s="202">
        <v>3009.75</v>
      </c>
      <c r="E41" s="203">
        <f t="shared" si="1"/>
        <v>0.00149737958572493</v>
      </c>
    </row>
    <row r="42" s="189" customFormat="1" customHeight="1" spans="1:5">
      <c r="A42" s="200">
        <v>44958</v>
      </c>
      <c r="B42" s="201">
        <v>58962.12</v>
      </c>
      <c r="C42" s="203">
        <f t="shared" si="0"/>
        <v>-0.00987037761608334</v>
      </c>
      <c r="D42" s="202">
        <v>3175.5</v>
      </c>
      <c r="E42" s="203">
        <f t="shared" si="1"/>
        <v>0.0550710191876402</v>
      </c>
    </row>
    <row r="43" s="189" customFormat="1" customHeight="1" spans="1:5">
      <c r="A43" s="200">
        <v>44986</v>
      </c>
      <c r="B43" s="201">
        <v>58991.52</v>
      </c>
      <c r="C43" s="203">
        <f t="shared" si="0"/>
        <v>0.000498625219038873</v>
      </c>
      <c r="D43" s="202">
        <v>3397.85</v>
      </c>
      <c r="E43" s="203">
        <f t="shared" si="1"/>
        <v>0.070020469217446</v>
      </c>
    </row>
    <row r="44" s="189" customFormat="1" customHeight="1" spans="1:5">
      <c r="A44" s="200">
        <v>45017</v>
      </c>
      <c r="B44" s="201">
        <v>61112.44</v>
      </c>
      <c r="C44" s="203">
        <f t="shared" si="0"/>
        <v>0.0359529640870417</v>
      </c>
      <c r="D44" s="202">
        <v>3513.5</v>
      </c>
      <c r="E44" s="203">
        <f t="shared" si="1"/>
        <v>0.034036228791736</v>
      </c>
    </row>
    <row r="45" s="189" customFormat="1" customHeight="1" spans="1:5">
      <c r="A45" s="200">
        <v>45047</v>
      </c>
      <c r="B45" s="201">
        <v>62622.24</v>
      </c>
      <c r="C45" s="203">
        <f t="shared" si="0"/>
        <v>0.0247052809542541</v>
      </c>
      <c r="D45" s="202">
        <v>3358</v>
      </c>
      <c r="E45" s="203">
        <f t="shared" si="1"/>
        <v>-0.0442578625302406</v>
      </c>
    </row>
    <row r="46" s="189" customFormat="1" customHeight="1" spans="1:5">
      <c r="A46" s="200">
        <v>45078</v>
      </c>
      <c r="B46" s="201">
        <v>64718.56</v>
      </c>
      <c r="C46" s="203">
        <f t="shared" si="0"/>
        <v>0.0334756469905899</v>
      </c>
      <c r="D46" s="202">
        <v>3512.3</v>
      </c>
      <c r="E46" s="203">
        <f t="shared" si="1"/>
        <v>0.0459499702203694</v>
      </c>
    </row>
    <row r="47" s="189" customFormat="1" customHeight="1" spans="1:5">
      <c r="A47" s="200">
        <v>45108</v>
      </c>
      <c r="B47" s="201">
        <v>66527.67</v>
      </c>
      <c r="C47" s="203">
        <f t="shared" si="0"/>
        <v>0.0279534958750627</v>
      </c>
      <c r="D47" s="202">
        <v>3977.2</v>
      </c>
      <c r="E47" s="203">
        <f t="shared" si="1"/>
        <v>0.13236340859266</v>
      </c>
    </row>
    <row r="48" s="189" customFormat="1" customHeight="1" spans="1:5">
      <c r="A48" s="200">
        <v>45139</v>
      </c>
      <c r="B48" s="201">
        <v>64831.41</v>
      </c>
      <c r="C48" s="203">
        <f t="shared" si="0"/>
        <v>-0.0254970600954459</v>
      </c>
      <c r="D48" s="202">
        <v>3638.95</v>
      </c>
      <c r="E48" s="203">
        <f t="shared" si="1"/>
        <v>-0.085047269435784</v>
      </c>
    </row>
    <row r="49" s="189" customFormat="1" customHeight="1" spans="1:5">
      <c r="A49" s="200">
        <v>45170</v>
      </c>
      <c r="B49" s="201">
        <v>65828.41</v>
      </c>
      <c r="C49" s="203">
        <f t="shared" si="0"/>
        <v>0.0153783482420018</v>
      </c>
      <c r="D49" s="202">
        <v>3607.65</v>
      </c>
      <c r="E49" s="203">
        <f t="shared" si="1"/>
        <v>-0.00860138226686258</v>
      </c>
    </row>
    <row r="50" s="189" customFormat="1" customHeight="1" spans="1:5">
      <c r="A50" s="200">
        <v>45200</v>
      </c>
      <c r="B50" s="201">
        <v>63874.93</v>
      </c>
      <c r="C50" s="203">
        <f t="shared" si="0"/>
        <v>-0.0296753331882086</v>
      </c>
      <c r="D50" s="202">
        <v>3723.3</v>
      </c>
      <c r="E50" s="203">
        <f t="shared" si="1"/>
        <v>0.032056879131845</v>
      </c>
    </row>
    <row r="51" s="189" customFormat="1" customHeight="1" spans="1:5">
      <c r="A51" s="200">
        <v>45231</v>
      </c>
      <c r="B51" s="201">
        <v>66988.44</v>
      </c>
      <c r="C51" s="203">
        <f t="shared" si="0"/>
        <v>0.0487438498954129</v>
      </c>
      <c r="D51" s="202">
        <v>4725.7</v>
      </c>
      <c r="E51" s="203">
        <f t="shared" si="1"/>
        <v>0.269223538259071</v>
      </c>
    </row>
    <row r="52" s="189" customFormat="1" customHeight="1" spans="1:5">
      <c r="A52" s="200">
        <v>45261</v>
      </c>
      <c r="B52" s="201">
        <v>72240.26</v>
      </c>
      <c r="C52" s="203">
        <f t="shared" si="0"/>
        <v>0.0783988998698879</v>
      </c>
      <c r="D52" s="202">
        <v>5192.6</v>
      </c>
      <c r="E52" s="203">
        <f t="shared" si="1"/>
        <v>0.0988001777514445</v>
      </c>
    </row>
    <row r="53" s="189" customFormat="1" customHeight="1" spans="1:5">
      <c r="A53" s="200">
        <v>45292</v>
      </c>
      <c r="B53" s="201">
        <v>71752.11</v>
      </c>
      <c r="C53" s="203">
        <f t="shared" si="0"/>
        <v>-0.00675731233525456</v>
      </c>
      <c r="D53" s="202">
        <v>4994.4</v>
      </c>
      <c r="E53" s="203">
        <f t="shared" si="1"/>
        <v>-0.0381697030389402</v>
      </c>
    </row>
    <row r="54" s="189" customFormat="1" customHeight="1" spans="1:5">
      <c r="A54" s="200">
        <v>45323</v>
      </c>
      <c r="B54" s="201">
        <v>72500.3</v>
      </c>
      <c r="C54" s="203">
        <f t="shared" si="0"/>
        <v>0.010427428545307</v>
      </c>
      <c r="D54" s="202">
        <v>5122.75</v>
      </c>
      <c r="E54" s="203">
        <f t="shared" si="1"/>
        <v>0.0256987826365531</v>
      </c>
    </row>
    <row r="55" s="189" customFormat="1" customHeight="1" spans="1:5">
      <c r="A55" s="200">
        <v>45352</v>
      </c>
      <c r="B55" s="201">
        <v>73651.35</v>
      </c>
      <c r="C55" s="203">
        <f t="shared" si="0"/>
        <v>0.0158764860283338</v>
      </c>
      <c r="D55" s="202">
        <v>4940.2</v>
      </c>
      <c r="E55" s="203">
        <f t="shared" si="1"/>
        <v>-0.0356351568981504</v>
      </c>
    </row>
    <row r="56" s="189" customFormat="1" customHeight="1" spans="1:5">
      <c r="A56" s="200">
        <v>45383</v>
      </c>
      <c r="B56" s="201">
        <v>74482.78</v>
      </c>
      <c r="C56" s="203">
        <f t="shared" si="0"/>
        <v>0.0112887272263169</v>
      </c>
      <c r="D56" s="202">
        <v>4831.45</v>
      </c>
      <c r="E56" s="203">
        <f t="shared" si="1"/>
        <v>-0.0220132788146229</v>
      </c>
    </row>
    <row r="57" s="189" customFormat="1" customHeight="1" spans="1:5">
      <c r="A57" s="200">
        <v>45413</v>
      </c>
      <c r="B57" s="201">
        <v>73961.31</v>
      </c>
      <c r="C57" s="203">
        <f t="shared" si="0"/>
        <v>-0.00700121558298439</v>
      </c>
      <c r="D57" s="202">
        <v>4811.95</v>
      </c>
      <c r="E57" s="203">
        <f t="shared" si="1"/>
        <v>-0.0040360554284945</v>
      </c>
    </row>
    <row r="58" s="189" customFormat="1" customHeight="1" spans="1:5">
      <c r="A58" s="200">
        <v>45444</v>
      </c>
      <c r="B58" s="201">
        <v>79032.73</v>
      </c>
      <c r="C58" s="203">
        <f t="shared" si="0"/>
        <v>0.0685685529366638</v>
      </c>
      <c r="D58" s="202">
        <v>4991.45</v>
      </c>
      <c r="E58" s="203">
        <f t="shared" si="1"/>
        <v>0.0373029644946437</v>
      </c>
    </row>
    <row r="59" s="189" customFormat="1" customHeight="1" spans="1:5">
      <c r="A59" s="200">
        <v>45474</v>
      </c>
      <c r="B59" s="201">
        <v>81741.34</v>
      </c>
      <c r="C59" s="203">
        <f t="shared" si="0"/>
        <v>0.0342720035104445</v>
      </c>
      <c r="D59" s="202">
        <v>5313.8</v>
      </c>
      <c r="E59" s="203">
        <f t="shared" si="1"/>
        <v>0.0645804325396429</v>
      </c>
    </row>
    <row r="60" s="189" customFormat="1" customHeight="1" spans="1:5">
      <c r="A60" s="200">
        <v>45505</v>
      </c>
      <c r="B60" s="201">
        <v>82365.77</v>
      </c>
      <c r="C60" s="203">
        <f t="shared" si="0"/>
        <v>0.00763909669207785</v>
      </c>
      <c r="D60" s="202">
        <v>6167.8</v>
      </c>
      <c r="E60" s="203">
        <f t="shared" si="1"/>
        <v>0.160713613609846</v>
      </c>
    </row>
    <row r="61" s="189" customFormat="1" customHeight="1" spans="1:5">
      <c r="A61" s="200">
        <v>45536</v>
      </c>
      <c r="B61" s="201">
        <v>84299.78</v>
      </c>
      <c r="C61" s="203">
        <f t="shared" si="0"/>
        <v>0.023480749345268</v>
      </c>
      <c r="D61" s="202">
        <v>6060.9</v>
      </c>
      <c r="E61" s="203">
        <f t="shared" si="1"/>
        <v>-0.0173319498038199</v>
      </c>
    </row>
    <row r="62" s="189" customFormat="1" customHeight="1" spans="1:5">
      <c r="A62" s="200">
        <v>45566</v>
      </c>
      <c r="B62" s="201">
        <v>79389.06</v>
      </c>
      <c r="C62" s="203">
        <f t="shared" si="0"/>
        <v>-0.0582530583116587</v>
      </c>
      <c r="D62" s="202">
        <v>5783.95</v>
      </c>
      <c r="E62" s="203">
        <f t="shared" si="1"/>
        <v>-0.0456945338151099</v>
      </c>
    </row>
    <row r="63" s="189" customFormat="1" customHeight="1" spans="1:5">
      <c r="A63" s="200">
        <v>45597</v>
      </c>
      <c r="B63" s="201">
        <v>79802.79</v>
      </c>
      <c r="C63" s="203">
        <f t="shared" si="0"/>
        <v>0.00521142333717006</v>
      </c>
      <c r="D63" s="202">
        <v>5641.3</v>
      </c>
      <c r="E63" s="203">
        <f t="shared" si="1"/>
        <v>-0.0246630762714062</v>
      </c>
    </row>
    <row r="64" s="189" customFormat="1" customHeight="1" spans="1:5">
      <c r="A64" s="200">
        <v>45627</v>
      </c>
      <c r="B64" s="201">
        <v>78139.01</v>
      </c>
      <c r="C64" s="203">
        <f t="shared" si="0"/>
        <v>-0.0208486445148096</v>
      </c>
      <c r="D64" s="202">
        <v>5635.9</v>
      </c>
      <c r="E64" s="203">
        <f t="shared" si="1"/>
        <v>-0.000957226171272696</v>
      </c>
    </row>
    <row r="65" s="189" customFormat="1" customHeight="1" spans="1:5">
      <c r="A65" s="200">
        <v>45658</v>
      </c>
      <c r="B65" s="201">
        <v>76520.38</v>
      </c>
      <c r="C65" s="203">
        <f t="shared" si="0"/>
        <v>-0.0207147492654436</v>
      </c>
      <c r="D65" s="202">
        <v>5179.4</v>
      </c>
      <c r="E65" s="203">
        <f t="shared" si="1"/>
        <v>-0.0809985982717933</v>
      </c>
    </row>
  </sheetData>
  <pageMargins left="0.75" right="0.75" top="1" bottom="1" header="0.5" footer="0.5"/>
  <headerFooter/>
  <ignoredErrors>
    <ignoredError sqref="K12:K1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showGridLines="0" workbookViewId="0">
      <selection activeCell="K3" sqref="K3"/>
    </sheetView>
  </sheetViews>
  <sheetFormatPr defaultColWidth="12.8148148148148" defaultRowHeight="24" customHeight="1"/>
  <cols>
    <col min="1" max="1" width="1.36111111111111" customWidth="1"/>
    <col min="2" max="2" width="1.17592592592593" customWidth="1"/>
    <col min="3" max="3" width="1.36111111111111" customWidth="1"/>
    <col min="4" max="4" width="46.6296296296296" customWidth="1"/>
    <col min="5" max="9" width="12.8148148148148" customWidth="1"/>
    <col min="10" max="10" width="13.5462962962963" customWidth="1"/>
    <col min="11" max="11" width="12.8148148148148" customWidth="1"/>
  </cols>
  <sheetData>
    <row r="1" ht="38" customHeight="1" spans="1:18">
      <c r="A1" s="176" t="s">
        <v>0</v>
      </c>
      <c r="B1" s="177"/>
      <c r="C1" s="177"/>
      <c r="D1" s="177"/>
      <c r="E1" s="177"/>
      <c r="F1" s="177"/>
      <c r="G1" s="178"/>
      <c r="H1" s="179"/>
      <c r="I1" s="177"/>
      <c r="J1" s="177"/>
      <c r="K1" s="177"/>
      <c r="L1" s="177"/>
      <c r="M1" s="178"/>
      <c r="N1" s="178"/>
      <c r="O1" s="177"/>
      <c r="P1" s="177"/>
      <c r="Q1" s="177"/>
      <c r="R1" s="187"/>
    </row>
    <row r="2" s="175" customFormat="1" customHeight="1" spans="4:4">
      <c r="D2" s="175" t="s">
        <v>220</v>
      </c>
    </row>
    <row r="3" customHeight="1" spans="1:10">
      <c r="A3" s="176"/>
      <c r="B3" s="176"/>
      <c r="C3" s="180" t="s">
        <v>221</v>
      </c>
      <c r="D3" s="181"/>
      <c r="E3" s="181"/>
      <c r="F3" s="181"/>
      <c r="G3" s="181"/>
      <c r="H3" s="181"/>
      <c r="I3" s="181"/>
      <c r="J3" s="181"/>
    </row>
    <row r="4" customHeight="1" spans="7:10">
      <c r="G4" s="182"/>
      <c r="H4" s="182"/>
      <c r="I4" s="182"/>
      <c r="J4" s="182" t="s">
        <v>222</v>
      </c>
    </row>
    <row r="5" customHeight="1" spans="7:10">
      <c r="G5" s="182" t="s">
        <v>178</v>
      </c>
      <c r="H5" s="182" t="s">
        <v>223</v>
      </c>
      <c r="I5" s="182" t="s">
        <v>224</v>
      </c>
      <c r="J5" s="182" t="s">
        <v>225</v>
      </c>
    </row>
    <row r="6" customHeight="1" spans="4:10">
      <c r="D6" s="183" t="s">
        <v>226</v>
      </c>
      <c r="G6" s="184">
        <f>MAX(Comps!J28:J30)</f>
        <v>6331.27083333333</v>
      </c>
      <c r="H6" s="184">
        <v>6207.19</v>
      </c>
      <c r="I6" s="184">
        <f>Beta!K12</f>
        <v>6167.8</v>
      </c>
      <c r="J6" s="184">
        <v>5600</v>
      </c>
    </row>
    <row r="7" customHeight="1" spans="4:10">
      <c r="D7" s="183" t="s">
        <v>226</v>
      </c>
      <c r="G7" s="184">
        <f>MAX(Comps!J29:J31)</f>
        <v>6331.27083333333</v>
      </c>
      <c r="H7" s="184">
        <v>6207.19</v>
      </c>
      <c r="I7" s="184">
        <f>I6</f>
        <v>6167.8</v>
      </c>
      <c r="J7" s="184">
        <v>5600</v>
      </c>
    </row>
    <row r="8" customHeight="1" spans="4:10">
      <c r="D8" t="s">
        <v>227</v>
      </c>
      <c r="G8" s="184">
        <f>MIN(Comps!J28:J30)</f>
        <v>5072.08333333333</v>
      </c>
      <c r="H8" s="184">
        <v>4248.07</v>
      </c>
      <c r="I8" s="184">
        <f>Beta!K13</f>
        <v>4811.95</v>
      </c>
      <c r="J8" s="184">
        <v>4700</v>
      </c>
    </row>
    <row r="9" customHeight="1" spans="4:10">
      <c r="D9" t="s">
        <v>227</v>
      </c>
      <c r="G9" s="184">
        <f>MIN(Comps!J29:J31)</f>
        <v>5072.08333333333</v>
      </c>
      <c r="H9" s="184">
        <v>4248.07</v>
      </c>
      <c r="I9" s="184">
        <f>I8</f>
        <v>4811.95</v>
      </c>
      <c r="J9" s="184">
        <v>4700</v>
      </c>
    </row>
    <row r="12" customHeight="1" spans="3:10">
      <c r="C12" s="185" t="s">
        <v>228</v>
      </c>
      <c r="D12" s="185"/>
      <c r="E12" s="185"/>
      <c r="F12" s="186"/>
      <c r="G12" s="186"/>
      <c r="H12" s="186"/>
      <c r="I12" s="186"/>
      <c r="J12" s="186"/>
    </row>
  </sheetData>
  <pageMargins left="0.75" right="0.75" top="1" bottom="1" header="0.5" footer="0.5"/>
  <headerFooter/>
  <ignoredErrors>
    <ignoredError sqref="I8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7"/>
  <sheetViews>
    <sheetView showGridLines="0" zoomScale="85" zoomScaleNormal="85" topLeftCell="A307" workbookViewId="0">
      <selection activeCell="L324" sqref="L324"/>
    </sheetView>
  </sheetViews>
  <sheetFormatPr defaultColWidth="13.0925925925926" defaultRowHeight="26" customHeight="1"/>
  <cols>
    <col min="1" max="1" width="18" style="13" customWidth="1"/>
    <col min="2" max="2" width="13.0925925925926" style="13" customWidth="1"/>
    <col min="3" max="3" width="17.0925925925926" style="13" customWidth="1"/>
    <col min="4" max="4" width="19.0925925925926" style="13" customWidth="1"/>
    <col min="5" max="5" width="19.4537037037037" style="13" customWidth="1"/>
    <col min="6" max="6" width="15.8148148148148" style="13" customWidth="1"/>
    <col min="7" max="7" width="14.5462962962963" style="13" customWidth="1"/>
    <col min="8" max="9" width="18.0925925925926" style="13" customWidth="1"/>
    <col min="10" max="10" width="15.9074074074074" style="13" customWidth="1"/>
    <col min="11" max="11" width="16.0925925925926" style="13" customWidth="1"/>
    <col min="12" max="12" width="14.5462962962963" style="13" customWidth="1"/>
    <col min="13" max="13" width="13.0925925925926" style="13" customWidth="1"/>
    <col min="14" max="14" width="12.5462962962963" style="13" customWidth="1"/>
    <col min="15" max="15" width="13.0925925925926" style="13" customWidth="1"/>
    <col min="16" max="16384" width="13.0925925925926" style="13"/>
  </cols>
  <sheetData>
    <row r="1" s="1" customFormat="1" customHeight="1" spans="1:14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="1" customFormat="1" ht="41.5" customHeight="1" spans="1:14">
      <c r="A2" s="15" t="str">
        <f>"LBO Model for"&amp;D7</f>
        <v>LBO Model forMegamart Co.</v>
      </c>
      <c r="B2" s="14"/>
      <c r="C2" s="14"/>
      <c r="D2" s="14"/>
      <c r="E2" s="14"/>
      <c r="F2" s="14" t="s">
        <v>229</v>
      </c>
      <c r="G2" s="14" t="s">
        <v>230</v>
      </c>
      <c r="H2" s="14"/>
      <c r="I2" s="14" t="s">
        <v>231</v>
      </c>
      <c r="J2" s="67" t="e">
        <f ca="1">L321</f>
        <v>#NUM!</v>
      </c>
      <c r="K2" s="68" t="s">
        <v>232</v>
      </c>
      <c r="L2" s="68"/>
      <c r="M2" s="14" t="str">
        <f ca="1">IF(D30="ok",IF(D31="ok",IF(D32="ok",IF(D33="ok",IF(D34="ok","ok","Error"),"Error"),"Error"),"Error"),"Error")</f>
        <v>ok</v>
      </c>
      <c r="N2" s="14"/>
    </row>
    <row r="3" s="1" customFormat="1" customHeight="1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="1" customFormat="1" customHeight="1" spans="1:14">
      <c r="A4" s="16" t="s">
        <v>104</v>
      </c>
      <c r="B4" s="14"/>
      <c r="C4" s="14"/>
      <c r="D4" s="14"/>
      <c r="E4" s="14"/>
      <c r="F4" s="14"/>
      <c r="G4" s="14"/>
      <c r="H4" s="17">
        <v>2025</v>
      </c>
      <c r="I4" s="17">
        <v>2026</v>
      </c>
      <c r="J4" s="17">
        <v>2027</v>
      </c>
      <c r="K4" s="17">
        <f>J4+1</f>
        <v>2028</v>
      </c>
      <c r="L4" s="17">
        <v>2029</v>
      </c>
      <c r="M4" s="17">
        <v>2030</v>
      </c>
      <c r="N4" s="17">
        <v>2031</v>
      </c>
    </row>
    <row r="5" customHeight="1" spans="8:10">
      <c r="H5" s="13" t="str">
        <f>F8</f>
        <v>Base Case</v>
      </c>
      <c r="I5" s="13" t="str">
        <f>F18</f>
        <v>Upside Case</v>
      </c>
      <c r="J5" s="13" t="str">
        <f>F28</f>
        <v>DownSide Case</v>
      </c>
    </row>
    <row r="6" customHeight="1" spans="1:6">
      <c r="A6" s="18" t="s">
        <v>233</v>
      </c>
      <c r="B6" s="18"/>
      <c r="C6" s="18"/>
      <c r="D6" s="18"/>
      <c r="F6" s="13" t="s">
        <v>234</v>
      </c>
    </row>
    <row r="7" customHeight="1" spans="1:7">
      <c r="A7" s="13" t="s">
        <v>235</v>
      </c>
      <c r="D7" s="13" t="s">
        <v>236</v>
      </c>
      <c r="F7" s="13" t="s">
        <v>237</v>
      </c>
      <c r="G7" s="13">
        <f>MATCH(G2,H5:J5,0)</f>
        <v>3</v>
      </c>
    </row>
    <row r="8" customHeight="1" spans="1:6">
      <c r="A8" s="13" t="s">
        <v>238</v>
      </c>
      <c r="D8" s="19">
        <v>11</v>
      </c>
      <c r="F8" s="3" t="s">
        <v>142</v>
      </c>
    </row>
    <row r="9" customHeight="1" spans="6:14">
      <c r="F9" s="20" t="s">
        <v>239</v>
      </c>
      <c r="G9" s="20"/>
      <c r="H9" s="21">
        <v>0.03</v>
      </c>
      <c r="I9" s="21">
        <v>0.03</v>
      </c>
      <c r="J9" s="21">
        <v>0.03</v>
      </c>
      <c r="K9" s="21">
        <v>0.03</v>
      </c>
      <c r="L9" s="21">
        <v>0.03</v>
      </c>
      <c r="M9" s="21">
        <v>0.03</v>
      </c>
      <c r="N9" s="21">
        <v>0.03</v>
      </c>
    </row>
    <row r="10" customHeight="1" spans="1:14">
      <c r="A10" s="13" t="s">
        <v>240</v>
      </c>
      <c r="D10" s="22">
        <v>45473</v>
      </c>
      <c r="F10" s="13" t="s">
        <v>241</v>
      </c>
      <c r="H10" s="23">
        <v>0.38</v>
      </c>
      <c r="I10" s="23">
        <v>0.38</v>
      </c>
      <c r="J10" s="23">
        <v>0.375</v>
      </c>
      <c r="K10" s="23">
        <v>0.37</v>
      </c>
      <c r="L10" s="23">
        <v>0.365</v>
      </c>
      <c r="M10" s="23">
        <v>0.365</v>
      </c>
      <c r="N10" s="23">
        <v>0.365</v>
      </c>
    </row>
    <row r="11" customHeight="1" spans="1:14">
      <c r="A11" s="13" t="s">
        <v>242</v>
      </c>
      <c r="D11" s="13">
        <v>2025</v>
      </c>
      <c r="F11" s="13" t="s">
        <v>243</v>
      </c>
      <c r="H11" s="23">
        <v>0.16</v>
      </c>
      <c r="I11" s="23">
        <v>0.16</v>
      </c>
      <c r="J11" s="23">
        <v>0.16</v>
      </c>
      <c r="K11" s="23">
        <v>0.16</v>
      </c>
      <c r="L11" s="23">
        <v>0.16</v>
      </c>
      <c r="M11" s="23">
        <v>0.16</v>
      </c>
      <c r="N11" s="23">
        <v>0.16</v>
      </c>
    </row>
    <row r="12" customHeight="1" spans="1:14">
      <c r="A12" s="13" t="s">
        <v>244</v>
      </c>
      <c r="D12" s="13">
        <v>3</v>
      </c>
      <c r="F12" s="13" t="s">
        <v>245</v>
      </c>
      <c r="H12" s="13">
        <v>7000</v>
      </c>
      <c r="I12" s="13">
        <v>7000</v>
      </c>
      <c r="J12" s="13">
        <v>7500</v>
      </c>
      <c r="K12" s="13">
        <v>8000</v>
      </c>
      <c r="L12" s="13">
        <v>8000</v>
      </c>
      <c r="M12" s="13">
        <v>8500</v>
      </c>
      <c r="N12" s="13">
        <v>8500</v>
      </c>
    </row>
    <row r="13" customHeight="1" spans="1:14">
      <c r="A13" s="13" t="s">
        <v>246</v>
      </c>
      <c r="D13" s="13">
        <v>31</v>
      </c>
      <c r="F13" s="13" t="s">
        <v>247</v>
      </c>
      <c r="H13" s="13">
        <v>10</v>
      </c>
      <c r="I13" s="13">
        <v>10</v>
      </c>
      <c r="J13" s="13">
        <v>10</v>
      </c>
      <c r="K13" s="13">
        <v>10</v>
      </c>
      <c r="L13" s="13">
        <v>10</v>
      </c>
      <c r="M13" s="13">
        <v>10</v>
      </c>
      <c r="N13" s="13">
        <v>10</v>
      </c>
    </row>
    <row r="14" customHeight="1" spans="1:14">
      <c r="A14" s="13" t="s">
        <v>248</v>
      </c>
      <c r="C14" s="19"/>
      <c r="D14" s="19">
        <v>0</v>
      </c>
      <c r="F14" s="13" t="s">
        <v>249</v>
      </c>
      <c r="H14" s="13">
        <v>30</v>
      </c>
      <c r="I14" s="13">
        <v>30</v>
      </c>
      <c r="J14" s="13">
        <v>30</v>
      </c>
      <c r="K14" s="13">
        <v>30</v>
      </c>
      <c r="L14" s="13">
        <v>30</v>
      </c>
      <c r="M14" s="13">
        <v>30</v>
      </c>
      <c r="N14" s="13">
        <v>30</v>
      </c>
    </row>
    <row r="15" customHeight="1" spans="1:14">
      <c r="A15" s="13" t="s">
        <v>250</v>
      </c>
      <c r="D15" s="13" t="s">
        <v>251</v>
      </c>
      <c r="F15" s="13" t="s">
        <v>252</v>
      </c>
      <c r="H15" s="13">
        <v>80</v>
      </c>
      <c r="I15" s="13">
        <v>80</v>
      </c>
      <c r="J15" s="13">
        <v>80</v>
      </c>
      <c r="K15" s="13">
        <v>80</v>
      </c>
      <c r="L15" s="13">
        <v>80</v>
      </c>
      <c r="M15" s="13">
        <v>80</v>
      </c>
      <c r="N15" s="13">
        <v>80</v>
      </c>
    </row>
    <row r="16" customHeight="1" spans="1:14">
      <c r="A16" s="13" t="s">
        <v>253</v>
      </c>
      <c r="D16" s="13">
        <v>365</v>
      </c>
      <c r="F16" s="13" t="s">
        <v>254</v>
      </c>
      <c r="H16" s="23">
        <v>0.085</v>
      </c>
      <c r="I16" s="23">
        <v>0.085</v>
      </c>
      <c r="J16" s="23">
        <v>0.08</v>
      </c>
      <c r="K16" s="23">
        <v>0.08</v>
      </c>
      <c r="L16" s="23">
        <v>0.08</v>
      </c>
      <c r="M16" s="23">
        <v>0.075</v>
      </c>
      <c r="N16" s="23">
        <v>0.075</v>
      </c>
    </row>
    <row r="17" customHeight="1" spans="6:14">
      <c r="F17" s="13" t="s">
        <v>255</v>
      </c>
      <c r="H17" s="23">
        <v>0.2</v>
      </c>
      <c r="I17" s="23">
        <v>0.2</v>
      </c>
      <c r="J17" s="23">
        <v>0.2</v>
      </c>
      <c r="K17" s="23">
        <v>0.2</v>
      </c>
      <c r="L17" s="23">
        <v>0.2</v>
      </c>
      <c r="M17" s="23">
        <v>0.2</v>
      </c>
      <c r="N17" s="23">
        <v>0.2</v>
      </c>
    </row>
    <row r="18" customHeight="1" spans="1:6">
      <c r="A18" s="13" t="s">
        <v>256</v>
      </c>
      <c r="D18" s="24">
        <v>25000</v>
      </c>
      <c r="F18" s="3" t="s">
        <v>257</v>
      </c>
    </row>
    <row r="19" customHeight="1" spans="6:14">
      <c r="F19" s="20" t="s">
        <v>239</v>
      </c>
      <c r="G19" s="20"/>
      <c r="H19" s="25">
        <v>0.03</v>
      </c>
      <c r="I19" s="25">
        <v>0.04</v>
      </c>
      <c r="J19" s="25">
        <v>0.05</v>
      </c>
      <c r="K19" s="25">
        <v>0.05</v>
      </c>
      <c r="L19" s="25">
        <v>0.05</v>
      </c>
      <c r="M19" s="25">
        <v>0.04</v>
      </c>
      <c r="N19" s="25">
        <v>0.04</v>
      </c>
    </row>
    <row r="20" customHeight="1" spans="1:14">
      <c r="A20" s="7" t="s">
        <v>258</v>
      </c>
      <c r="B20" s="7"/>
      <c r="C20" s="7"/>
      <c r="D20" s="7">
        <f>G145+G142</f>
        <v>16801</v>
      </c>
      <c r="F20" s="13" t="s">
        <v>241</v>
      </c>
      <c r="H20" s="26">
        <v>0.38</v>
      </c>
      <c r="I20" s="26">
        <v>0.37</v>
      </c>
      <c r="J20" s="26">
        <v>0.36</v>
      </c>
      <c r="K20" s="26">
        <v>0.36</v>
      </c>
      <c r="L20" s="26">
        <v>0.36</v>
      </c>
      <c r="M20" s="26">
        <v>0.36</v>
      </c>
      <c r="N20" s="26">
        <v>0.36</v>
      </c>
    </row>
    <row r="21" customHeight="1" spans="1:14">
      <c r="A21" s="7" t="s">
        <v>259</v>
      </c>
      <c r="B21" s="7"/>
      <c r="C21" s="7"/>
      <c r="D21" s="7">
        <f>G133</f>
        <v>57269</v>
      </c>
      <c r="F21" s="13" t="s">
        <v>243</v>
      </c>
      <c r="H21" s="26">
        <v>0.16</v>
      </c>
      <c r="I21" s="26">
        <v>0.16</v>
      </c>
      <c r="J21" s="26">
        <v>0.16</v>
      </c>
      <c r="K21" s="26">
        <v>0.16</v>
      </c>
      <c r="L21" s="26">
        <v>0.16</v>
      </c>
      <c r="M21" s="26">
        <v>0.16</v>
      </c>
      <c r="N21" s="26">
        <v>0.16</v>
      </c>
    </row>
    <row r="22" customHeight="1" spans="1:14">
      <c r="A22" s="27" t="s">
        <v>260</v>
      </c>
      <c r="B22" s="27"/>
      <c r="C22" s="27"/>
      <c r="D22" s="27">
        <v>2000</v>
      </c>
      <c r="F22" s="13" t="s">
        <v>245</v>
      </c>
      <c r="H22" s="13">
        <v>7000</v>
      </c>
      <c r="I22" s="13">
        <v>7000</v>
      </c>
      <c r="J22" s="13">
        <v>7000</v>
      </c>
      <c r="K22" s="13">
        <v>7000</v>
      </c>
      <c r="L22" s="13">
        <v>7000</v>
      </c>
      <c r="M22" s="13">
        <v>7000</v>
      </c>
      <c r="N22" s="13">
        <v>7000</v>
      </c>
    </row>
    <row r="23" customHeight="1" spans="1:14">
      <c r="A23" s="13" t="s">
        <v>261</v>
      </c>
      <c r="D23" s="13">
        <v>10000</v>
      </c>
      <c r="F23" s="13" t="s">
        <v>247</v>
      </c>
      <c r="H23" s="13">
        <v>10</v>
      </c>
      <c r="I23" s="13">
        <v>10</v>
      </c>
      <c r="J23" s="13">
        <v>10</v>
      </c>
      <c r="K23" s="13">
        <v>10</v>
      </c>
      <c r="L23" s="13">
        <v>10</v>
      </c>
      <c r="M23" s="13">
        <v>10</v>
      </c>
      <c r="N23" s="13">
        <v>10</v>
      </c>
    </row>
    <row r="24" customHeight="1" spans="1:14">
      <c r="A24" s="13" t="s">
        <v>262</v>
      </c>
      <c r="D24" s="13">
        <v>2000</v>
      </c>
      <c r="F24" s="13" t="s">
        <v>249</v>
      </c>
      <c r="H24" s="13">
        <v>30</v>
      </c>
      <c r="I24" s="13">
        <v>30</v>
      </c>
      <c r="J24" s="13">
        <v>30</v>
      </c>
      <c r="K24" s="13">
        <v>30</v>
      </c>
      <c r="L24" s="13">
        <v>30</v>
      </c>
      <c r="M24" s="13">
        <v>30</v>
      </c>
      <c r="N24" s="13">
        <v>30</v>
      </c>
    </row>
    <row r="25" customHeight="1" spans="6:14">
      <c r="F25" s="13" t="s">
        <v>252</v>
      </c>
      <c r="H25" s="13">
        <v>80</v>
      </c>
      <c r="I25" s="13">
        <v>80</v>
      </c>
      <c r="J25" s="13">
        <v>80</v>
      </c>
      <c r="K25" s="13">
        <v>80</v>
      </c>
      <c r="L25" s="13">
        <v>80</v>
      </c>
      <c r="M25" s="13">
        <v>80</v>
      </c>
      <c r="N25" s="13">
        <v>80</v>
      </c>
    </row>
    <row r="26" customHeight="1" spans="1:14">
      <c r="A26" s="13" t="s">
        <v>107</v>
      </c>
      <c r="D26" s="28">
        <v>0.3</v>
      </c>
      <c r="F26" s="13" t="s">
        <v>263</v>
      </c>
      <c r="H26" s="26">
        <v>0.08</v>
      </c>
      <c r="I26" s="26">
        <v>0.08</v>
      </c>
      <c r="J26" s="26">
        <v>0.08</v>
      </c>
      <c r="K26" s="26">
        <v>0.08</v>
      </c>
      <c r="L26" s="26">
        <v>0.08</v>
      </c>
      <c r="M26" s="26">
        <v>0.08</v>
      </c>
      <c r="N26" s="26">
        <v>0.08</v>
      </c>
    </row>
    <row r="27" customHeight="1" spans="1:14">
      <c r="A27" s="13" t="s">
        <v>264</v>
      </c>
      <c r="D27" s="13">
        <v>15000</v>
      </c>
      <c r="F27" s="13" t="s">
        <v>255</v>
      </c>
      <c r="H27" s="26">
        <v>0.2</v>
      </c>
      <c r="I27" s="26">
        <v>0.2</v>
      </c>
      <c r="J27" s="26">
        <v>0.2</v>
      </c>
      <c r="K27" s="26">
        <v>0.2</v>
      </c>
      <c r="L27" s="26">
        <v>0.2</v>
      </c>
      <c r="M27" s="26">
        <v>0.2</v>
      </c>
      <c r="N27" s="26">
        <v>0.2</v>
      </c>
    </row>
    <row r="28" customHeight="1" spans="6:6">
      <c r="F28" s="3" t="s">
        <v>230</v>
      </c>
    </row>
    <row r="29" customHeight="1" spans="1:14">
      <c r="A29" s="18" t="s">
        <v>265</v>
      </c>
      <c r="B29" s="18"/>
      <c r="C29" s="18"/>
      <c r="D29" s="18"/>
      <c r="F29" s="20" t="s">
        <v>239</v>
      </c>
      <c r="G29" s="20"/>
      <c r="H29" s="21">
        <v>0.03</v>
      </c>
      <c r="I29" s="21">
        <v>0.025</v>
      </c>
      <c r="J29" s="21">
        <v>0.02</v>
      </c>
      <c r="K29" s="21">
        <v>0.01</v>
      </c>
      <c r="L29" s="21">
        <v>0</v>
      </c>
      <c r="M29" s="21">
        <v>0</v>
      </c>
      <c r="N29" s="21">
        <v>0</v>
      </c>
    </row>
    <row r="30" customHeight="1" spans="1:14">
      <c r="A30" s="13" t="s">
        <v>266</v>
      </c>
      <c r="D30" s="29" t="str">
        <f>IF(ABS(SUM(D153:N153))&gt;0.01,"Eror","OK")</f>
        <v>OK</v>
      </c>
      <c r="F30" s="13" t="s">
        <v>241</v>
      </c>
      <c r="H30" s="23">
        <v>0.39</v>
      </c>
      <c r="I30" s="23">
        <v>0.4</v>
      </c>
      <c r="J30" s="23">
        <v>0.41</v>
      </c>
      <c r="K30" s="23">
        <v>0.41</v>
      </c>
      <c r="L30" s="23">
        <v>0.42</v>
      </c>
      <c r="M30" s="23">
        <v>0.42</v>
      </c>
      <c r="N30" s="23">
        <v>0.42</v>
      </c>
    </row>
    <row r="31" customHeight="1" spans="1:14">
      <c r="A31" s="13" t="s">
        <v>267</v>
      </c>
      <c r="D31" s="29" t="str">
        <f>IF(ABS(SUM(D288,L288))*0.001,"Error","Ok")</f>
        <v>Ok</v>
      </c>
      <c r="F31" s="13" t="s">
        <v>243</v>
      </c>
      <c r="H31" s="23">
        <v>0.16</v>
      </c>
      <c r="I31" s="23">
        <v>0.16</v>
      </c>
      <c r="J31" s="23">
        <v>0.16</v>
      </c>
      <c r="K31" s="23">
        <v>0.16</v>
      </c>
      <c r="L31" s="23">
        <v>0.16</v>
      </c>
      <c r="M31" s="23">
        <v>0.16</v>
      </c>
      <c r="N31" s="23">
        <v>0.16</v>
      </c>
    </row>
    <row r="32" customHeight="1" spans="1:14">
      <c r="A32" s="13" t="s">
        <v>268</v>
      </c>
      <c r="D32" s="29" t="str">
        <f>IF(G58&gt;1,"Error","Ok")</f>
        <v>Ok</v>
      </c>
      <c r="F32" s="13" t="s">
        <v>245</v>
      </c>
      <c r="H32" s="13">
        <v>7000</v>
      </c>
      <c r="I32" s="13">
        <v>7000</v>
      </c>
      <c r="J32" s="13">
        <v>7000</v>
      </c>
      <c r="K32" s="13">
        <v>7000</v>
      </c>
      <c r="L32" s="13">
        <v>7000</v>
      </c>
      <c r="M32" s="13">
        <v>7000</v>
      </c>
      <c r="N32" s="13">
        <v>7000</v>
      </c>
    </row>
    <row r="33" customHeight="1" spans="1:14">
      <c r="A33" s="13" t="s">
        <v>269</v>
      </c>
      <c r="D33" s="29" t="str">
        <f ca="1">IF(C69=H69,"Ok","Error")</f>
        <v>Ok</v>
      </c>
      <c r="F33" s="13" t="s">
        <v>247</v>
      </c>
      <c r="H33" s="13">
        <v>10</v>
      </c>
      <c r="I33" s="13">
        <v>10</v>
      </c>
      <c r="J33" s="13">
        <v>10</v>
      </c>
      <c r="K33" s="13">
        <v>10</v>
      </c>
      <c r="L33" s="13">
        <v>10</v>
      </c>
      <c r="M33" s="13">
        <v>10</v>
      </c>
      <c r="N33" s="13">
        <v>10</v>
      </c>
    </row>
    <row r="34" customHeight="1" spans="1:14">
      <c r="A34" s="13" t="s">
        <v>270</v>
      </c>
      <c r="D34" s="29" t="str">
        <f ca="1">C252</f>
        <v>Ok</v>
      </c>
      <c r="F34" s="13" t="s">
        <v>249</v>
      </c>
      <c r="H34" s="13">
        <v>30</v>
      </c>
      <c r="I34" s="13">
        <v>30</v>
      </c>
      <c r="J34" s="13">
        <v>30</v>
      </c>
      <c r="K34" s="13">
        <v>30</v>
      </c>
      <c r="L34" s="13">
        <v>30</v>
      </c>
      <c r="M34" s="13">
        <v>30</v>
      </c>
      <c r="N34" s="13">
        <v>30</v>
      </c>
    </row>
    <row r="35" customHeight="1" spans="6:14">
      <c r="F35" s="13" t="s">
        <v>252</v>
      </c>
      <c r="H35" s="13">
        <v>80</v>
      </c>
      <c r="I35" s="13">
        <v>80</v>
      </c>
      <c r="J35" s="13">
        <v>80</v>
      </c>
      <c r="K35" s="13">
        <v>80</v>
      </c>
      <c r="L35" s="13">
        <v>80</v>
      </c>
      <c r="M35" s="13">
        <v>80</v>
      </c>
      <c r="N35" s="13">
        <v>80</v>
      </c>
    </row>
    <row r="36" customHeight="1" spans="1:14">
      <c r="A36" s="30" t="s">
        <v>271</v>
      </c>
      <c r="B36" s="30"/>
      <c r="C36" s="30"/>
      <c r="D36" s="30"/>
      <c r="F36" s="13" t="s">
        <v>254</v>
      </c>
      <c r="H36" s="23">
        <v>0.09</v>
      </c>
      <c r="I36" s="23">
        <v>0.09</v>
      </c>
      <c r="J36" s="23">
        <v>0.09</v>
      </c>
      <c r="K36" s="23">
        <v>0.1</v>
      </c>
      <c r="L36" s="23">
        <v>0.1</v>
      </c>
      <c r="M36" s="23">
        <v>0.1</v>
      </c>
      <c r="N36" s="23">
        <v>0.1</v>
      </c>
    </row>
    <row r="37" customHeight="1" spans="1:14">
      <c r="A37" s="13" t="s">
        <v>130</v>
      </c>
      <c r="D37" s="31">
        <f>IF(C47="OFF",D18*D44,D40+D20-D21)</f>
        <v>150000</v>
      </c>
      <c r="F37" s="13" t="s">
        <v>255</v>
      </c>
      <c r="H37" s="23">
        <v>0.2</v>
      </c>
      <c r="I37" s="23">
        <v>0.2</v>
      </c>
      <c r="J37" s="23">
        <v>0.2</v>
      </c>
      <c r="K37" s="23">
        <v>0.2</v>
      </c>
      <c r="L37" s="23">
        <v>0.2</v>
      </c>
      <c r="M37" s="23">
        <v>0.2</v>
      </c>
      <c r="N37" s="23">
        <v>0.2</v>
      </c>
    </row>
    <row r="38" customHeight="1" spans="1:6">
      <c r="A38" s="13" t="s">
        <v>272</v>
      </c>
      <c r="D38" s="32">
        <f>-D20</f>
        <v>-16801</v>
      </c>
      <c r="F38" s="3" t="s">
        <v>229</v>
      </c>
    </row>
    <row r="39" customHeight="1" spans="1:14">
      <c r="A39" s="13" t="s">
        <v>273</v>
      </c>
      <c r="D39" s="13">
        <f>D21</f>
        <v>57269</v>
      </c>
      <c r="F39" s="20" t="s">
        <v>239</v>
      </c>
      <c r="G39" s="20"/>
      <c r="H39" s="21">
        <f t="shared" ref="H39:N39" si="0">CHOOSE($G$7,H9,H19,H29)</f>
        <v>0.03</v>
      </c>
      <c r="I39" s="21">
        <f t="shared" si="0"/>
        <v>0.025</v>
      </c>
      <c r="J39" s="21">
        <f t="shared" si="0"/>
        <v>0.02</v>
      </c>
      <c r="K39" s="21">
        <f t="shared" si="0"/>
        <v>0.01</v>
      </c>
      <c r="L39" s="21">
        <f t="shared" si="0"/>
        <v>0</v>
      </c>
      <c r="M39" s="21">
        <f t="shared" si="0"/>
        <v>0</v>
      </c>
      <c r="N39" s="21">
        <f t="shared" si="0"/>
        <v>0</v>
      </c>
    </row>
    <row r="40" customHeight="1" spans="1:14">
      <c r="A40" s="5" t="s">
        <v>274</v>
      </c>
      <c r="B40" s="20"/>
      <c r="C40" s="20"/>
      <c r="D40" s="33">
        <f>IF(C47="OFF",SUM(D37:D39),D47*D27)</f>
        <v>190468</v>
      </c>
      <c r="F40" s="13" t="s">
        <v>241</v>
      </c>
      <c r="H40" s="34">
        <f t="shared" ref="H40:N40" si="1">CHOOSE($G$7,H10,H20,H30)</f>
        <v>0.39</v>
      </c>
      <c r="I40" s="34">
        <f t="shared" si="1"/>
        <v>0.4</v>
      </c>
      <c r="J40" s="34">
        <f t="shared" si="1"/>
        <v>0.41</v>
      </c>
      <c r="K40" s="34">
        <f t="shared" si="1"/>
        <v>0.41</v>
      </c>
      <c r="L40" s="34">
        <f t="shared" si="1"/>
        <v>0.42</v>
      </c>
      <c r="M40" s="34">
        <f t="shared" si="1"/>
        <v>0.42</v>
      </c>
      <c r="N40" s="34">
        <f t="shared" si="1"/>
        <v>0.42</v>
      </c>
    </row>
    <row r="41" customHeight="1" spans="1:14">
      <c r="A41" s="35" t="s">
        <v>275</v>
      </c>
      <c r="B41" s="36"/>
      <c r="C41" s="36"/>
      <c r="D41" s="37">
        <f>D40/D27</f>
        <v>12.6978666666667</v>
      </c>
      <c r="F41" s="13" t="s">
        <v>243</v>
      </c>
      <c r="H41" s="34">
        <f t="shared" ref="H41:N41" si="2">CHOOSE($G$7,H11,H21,H31)</f>
        <v>0.16</v>
      </c>
      <c r="I41" s="34">
        <f t="shared" si="2"/>
        <v>0.16</v>
      </c>
      <c r="J41" s="34">
        <f t="shared" si="2"/>
        <v>0.16</v>
      </c>
      <c r="K41" s="34">
        <f t="shared" si="2"/>
        <v>0.16</v>
      </c>
      <c r="L41" s="34">
        <f t="shared" si="2"/>
        <v>0.16</v>
      </c>
      <c r="M41" s="34">
        <f t="shared" si="2"/>
        <v>0.16</v>
      </c>
      <c r="N41" s="34">
        <f t="shared" si="2"/>
        <v>0.16</v>
      </c>
    </row>
    <row r="42" customHeight="1" spans="1:14">
      <c r="A42" s="35" t="s">
        <v>276</v>
      </c>
      <c r="B42" s="36"/>
      <c r="C42" s="36"/>
      <c r="D42" s="38">
        <f>D41/D8-1</f>
        <v>0.154351515151515</v>
      </c>
      <c r="F42" s="13" t="s">
        <v>245</v>
      </c>
      <c r="H42" s="39">
        <f t="shared" ref="H42:N42" si="3">CHOOSE($G$7,H12,H22,H32)</f>
        <v>7000</v>
      </c>
      <c r="I42" s="39">
        <f t="shared" si="3"/>
        <v>7000</v>
      </c>
      <c r="J42" s="39">
        <f t="shared" si="3"/>
        <v>7000</v>
      </c>
      <c r="K42" s="39">
        <f t="shared" si="3"/>
        <v>7000</v>
      </c>
      <c r="L42" s="39">
        <f t="shared" si="3"/>
        <v>7000</v>
      </c>
      <c r="M42" s="39">
        <f t="shared" si="3"/>
        <v>7000</v>
      </c>
      <c r="N42" s="39">
        <f t="shared" si="3"/>
        <v>7000</v>
      </c>
    </row>
    <row r="43" customHeight="1" spans="6:14">
      <c r="F43" s="13" t="s">
        <v>247</v>
      </c>
      <c r="H43" s="39">
        <f t="shared" ref="H43:N43" si="4">CHOOSE($G$7,H13,H23,H33)</f>
        <v>10</v>
      </c>
      <c r="I43" s="39">
        <f t="shared" si="4"/>
        <v>10</v>
      </c>
      <c r="J43" s="39">
        <f t="shared" si="4"/>
        <v>10</v>
      </c>
      <c r="K43" s="39">
        <f t="shared" si="4"/>
        <v>10</v>
      </c>
      <c r="L43" s="39">
        <f t="shared" si="4"/>
        <v>10</v>
      </c>
      <c r="M43" s="39">
        <f t="shared" si="4"/>
        <v>10</v>
      </c>
      <c r="N43" s="39">
        <f t="shared" si="4"/>
        <v>10</v>
      </c>
    </row>
    <row r="44" customHeight="1" spans="1:14">
      <c r="A44" s="13" t="s">
        <v>277</v>
      </c>
      <c r="D44" s="40">
        <v>6</v>
      </c>
      <c r="F44" s="13" t="s">
        <v>249</v>
      </c>
      <c r="H44" s="39">
        <f t="shared" ref="H44:N44" si="5">CHOOSE($G$7,H14,H24,H34)</f>
        <v>30</v>
      </c>
      <c r="I44" s="39">
        <f t="shared" si="5"/>
        <v>30</v>
      </c>
      <c r="J44" s="39">
        <f t="shared" si="5"/>
        <v>30</v>
      </c>
      <c r="K44" s="39">
        <f t="shared" si="5"/>
        <v>30</v>
      </c>
      <c r="L44" s="39">
        <f t="shared" si="5"/>
        <v>30</v>
      </c>
      <c r="M44" s="39">
        <f t="shared" si="5"/>
        <v>30</v>
      </c>
      <c r="N44" s="39">
        <f t="shared" si="5"/>
        <v>30</v>
      </c>
    </row>
    <row r="45" customHeight="1" spans="1:14">
      <c r="A45" s="13" t="s">
        <v>278</v>
      </c>
      <c r="D45" s="40">
        <v>6</v>
      </c>
      <c r="F45" s="13" t="s">
        <v>252</v>
      </c>
      <c r="H45" s="39">
        <f t="shared" ref="H45:N45" si="6">CHOOSE($G$7,H15,H25,H35)</f>
        <v>80</v>
      </c>
      <c r="I45" s="39">
        <f t="shared" si="6"/>
        <v>80</v>
      </c>
      <c r="J45" s="39">
        <f t="shared" si="6"/>
        <v>80</v>
      </c>
      <c r="K45" s="39">
        <f t="shared" si="6"/>
        <v>80</v>
      </c>
      <c r="L45" s="39">
        <f t="shared" si="6"/>
        <v>80</v>
      </c>
      <c r="M45" s="39">
        <f t="shared" si="6"/>
        <v>80</v>
      </c>
      <c r="N45" s="39">
        <f t="shared" si="6"/>
        <v>80</v>
      </c>
    </row>
    <row r="46" customHeight="1" spans="6:14">
      <c r="F46" s="13" t="s">
        <v>254</v>
      </c>
      <c r="H46" s="34">
        <f t="shared" ref="H46:N46" si="7">CHOOSE($G$7,H16,H26,H36)</f>
        <v>0.09</v>
      </c>
      <c r="I46" s="34">
        <f t="shared" si="7"/>
        <v>0.09</v>
      </c>
      <c r="J46" s="34">
        <f t="shared" si="7"/>
        <v>0.09</v>
      </c>
      <c r="K46" s="34">
        <f t="shared" si="7"/>
        <v>0.1</v>
      </c>
      <c r="L46" s="34">
        <f t="shared" si="7"/>
        <v>0.1</v>
      </c>
      <c r="M46" s="34">
        <f t="shared" si="7"/>
        <v>0.1</v>
      </c>
      <c r="N46" s="34">
        <f t="shared" si="7"/>
        <v>0.1</v>
      </c>
    </row>
    <row r="47" customHeight="1" spans="1:14">
      <c r="A47" s="13" t="s">
        <v>279</v>
      </c>
      <c r="C47" s="41" t="s">
        <v>280</v>
      </c>
      <c r="D47" s="31">
        <v>12.5</v>
      </c>
      <c r="F47" s="13" t="s">
        <v>255</v>
      </c>
      <c r="H47" s="34">
        <f t="shared" ref="H47:N47" si="8">CHOOSE($G$7,H17,H27,H37)</f>
        <v>0.2</v>
      </c>
      <c r="I47" s="34">
        <f t="shared" si="8"/>
        <v>0.2</v>
      </c>
      <c r="J47" s="34">
        <f t="shared" si="8"/>
        <v>0.2</v>
      </c>
      <c r="K47" s="34">
        <f t="shared" si="8"/>
        <v>0.2</v>
      </c>
      <c r="L47" s="34">
        <f t="shared" si="8"/>
        <v>0.2</v>
      </c>
      <c r="M47" s="34">
        <f t="shared" si="8"/>
        <v>0.2</v>
      </c>
      <c r="N47" s="34">
        <f t="shared" si="8"/>
        <v>0.2</v>
      </c>
    </row>
    <row r="49" customHeight="1" spans="1:14">
      <c r="A49" s="30" t="s">
        <v>281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customHeight="1" spans="9:12">
      <c r="I50" s="65" t="s">
        <v>282</v>
      </c>
      <c r="J50" s="65"/>
      <c r="K50" s="65"/>
      <c r="L50" s="65"/>
    </row>
    <row r="51" s="2" customFormat="1" customHeight="1" spans="1:14">
      <c r="A51" s="42" t="s">
        <v>283</v>
      </c>
      <c r="B51" s="43" t="s">
        <v>284</v>
      </c>
      <c r="C51" s="44" t="s">
        <v>285</v>
      </c>
      <c r="D51" s="43" t="s">
        <v>286</v>
      </c>
      <c r="E51" s="45" t="s">
        <v>287</v>
      </c>
      <c r="F51" s="43" t="s">
        <v>288</v>
      </c>
      <c r="G51" s="43" t="s">
        <v>289</v>
      </c>
      <c r="H51" s="43" t="s">
        <v>290</v>
      </c>
      <c r="I51" s="43" t="s">
        <v>291</v>
      </c>
      <c r="J51" s="43" t="s">
        <v>292</v>
      </c>
      <c r="K51" s="43" t="s">
        <v>293</v>
      </c>
      <c r="L51" s="43" t="s">
        <v>294</v>
      </c>
      <c r="M51" s="43" t="s">
        <v>295</v>
      </c>
      <c r="N51" s="43" t="s">
        <v>296</v>
      </c>
    </row>
    <row r="52" customHeight="1" spans="1:14">
      <c r="A52" s="46" t="s">
        <v>297</v>
      </c>
      <c r="B52" s="41"/>
      <c r="C52" s="47">
        <f>C63</f>
        <v>47269</v>
      </c>
      <c r="D52" s="48">
        <f ca="1" t="shared" ref="D52:D57" si="9">C52/$C$58</f>
        <v>0.221635053645921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customHeight="1" spans="1:14">
      <c r="A53" s="46" t="s">
        <v>298</v>
      </c>
      <c r="B53" s="49">
        <v>0.25</v>
      </c>
      <c r="C53" s="50">
        <f>B53*D18</f>
        <v>6250</v>
      </c>
      <c r="D53" s="48">
        <f ca="1" t="shared" si="9"/>
        <v>0.0293050220078065</v>
      </c>
      <c r="E53" s="51">
        <v>0.015</v>
      </c>
      <c r="F53" s="51">
        <v>0.03</v>
      </c>
      <c r="G53" s="41" t="s">
        <v>299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</row>
    <row r="54" customHeight="1" spans="1:14">
      <c r="A54" s="46" t="s">
        <v>300</v>
      </c>
      <c r="B54" s="52">
        <v>2</v>
      </c>
      <c r="C54" s="50">
        <f>B54*D18</f>
        <v>50000</v>
      </c>
      <c r="D54" s="48">
        <f ca="1" t="shared" si="9"/>
        <v>0.234440176062452</v>
      </c>
      <c r="E54" s="51">
        <v>0.015</v>
      </c>
      <c r="F54" s="51">
        <v>0.05</v>
      </c>
      <c r="G54" s="53">
        <v>0.5</v>
      </c>
      <c r="H54" s="51">
        <v>0.1</v>
      </c>
      <c r="I54" s="51">
        <v>0.1</v>
      </c>
      <c r="J54" s="51">
        <v>0.1</v>
      </c>
      <c r="K54" s="51">
        <v>0.1</v>
      </c>
      <c r="L54" s="51">
        <v>0.6</v>
      </c>
      <c r="M54" s="51">
        <v>0</v>
      </c>
      <c r="N54" s="51">
        <v>0</v>
      </c>
    </row>
    <row r="55" customHeight="1" spans="1:14">
      <c r="A55" s="46" t="s">
        <v>301</v>
      </c>
      <c r="B55" s="52">
        <v>2</v>
      </c>
      <c r="C55" s="50">
        <f>B55*D18</f>
        <v>50000</v>
      </c>
      <c r="D55" s="48">
        <f ca="1" t="shared" si="9"/>
        <v>0.234440176062452</v>
      </c>
      <c r="E55" s="51">
        <v>0.015</v>
      </c>
      <c r="F55" s="51">
        <v>0.07</v>
      </c>
      <c r="G55" s="53">
        <v>0.5</v>
      </c>
      <c r="H55" s="51">
        <v>0.1</v>
      </c>
      <c r="I55" s="51">
        <v>0.1</v>
      </c>
      <c r="J55" s="51">
        <v>0.1</v>
      </c>
      <c r="K55" s="51">
        <v>0.1</v>
      </c>
      <c r="L55" s="51">
        <v>0.1</v>
      </c>
      <c r="M55" s="51">
        <v>0.5</v>
      </c>
      <c r="N55" s="51">
        <v>0</v>
      </c>
    </row>
    <row r="56" customHeight="1" spans="1:14">
      <c r="A56" s="46" t="s">
        <v>302</v>
      </c>
      <c r="B56" s="52">
        <v>0.45</v>
      </c>
      <c r="C56" s="50">
        <f>B56*D18</f>
        <v>11250</v>
      </c>
      <c r="D56" s="48">
        <f ca="1" t="shared" si="9"/>
        <v>0.0527490396140516</v>
      </c>
      <c r="E56" s="51">
        <v>0.015</v>
      </c>
      <c r="F56" s="51">
        <v>0.12</v>
      </c>
      <c r="G56" s="53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1</v>
      </c>
    </row>
    <row r="57" customHeight="1" spans="1:14">
      <c r="A57" s="46" t="s">
        <v>303</v>
      </c>
      <c r="B57" s="41"/>
      <c r="C57" s="54">
        <f ca="1">H69-SUM(C52:C56)</f>
        <v>48505.0251256281</v>
      </c>
      <c r="D57" s="48">
        <f ca="1" t="shared" si="9"/>
        <v>0.227430532607318</v>
      </c>
      <c r="E57" s="51">
        <v>0.005</v>
      </c>
      <c r="F57" s="51" t="s">
        <v>299</v>
      </c>
      <c r="G57" s="55" t="s">
        <v>299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</row>
    <row r="58" customHeight="1" spans="1:14">
      <c r="A58" s="56" t="s">
        <v>92</v>
      </c>
      <c r="B58" s="57">
        <f>SUM(B53:B57)</f>
        <v>4.7</v>
      </c>
      <c r="C58" s="58">
        <f ca="1">SUM(C52:C57)</f>
        <v>213274.025125628</v>
      </c>
      <c r="D58" s="59">
        <f ca="1">SUM(D52:D57)</f>
        <v>1</v>
      </c>
      <c r="E58" s="60"/>
      <c r="F58" s="60"/>
      <c r="G58" s="61">
        <f>SUM(G53:G57)</f>
        <v>1</v>
      </c>
      <c r="H58" s="60"/>
      <c r="I58" s="60"/>
      <c r="J58" s="60"/>
      <c r="K58" s="60"/>
      <c r="L58" s="60"/>
      <c r="M58" s="60"/>
      <c r="N58" s="60"/>
    </row>
    <row r="61" customHeight="1" spans="1:8">
      <c r="A61" s="62" t="s">
        <v>304</v>
      </c>
      <c r="B61" s="62"/>
      <c r="C61" s="62"/>
      <c r="D61" s="63"/>
      <c r="E61" s="63"/>
      <c r="F61" s="63"/>
      <c r="G61" s="63"/>
      <c r="H61" s="63"/>
    </row>
    <row r="62" customHeight="1" spans="1:8">
      <c r="A62" s="64" t="s">
        <v>305</v>
      </c>
      <c r="B62" s="65"/>
      <c r="C62" s="65"/>
      <c r="F62" s="64" t="s">
        <v>306</v>
      </c>
      <c r="G62" s="65"/>
      <c r="H62" s="65"/>
    </row>
    <row r="63" customHeight="1" spans="1:8">
      <c r="A63" s="13" t="str">
        <f>A52</f>
        <v>Cash (Target)</v>
      </c>
      <c r="C63" s="50">
        <f>D21-D23</f>
        <v>47269</v>
      </c>
      <c r="F63" s="13" t="s">
        <v>307</v>
      </c>
      <c r="H63" s="66">
        <f>D40</f>
        <v>190468</v>
      </c>
    </row>
    <row r="64" customHeight="1" spans="1:8">
      <c r="A64" s="46" t="s">
        <v>298</v>
      </c>
      <c r="C64" s="50">
        <f>C53</f>
        <v>6250</v>
      </c>
      <c r="F64" s="13" t="s">
        <v>308</v>
      </c>
      <c r="H64" s="13">
        <v>0</v>
      </c>
    </row>
    <row r="65" customHeight="1" spans="1:8">
      <c r="A65" s="46" t="s">
        <v>300</v>
      </c>
      <c r="C65" s="50">
        <f>C54</f>
        <v>50000</v>
      </c>
      <c r="F65" s="13" t="s">
        <v>309</v>
      </c>
      <c r="H65" s="13">
        <f>D20</f>
        <v>16801</v>
      </c>
    </row>
    <row r="66" customHeight="1" spans="1:8">
      <c r="A66" s="46" t="s">
        <v>301</v>
      </c>
      <c r="C66" s="50">
        <f>C55</f>
        <v>50000</v>
      </c>
      <c r="F66" s="13" t="s">
        <v>310</v>
      </c>
      <c r="H66" s="13" cm="1">
        <f t="array" ref="H66">SUMPRODUCT(C53:C56,E53:E56)</f>
        <v>1762.5</v>
      </c>
    </row>
    <row r="67" customHeight="1" spans="1:8">
      <c r="A67" s="46" t="s">
        <v>302</v>
      </c>
      <c r="C67" s="50">
        <f>C56</f>
        <v>11250</v>
      </c>
      <c r="F67" s="13" t="s">
        <v>311</v>
      </c>
      <c r="H67" s="24">
        <f ca="1">C57*E57</f>
        <v>242.525125628141</v>
      </c>
    </row>
    <row r="68" customHeight="1" spans="1:8">
      <c r="A68" s="46" t="s">
        <v>303</v>
      </c>
      <c r="C68" s="50">
        <f ca="1">C57</f>
        <v>48505.0251256281</v>
      </c>
      <c r="F68" s="13" t="s">
        <v>262</v>
      </c>
      <c r="H68" s="13">
        <f>D24+D22</f>
        <v>4000</v>
      </c>
    </row>
    <row r="69" customHeight="1" spans="1:8">
      <c r="A69" s="5" t="s">
        <v>312</v>
      </c>
      <c r="B69" s="20"/>
      <c r="C69" s="69">
        <f ca="1">SUM(C63:C68)</f>
        <v>213274.025125628</v>
      </c>
      <c r="F69" s="5" t="s">
        <v>313</v>
      </c>
      <c r="G69" s="20"/>
      <c r="H69" s="33">
        <f ca="1">SUM(H63:H68)</f>
        <v>213274.025125628</v>
      </c>
    </row>
    <row r="72" customHeight="1" spans="1:19">
      <c r="A72" s="4" t="s">
        <v>314</v>
      </c>
      <c r="B72" s="4"/>
      <c r="C72" s="4"/>
      <c r="D72" s="4"/>
      <c r="E72" s="4"/>
      <c r="F72" s="4"/>
      <c r="G72" s="4"/>
      <c r="H72" s="4"/>
      <c r="I72" s="84"/>
      <c r="J72" s="84"/>
      <c r="K72" s="84"/>
      <c r="L72" s="84"/>
      <c r="M72" s="84"/>
      <c r="N72" s="85"/>
      <c r="Q72" s="91"/>
      <c r="R72" s="92"/>
      <c r="S72" s="93"/>
    </row>
    <row r="73" s="3" customFormat="1" customHeight="1" spans="1:19">
      <c r="A73" s="3" t="s">
        <v>315</v>
      </c>
      <c r="D73" s="3" t="s">
        <v>316</v>
      </c>
      <c r="E73" s="3" t="s">
        <v>317</v>
      </c>
      <c r="F73" s="3" t="s">
        <v>318</v>
      </c>
      <c r="I73" s="64" t="s">
        <v>319</v>
      </c>
      <c r="J73" s="64"/>
      <c r="K73" s="64"/>
      <c r="L73" s="64"/>
      <c r="M73" s="64"/>
      <c r="N73" s="86"/>
      <c r="Q73" s="94"/>
      <c r="R73" s="95"/>
      <c r="S73" s="96" t="s">
        <v>317</v>
      </c>
    </row>
    <row r="74" customHeight="1" spans="1:19">
      <c r="A74" s="20" t="s">
        <v>21</v>
      </c>
      <c r="B74" s="20"/>
      <c r="C74" s="20"/>
      <c r="D74" s="70">
        <f>G133</f>
        <v>57269</v>
      </c>
      <c r="E74" s="70">
        <f>D74</f>
        <v>57269</v>
      </c>
      <c r="F74" s="70">
        <f t="shared" ref="F74:F78" si="10">E74-D74</f>
        <v>0</v>
      </c>
      <c r="I74" s="13" t="s">
        <v>320</v>
      </c>
      <c r="M74" s="66">
        <f>H63+H64</f>
        <v>190468</v>
      </c>
      <c r="N74" s="85"/>
      <c r="Q74" s="94"/>
      <c r="R74" s="95"/>
      <c r="S74" s="97"/>
    </row>
    <row r="75" customHeight="1" spans="1:19">
      <c r="A75" s="13" t="s">
        <v>89</v>
      </c>
      <c r="D75" s="71">
        <f>G134</f>
        <v>3986</v>
      </c>
      <c r="E75" s="71" cm="1">
        <f t="array" ref="E75:E77">S75:S77</f>
        <v>3500</v>
      </c>
      <c r="F75" s="72">
        <f t="shared" si="10"/>
        <v>-486</v>
      </c>
      <c r="I75" s="65" t="s">
        <v>321</v>
      </c>
      <c r="J75" s="65"/>
      <c r="K75" s="65"/>
      <c r="L75" s="65"/>
      <c r="M75" s="87">
        <f>G139-G146</f>
        <v>69021</v>
      </c>
      <c r="N75" s="85"/>
      <c r="Q75" s="94" t="s">
        <v>89</v>
      </c>
      <c r="R75" s="95"/>
      <c r="S75" s="97">
        <v>3500</v>
      </c>
    </row>
    <row r="76" customHeight="1" spans="1:19">
      <c r="A76" s="13" t="s">
        <v>25</v>
      </c>
      <c r="D76" s="71">
        <f>G135</f>
        <v>5898</v>
      </c>
      <c r="E76" s="71">
        <v>4800</v>
      </c>
      <c r="F76" s="72">
        <f t="shared" si="10"/>
        <v>-1098</v>
      </c>
      <c r="I76" s="13" t="s">
        <v>322</v>
      </c>
      <c r="M76" s="66">
        <f>M74-M75</f>
        <v>121447</v>
      </c>
      <c r="N76" s="85"/>
      <c r="Q76" s="94" t="s">
        <v>25</v>
      </c>
      <c r="R76" s="95"/>
      <c r="S76" s="97">
        <v>4800</v>
      </c>
    </row>
    <row r="77" customHeight="1" spans="1:19">
      <c r="A77" s="13" t="s">
        <v>323</v>
      </c>
      <c r="D77" s="71">
        <f>G137</f>
        <v>21618</v>
      </c>
      <c r="E77" s="71">
        <v>32000</v>
      </c>
      <c r="F77" s="70">
        <f t="shared" si="10"/>
        <v>10382</v>
      </c>
      <c r="I77" s="13" t="s">
        <v>324</v>
      </c>
      <c r="M77" s="13">
        <v>0</v>
      </c>
      <c r="N77" s="85"/>
      <c r="Q77" s="98" t="s">
        <v>323</v>
      </c>
      <c r="R77" s="99"/>
      <c r="S77" s="100">
        <v>32000</v>
      </c>
    </row>
    <row r="78" customHeight="1" spans="1:14">
      <c r="A78" s="13" t="s">
        <v>325</v>
      </c>
      <c r="D78" s="13">
        <v>0</v>
      </c>
      <c r="E78" s="13">
        <v>0</v>
      </c>
      <c r="F78" s="70">
        <f t="shared" si="10"/>
        <v>0</v>
      </c>
      <c r="I78" s="65" t="s">
        <v>326</v>
      </c>
      <c r="J78" s="65"/>
      <c r="K78" s="65"/>
      <c r="L78" s="65"/>
      <c r="M78" s="88">
        <f>F79</f>
        <v>8798</v>
      </c>
      <c r="N78" s="85"/>
    </row>
    <row r="79" customHeight="1" spans="1:14">
      <c r="A79" s="20" t="s">
        <v>327</v>
      </c>
      <c r="B79" s="20"/>
      <c r="C79" s="20"/>
      <c r="D79" s="70">
        <f t="shared" ref="D79:F79" si="11">SUM(D74:D78)</f>
        <v>88771</v>
      </c>
      <c r="E79" s="70">
        <f t="shared" si="11"/>
        <v>97569</v>
      </c>
      <c r="F79" s="70">
        <f t="shared" si="11"/>
        <v>8798</v>
      </c>
      <c r="I79" s="65" t="s">
        <v>328</v>
      </c>
      <c r="J79" s="65"/>
      <c r="K79" s="65"/>
      <c r="L79" s="65"/>
      <c r="M79" s="89">
        <f>SUM(M76-M77-M78)</f>
        <v>112649</v>
      </c>
      <c r="N79" s="85"/>
    </row>
    <row r="80" customHeight="1" spans="9:13">
      <c r="I80" s="3" t="s">
        <v>29</v>
      </c>
      <c r="M80" s="90">
        <f>M79</f>
        <v>112649</v>
      </c>
    </row>
    <row r="83" s="4" customFormat="1" customHeight="1" spans="1:1">
      <c r="A83" s="4" t="s">
        <v>329</v>
      </c>
    </row>
    <row r="84" s="3" customFormat="1" ht="19" customHeight="1" spans="7:14">
      <c r="G84" s="3" t="s">
        <v>330</v>
      </c>
      <c r="H84" s="73">
        <v>2025</v>
      </c>
      <c r="I84" s="73">
        <v>2026</v>
      </c>
      <c r="J84" s="73">
        <v>2027</v>
      </c>
      <c r="K84" s="73">
        <v>2028</v>
      </c>
      <c r="L84" s="73">
        <v>2029</v>
      </c>
      <c r="M84" s="73">
        <v>2030</v>
      </c>
      <c r="N84" s="73">
        <v>2031</v>
      </c>
    </row>
    <row r="85" ht="15" customHeight="1"/>
    <row r="86" customHeight="1" spans="1:14">
      <c r="A86" s="13" t="s">
        <v>331</v>
      </c>
      <c r="G86" s="24">
        <f>G224</f>
        <v>6250</v>
      </c>
      <c r="H86" s="24">
        <f ca="1" t="shared" ref="H86:N86" si="12">H224</f>
        <v>3469.43124156781</v>
      </c>
      <c r="I86" s="24">
        <f ca="1" t="shared" si="12"/>
        <v>0</v>
      </c>
      <c r="J86" s="24">
        <f ca="1" t="shared" si="12"/>
        <v>0</v>
      </c>
      <c r="K86" s="24">
        <f ca="1" t="shared" si="12"/>
        <v>0</v>
      </c>
      <c r="L86" s="24">
        <f ca="1" t="shared" si="12"/>
        <v>0</v>
      </c>
      <c r="M86" s="24">
        <f ca="1" t="shared" si="12"/>
        <v>0</v>
      </c>
      <c r="N86" s="24">
        <f ca="1" t="shared" si="12"/>
        <v>0</v>
      </c>
    </row>
    <row r="87" customHeight="1" spans="1:14">
      <c r="A87" s="13" t="s">
        <v>332</v>
      </c>
      <c r="G87" s="71">
        <f>G256</f>
        <v>111250</v>
      </c>
      <c r="H87" s="71">
        <f ca="1" t="shared" ref="H87:N87" si="13">H256</f>
        <v>101250</v>
      </c>
      <c r="I87" s="71">
        <f ca="1" t="shared" si="13"/>
        <v>90917.6390363325</v>
      </c>
      <c r="J87" s="71">
        <f ca="1" t="shared" si="13"/>
        <v>76878.7487085998</v>
      </c>
      <c r="K87" s="71">
        <f ca="1" t="shared" si="13"/>
        <v>63129.4232483127</v>
      </c>
      <c r="L87" s="71">
        <f ca="1" t="shared" si="13"/>
        <v>11250</v>
      </c>
      <c r="M87" s="71">
        <f ca="1" t="shared" si="13"/>
        <v>11250</v>
      </c>
      <c r="N87" s="71">
        <f ca="1" t="shared" si="13"/>
        <v>0</v>
      </c>
    </row>
    <row r="88" s="5" customFormat="1" customHeight="1" spans="1:14">
      <c r="A88" s="5" t="s">
        <v>197</v>
      </c>
      <c r="G88" s="74">
        <f>SUM(G86:G87)</f>
        <v>117500</v>
      </c>
      <c r="H88" s="74">
        <f ca="1" t="shared" ref="H88:N88" si="14">SUM(H86:H87)</f>
        <v>104719.431241568</v>
      </c>
      <c r="I88" s="74">
        <f ca="1" t="shared" si="14"/>
        <v>90917.6390363325</v>
      </c>
      <c r="J88" s="74">
        <f ca="1" t="shared" si="14"/>
        <v>76878.7487085998</v>
      </c>
      <c r="K88" s="74">
        <f ca="1" t="shared" si="14"/>
        <v>63129.4232483127</v>
      </c>
      <c r="L88" s="74">
        <f ca="1" t="shared" si="14"/>
        <v>11250</v>
      </c>
      <c r="M88" s="74">
        <f ca="1" t="shared" si="14"/>
        <v>11250</v>
      </c>
      <c r="N88" s="74">
        <f ca="1" t="shared" si="14"/>
        <v>0</v>
      </c>
    </row>
    <row r="90" customHeight="1" spans="1:14">
      <c r="A90" s="13" t="s">
        <v>21</v>
      </c>
      <c r="G90" s="75">
        <f ca="1">L268</f>
        <v>9999.99999999999</v>
      </c>
      <c r="H90" s="75">
        <f ca="1">H133</f>
        <v>9999.99999999999</v>
      </c>
      <c r="I90" s="75">
        <f ca="1" t="shared" ref="I90:N90" si="15">I133</f>
        <v>9999.99999999999</v>
      </c>
      <c r="J90" s="75">
        <f ca="1" t="shared" si="15"/>
        <v>9999.99999999999</v>
      </c>
      <c r="K90" s="75">
        <f ca="1" t="shared" si="15"/>
        <v>9999.99999999999</v>
      </c>
      <c r="L90" s="75">
        <f ca="1" t="shared" si="15"/>
        <v>9999.99999999999</v>
      </c>
      <c r="M90" s="75">
        <f ca="1" t="shared" si="15"/>
        <v>9999.99999999999</v>
      </c>
      <c r="N90" s="75">
        <f ca="1" t="shared" si="15"/>
        <v>9999.99999999999</v>
      </c>
    </row>
    <row r="91" s="5" customFormat="1" customHeight="1" spans="1:14">
      <c r="A91" s="5" t="s">
        <v>179</v>
      </c>
      <c r="G91" s="74">
        <f ca="1">G88-G90</f>
        <v>107500</v>
      </c>
      <c r="H91" s="74">
        <f ca="1" t="shared" ref="H91:N91" si="16">H88-H90</f>
        <v>94719.4312415678</v>
      </c>
      <c r="I91" s="74">
        <f ca="1" t="shared" si="16"/>
        <v>80917.6390363325</v>
      </c>
      <c r="J91" s="74">
        <f ca="1" t="shared" si="16"/>
        <v>66878.7487085998</v>
      </c>
      <c r="K91" s="74">
        <f ca="1" t="shared" si="16"/>
        <v>53129.4232483127</v>
      </c>
      <c r="L91" s="74">
        <f ca="1" t="shared" si="16"/>
        <v>1250.00000000001</v>
      </c>
      <c r="M91" s="74">
        <f ca="1" t="shared" si="16"/>
        <v>1250.00000000001</v>
      </c>
      <c r="N91" s="74">
        <f ca="1" t="shared" si="16"/>
        <v>-9999.99999999999</v>
      </c>
    </row>
    <row r="93" customHeight="1" spans="1:14">
      <c r="A93" s="13" t="s">
        <v>102</v>
      </c>
      <c r="H93" s="76">
        <v>7234</v>
      </c>
      <c r="I93" s="76">
        <v>6596</v>
      </c>
      <c r="J93" s="76">
        <v>5902</v>
      </c>
      <c r="K93" s="76">
        <v>5090</v>
      </c>
      <c r="L93" s="76">
        <v>4013</v>
      </c>
      <c r="M93" s="76">
        <v>2660</v>
      </c>
      <c r="N93" s="76">
        <v>1121</v>
      </c>
    </row>
    <row r="94" customHeight="1" spans="1:14">
      <c r="A94" s="13" t="s">
        <v>333</v>
      </c>
      <c r="H94" s="71">
        <v>10243</v>
      </c>
      <c r="I94" s="71">
        <v>12285</v>
      </c>
      <c r="J94" s="71">
        <v>13857</v>
      </c>
      <c r="K94" s="71">
        <v>15047</v>
      </c>
      <c r="L94" s="71">
        <v>32409</v>
      </c>
      <c r="M94" s="71">
        <v>22409</v>
      </c>
      <c r="N94" s="71">
        <v>20380</v>
      </c>
    </row>
    <row r="95" s="5" customFormat="1" customHeight="1" spans="1:14">
      <c r="A95" s="5" t="s">
        <v>334</v>
      </c>
      <c r="H95" s="77">
        <f>SUM(H93:H94)</f>
        <v>17477</v>
      </c>
      <c r="I95" s="77">
        <f t="shared" ref="I95:N95" si="17">SUM(I93:I94)</f>
        <v>18881</v>
      </c>
      <c r="J95" s="77">
        <f t="shared" si="17"/>
        <v>19759</v>
      </c>
      <c r="K95" s="77">
        <f t="shared" si="17"/>
        <v>20137</v>
      </c>
      <c r="L95" s="77">
        <f t="shared" si="17"/>
        <v>36422</v>
      </c>
      <c r="M95" s="77">
        <f t="shared" si="17"/>
        <v>25069</v>
      </c>
      <c r="N95" s="77">
        <f t="shared" si="17"/>
        <v>21501</v>
      </c>
    </row>
    <row r="97" customHeight="1" spans="1:14">
      <c r="A97" s="13" t="s">
        <v>12</v>
      </c>
      <c r="H97" s="78">
        <f>H119-H121</f>
        <v>23548.366</v>
      </c>
      <c r="I97" s="78">
        <f t="shared" ref="I97:N97" si="18">I119-I121</f>
        <v>23432.53884</v>
      </c>
      <c r="J97" s="78">
        <f t="shared" si="18"/>
        <v>23119.4185282</v>
      </c>
      <c r="K97" s="78">
        <f t="shared" si="18"/>
        <v>23302.010498142</v>
      </c>
      <c r="L97" s="78">
        <f t="shared" si="18"/>
        <v>22096.909424944</v>
      </c>
      <c r="M97" s="78">
        <f t="shared" si="18"/>
        <v>21826.4429987328</v>
      </c>
      <c r="N97" s="78">
        <f t="shared" si="18"/>
        <v>21610.0698577638</v>
      </c>
    </row>
    <row r="98" customHeight="1" spans="1:14">
      <c r="A98" s="13" t="s">
        <v>10</v>
      </c>
      <c r="H98" s="78">
        <f>H119</f>
        <v>29948.366</v>
      </c>
      <c r="I98" s="78">
        <f t="shared" ref="I98:N98" si="19">I119</f>
        <v>30030.47348</v>
      </c>
      <c r="J98" s="78">
        <f t="shared" si="19"/>
        <v>29912.6492462</v>
      </c>
      <c r="K98" s="78">
        <f t="shared" si="19"/>
        <v>30281.775738662</v>
      </c>
      <c r="L98" s="78">
        <f t="shared" si="19"/>
        <v>29414.757698228</v>
      </c>
      <c r="M98" s="78">
        <f t="shared" si="19"/>
        <v>29414.757698228</v>
      </c>
      <c r="N98" s="78">
        <f t="shared" si="19"/>
        <v>29414.757698228</v>
      </c>
    </row>
    <row r="99" customHeight="1" spans="1:14">
      <c r="A99" s="13" t="s">
        <v>335</v>
      </c>
      <c r="H99" s="78">
        <f t="array" ref="H99">H98+H166</f>
        <v>22558.6928</v>
      </c>
      <c r="I99" s="78">
        <f t="array" ref="I99">I98+I166</f>
        <v>22456.05845</v>
      </c>
      <c r="J99" s="78">
        <f t="array" ref="J99">J98+J166</f>
        <v>22186.7459156</v>
      </c>
      <c r="K99" s="78">
        <f t="array" ref="K99">K98+K166</f>
        <v>21611.595334322</v>
      </c>
      <c r="L99" s="78">
        <f t="array" ref="L99">L98+L166</f>
        <v>20744.577293888</v>
      </c>
      <c r="M99" s="78">
        <f t="array" ref="M99">M98+M166</f>
        <v>20744.577293888</v>
      </c>
      <c r="N99" s="78">
        <f t="array" ref="N99">N98+N166</f>
        <v>20744.577293888</v>
      </c>
    </row>
    <row r="100" customHeight="1" spans="1:14">
      <c r="A100" s="13" t="s">
        <v>336</v>
      </c>
      <c r="H100" s="78">
        <f ca="1">H99-H125</f>
        <v>16130.4366463862</v>
      </c>
      <c r="I100" s="78">
        <f ca="1" t="shared" ref="I100:N100" si="20">I99-I125</f>
        <v>15971.1582520432</v>
      </c>
      <c r="J100" s="78">
        <f ca="1" t="shared" si="20"/>
        <v>15691.5760019769</v>
      </c>
      <c r="K100" s="78">
        <f ca="1" t="shared" si="20"/>
        <v>14815.5400220593</v>
      </c>
      <c r="L100" s="78">
        <f ca="1" t="shared" si="20"/>
        <v>14115.5044664048</v>
      </c>
      <c r="M100" s="78">
        <f ca="1" t="shared" si="20"/>
        <v>14196.6443942682</v>
      </c>
      <c r="N100" s="78">
        <f ca="1" t="shared" si="20"/>
        <v>14261.5563365588</v>
      </c>
    </row>
    <row r="102" customHeight="1" spans="1:14">
      <c r="A102" s="13" t="s">
        <v>337</v>
      </c>
      <c r="H102" s="40">
        <f ca="1">H88/H98</f>
        <v>3.49666593635084</v>
      </c>
      <c r="I102" s="40">
        <f ca="1" t="shared" ref="I102:N102" si="21">I88/I98</f>
        <v>3.02751267298142</v>
      </c>
      <c r="J102" s="40">
        <f ca="1" t="shared" si="21"/>
        <v>2.5701083202574</v>
      </c>
      <c r="K102" s="40">
        <f ca="1" t="shared" si="21"/>
        <v>2.08473320036225</v>
      </c>
      <c r="L102" s="40">
        <f ca="1" t="shared" si="21"/>
        <v>0.382461080095102</v>
      </c>
      <c r="M102" s="40">
        <f ca="1" t="shared" si="21"/>
        <v>0.382461080095102</v>
      </c>
      <c r="N102" s="40">
        <f ca="1" t="shared" si="21"/>
        <v>0</v>
      </c>
    </row>
    <row r="103" customHeight="1" spans="1:14">
      <c r="A103" s="13" t="s">
        <v>338</v>
      </c>
      <c r="H103" s="40">
        <f ca="1">H91/H98</f>
        <v>3.16275790277065</v>
      </c>
      <c r="I103" s="40">
        <f ca="1" t="shared" ref="I103:N103" si="22">I91/I98</f>
        <v>2.69451759028118</v>
      </c>
      <c r="J103" s="40">
        <f ca="1" t="shared" si="22"/>
        <v>2.2358015887575</v>
      </c>
      <c r="K103" s="40">
        <f ca="1" t="shared" si="22"/>
        <v>1.75450157569459</v>
      </c>
      <c r="L103" s="40">
        <f ca="1" t="shared" si="22"/>
        <v>0.0424956755661227</v>
      </c>
      <c r="M103" s="40">
        <f ca="1" t="shared" si="22"/>
        <v>0.0424956755661227</v>
      </c>
      <c r="N103" s="40">
        <f ca="1" t="shared" si="22"/>
        <v>-0.339965404528979</v>
      </c>
    </row>
    <row r="104" customHeight="1" spans="1:14">
      <c r="A104" s="13" t="s">
        <v>339</v>
      </c>
      <c r="H104" s="40">
        <f>H97/H93</f>
        <v>3.25523444843793</v>
      </c>
      <c r="I104" s="40">
        <f t="shared" ref="I104:N104" si="23">I97/I93</f>
        <v>3.55253772589448</v>
      </c>
      <c r="J104" s="40">
        <f t="shared" si="23"/>
        <v>3.91721764286682</v>
      </c>
      <c r="K104" s="40">
        <f t="shared" si="23"/>
        <v>4.57799813323026</v>
      </c>
      <c r="L104" s="40">
        <f t="shared" si="23"/>
        <v>5.50633177795764</v>
      </c>
      <c r="M104" s="40">
        <f t="shared" si="23"/>
        <v>8.20542969877173</v>
      </c>
      <c r="N104" s="40">
        <f t="shared" si="23"/>
        <v>19.2774931826618</v>
      </c>
    </row>
    <row r="105" customHeight="1" spans="1:14">
      <c r="A105" s="13" t="s">
        <v>340</v>
      </c>
      <c r="H105" s="40">
        <f>H98/H95</f>
        <v>1.71358734336557</v>
      </c>
      <c r="I105" s="40">
        <f t="shared" ref="I105:N105" si="24">I98/I95</f>
        <v>1.59051286902177</v>
      </c>
      <c r="J105" s="40">
        <f t="shared" si="24"/>
        <v>1.51387465186497</v>
      </c>
      <c r="K105" s="40">
        <f t="shared" si="24"/>
        <v>1.50378784022754</v>
      </c>
      <c r="L105" s="40">
        <f t="shared" si="24"/>
        <v>0.807609623255944</v>
      </c>
      <c r="M105" s="40">
        <f t="shared" si="24"/>
        <v>1.17335185680434</v>
      </c>
      <c r="N105" s="40">
        <f t="shared" si="24"/>
        <v>1.36806463412065</v>
      </c>
    </row>
    <row r="106" customHeight="1" spans="1:14">
      <c r="A106" s="13" t="s">
        <v>341</v>
      </c>
      <c r="H106" s="40">
        <f>H99/H95</f>
        <v>1.2907645934657</v>
      </c>
      <c r="I106" s="40">
        <f t="shared" ref="I106:N106" si="25">I99/I95</f>
        <v>1.18934688046184</v>
      </c>
      <c r="J106" s="40">
        <f t="shared" si="25"/>
        <v>1.12286785341363</v>
      </c>
      <c r="K106" s="40">
        <f t="shared" si="25"/>
        <v>1.07322815386214</v>
      </c>
      <c r="L106" s="40">
        <f t="shared" si="25"/>
        <v>0.569561729006864</v>
      </c>
      <c r="M106" s="40">
        <f t="shared" si="25"/>
        <v>0.827499193980135</v>
      </c>
      <c r="N106" s="40">
        <f t="shared" si="25"/>
        <v>0.964819184869913</v>
      </c>
    </row>
    <row r="107" customHeight="1" spans="1:14">
      <c r="A107" s="13" t="s">
        <v>342</v>
      </c>
      <c r="H107" s="40">
        <f ca="1">H100/H95</f>
        <v>0.922952259906518</v>
      </c>
      <c r="I107" s="40">
        <f ca="1" t="shared" ref="I107:N107" si="26">I100/I95</f>
        <v>0.845885188922365</v>
      </c>
      <c r="J107" s="40">
        <f ca="1" t="shared" si="26"/>
        <v>0.794148286956672</v>
      </c>
      <c r="K107" s="40">
        <f ca="1" t="shared" si="26"/>
        <v>0.735737201274238</v>
      </c>
      <c r="L107" s="40">
        <f ca="1" t="shared" si="26"/>
        <v>0.387554348097436</v>
      </c>
      <c r="M107" s="40">
        <f ca="1" t="shared" si="26"/>
        <v>0.566302780097657</v>
      </c>
      <c r="N107" s="40">
        <f ca="1" t="shared" si="26"/>
        <v>0.663297350660846</v>
      </c>
    </row>
    <row r="110" s="6" customFormat="1" customHeight="1" spans="1:14">
      <c r="A110" s="79" t="s">
        <v>2</v>
      </c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</row>
    <row r="111" customHeight="1" spans="1:14">
      <c r="A111" s="65"/>
      <c r="B111" s="65"/>
      <c r="C111" s="65"/>
      <c r="D111" s="80">
        <v>2021</v>
      </c>
      <c r="E111" s="80">
        <v>2022</v>
      </c>
      <c r="F111" s="80">
        <v>2023</v>
      </c>
      <c r="G111" s="80">
        <v>2024</v>
      </c>
      <c r="H111" s="73">
        <v>2025</v>
      </c>
      <c r="I111" s="73">
        <v>2026</v>
      </c>
      <c r="J111" s="73">
        <v>2027</v>
      </c>
      <c r="K111" s="73">
        <v>2028</v>
      </c>
      <c r="L111" s="73">
        <v>2029</v>
      </c>
      <c r="M111" s="73">
        <v>2030</v>
      </c>
      <c r="N111" s="73">
        <v>2031</v>
      </c>
    </row>
    <row r="113" customHeight="1" spans="1:14">
      <c r="A113" s="13" t="s">
        <v>4</v>
      </c>
      <c r="D113" s="81">
        <v>57128</v>
      </c>
      <c r="E113" s="81">
        <v>66132</v>
      </c>
      <c r="F113" s="81">
        <v>73558</v>
      </c>
      <c r="G113" s="81">
        <v>79716</v>
      </c>
      <c r="H113" s="81">
        <f>G113*(1+H39)</f>
        <v>82107.48</v>
      </c>
      <c r="I113" s="81">
        <f t="shared" ref="I113:N113" si="27">H113*(1+I39)</f>
        <v>84160.167</v>
      </c>
      <c r="J113" s="81">
        <f t="shared" si="27"/>
        <v>85843.37034</v>
      </c>
      <c r="K113" s="81">
        <f t="shared" si="27"/>
        <v>86701.8040434</v>
      </c>
      <c r="L113" s="81">
        <f t="shared" si="27"/>
        <v>86701.8040434</v>
      </c>
      <c r="M113" s="81">
        <f t="shared" si="27"/>
        <v>86701.8040434</v>
      </c>
      <c r="N113" s="81">
        <f t="shared" si="27"/>
        <v>86701.8040434</v>
      </c>
    </row>
    <row r="114" customHeight="1" spans="1:14">
      <c r="A114" s="13" t="s">
        <v>343</v>
      </c>
      <c r="D114" s="81">
        <v>21854</v>
      </c>
      <c r="E114" s="81">
        <v>26884</v>
      </c>
      <c r="F114" s="81">
        <v>27511</v>
      </c>
      <c r="G114" s="81">
        <v>29488</v>
      </c>
      <c r="H114" s="81">
        <f>H113*H40</f>
        <v>32021.9172</v>
      </c>
      <c r="I114" s="81">
        <f t="shared" ref="I114:N114" si="28">I113*I40</f>
        <v>33664.0668</v>
      </c>
      <c r="J114" s="81">
        <f t="shared" si="28"/>
        <v>35195.7818394</v>
      </c>
      <c r="K114" s="81">
        <f t="shared" si="28"/>
        <v>35547.739657794</v>
      </c>
      <c r="L114" s="81">
        <f t="shared" si="28"/>
        <v>36414.757698228</v>
      </c>
      <c r="M114" s="81">
        <f t="shared" si="28"/>
        <v>36414.757698228</v>
      </c>
      <c r="N114" s="81">
        <f t="shared" si="28"/>
        <v>36414.757698228</v>
      </c>
    </row>
    <row r="115" customHeight="1" spans="1:14">
      <c r="A115" s="5" t="s">
        <v>6</v>
      </c>
      <c r="B115" s="5"/>
      <c r="C115" s="5"/>
      <c r="D115" s="82">
        <f t="shared" ref="D115:H115" si="29">SUM(D113-D114)</f>
        <v>35274</v>
      </c>
      <c r="E115" s="82">
        <f t="shared" si="29"/>
        <v>39248</v>
      </c>
      <c r="F115" s="82">
        <f t="shared" si="29"/>
        <v>46047</v>
      </c>
      <c r="G115" s="82">
        <f t="shared" si="29"/>
        <v>50228</v>
      </c>
      <c r="H115" s="82">
        <f t="shared" si="29"/>
        <v>50085.5628</v>
      </c>
      <c r="I115" s="82">
        <f t="shared" ref="I115:N115" si="30">SUM(I113-I114)</f>
        <v>50496.1002</v>
      </c>
      <c r="J115" s="82">
        <f t="shared" si="30"/>
        <v>50647.5885006</v>
      </c>
      <c r="K115" s="82">
        <f t="shared" si="30"/>
        <v>51154.064385606</v>
      </c>
      <c r="L115" s="82">
        <f t="shared" si="30"/>
        <v>50287.046345172</v>
      </c>
      <c r="M115" s="82">
        <f t="shared" si="30"/>
        <v>50287.046345172</v>
      </c>
      <c r="N115" s="82">
        <f t="shared" si="30"/>
        <v>50287.046345172</v>
      </c>
    </row>
    <row r="116" customHeight="1" spans="4:14"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</row>
    <row r="117" customHeight="1" spans="1:14">
      <c r="A117" s="13" t="s">
        <v>344</v>
      </c>
      <c r="D117" s="81">
        <v>14800</v>
      </c>
      <c r="E117" s="81">
        <v>12689</v>
      </c>
      <c r="F117" s="81">
        <v>13369</v>
      </c>
      <c r="G117" s="81">
        <v>12882</v>
      </c>
      <c r="H117" s="81">
        <f t="array" ref="H117">H113*H41</f>
        <v>13137.1968</v>
      </c>
      <c r="I117" s="81">
        <f t="array" ref="I117">I113*I41</f>
        <v>13465.62672</v>
      </c>
      <c r="J117" s="81">
        <f t="array" ref="J117">J113*J41</f>
        <v>13734.9392544</v>
      </c>
      <c r="K117" s="81">
        <f t="array" ref="K117">K113*K41</f>
        <v>13872.288646944</v>
      </c>
      <c r="L117" s="81">
        <f t="array" ref="L117">L113*L41</f>
        <v>13872.288646944</v>
      </c>
      <c r="M117" s="81">
        <f t="array" ref="M117">M113*M41</f>
        <v>13872.288646944</v>
      </c>
      <c r="N117" s="81">
        <f t="array" ref="N117">N113*N41</f>
        <v>13872.288646944</v>
      </c>
    </row>
    <row r="118" customHeight="1" spans="1:14">
      <c r="A118" s="13" t="s">
        <v>345</v>
      </c>
      <c r="D118" s="81">
        <v>6140</v>
      </c>
      <c r="E118" s="81">
        <v>5670</v>
      </c>
      <c r="F118" s="81">
        <v>5649</v>
      </c>
      <c r="G118" s="81">
        <v>6172</v>
      </c>
      <c r="H118" s="81">
        <f>H42</f>
        <v>7000</v>
      </c>
      <c r="I118" s="81">
        <f t="shared" ref="I118:N118" si="31">I42</f>
        <v>7000</v>
      </c>
      <c r="J118" s="81">
        <f t="shared" si="31"/>
        <v>7000</v>
      </c>
      <c r="K118" s="81">
        <f t="shared" si="31"/>
        <v>7000</v>
      </c>
      <c r="L118" s="81">
        <f t="shared" si="31"/>
        <v>7000</v>
      </c>
      <c r="M118" s="81">
        <f t="shared" si="31"/>
        <v>7000</v>
      </c>
      <c r="N118" s="81">
        <f t="shared" si="31"/>
        <v>7000</v>
      </c>
    </row>
    <row r="119" customHeight="1" spans="1:14">
      <c r="A119" s="5" t="s">
        <v>10</v>
      </c>
      <c r="B119" s="5"/>
      <c r="C119" s="5"/>
      <c r="D119" s="82">
        <f t="shared" ref="D119:H119" si="32">SUM(D115-D117-D118)</f>
        <v>14334</v>
      </c>
      <c r="E119" s="82">
        <f t="shared" si="32"/>
        <v>20889</v>
      </c>
      <c r="F119" s="82">
        <f t="shared" si="32"/>
        <v>27029</v>
      </c>
      <c r="G119" s="82">
        <f t="shared" si="32"/>
        <v>31174</v>
      </c>
      <c r="H119" s="82">
        <f t="shared" si="32"/>
        <v>29948.366</v>
      </c>
      <c r="I119" s="82">
        <f t="shared" ref="I119:N119" si="33">SUM(I115-I117-I118)</f>
        <v>30030.47348</v>
      </c>
      <c r="J119" s="82">
        <f t="shared" si="33"/>
        <v>29912.6492462</v>
      </c>
      <c r="K119" s="82">
        <f t="shared" si="33"/>
        <v>30281.775738662</v>
      </c>
      <c r="L119" s="82">
        <f t="shared" si="33"/>
        <v>29414.757698228</v>
      </c>
      <c r="M119" s="82">
        <f t="shared" si="33"/>
        <v>29414.757698228</v>
      </c>
      <c r="N119" s="82">
        <f t="shared" si="33"/>
        <v>29414.757698228</v>
      </c>
    </row>
    <row r="120" customHeight="1" spans="4:14"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</row>
    <row r="121" customHeight="1" spans="1:14">
      <c r="A121" s="13" t="s">
        <v>346</v>
      </c>
      <c r="D121" s="81">
        <v>10921</v>
      </c>
      <c r="E121" s="81">
        <v>10165</v>
      </c>
      <c r="F121" s="81">
        <v>9635</v>
      </c>
      <c r="G121" s="81">
        <v>9265</v>
      </c>
      <c r="H121" s="81">
        <f>H197</f>
        <v>6400</v>
      </c>
      <c r="I121" s="81">
        <f t="shared" ref="I121:N121" si="34">I197</f>
        <v>6597.93464</v>
      </c>
      <c r="J121" s="81">
        <f t="shared" si="34"/>
        <v>6793.230718</v>
      </c>
      <c r="K121" s="81">
        <f t="shared" si="34"/>
        <v>6979.76524052</v>
      </c>
      <c r="L121" s="81">
        <f t="shared" si="34"/>
        <v>7317.848273284</v>
      </c>
      <c r="M121" s="81">
        <f t="shared" si="34"/>
        <v>7588.3146994952</v>
      </c>
      <c r="N121" s="81">
        <f t="shared" si="34"/>
        <v>7804.68784046416</v>
      </c>
    </row>
    <row r="122" customHeight="1" spans="1:14">
      <c r="A122" s="5" t="s">
        <v>12</v>
      </c>
      <c r="B122" s="5"/>
      <c r="C122" s="5"/>
      <c r="D122" s="82">
        <f t="shared" ref="D122:H122" si="35">SUM(D119-D121)</f>
        <v>3413</v>
      </c>
      <c r="E122" s="82">
        <f t="shared" si="35"/>
        <v>10724</v>
      </c>
      <c r="F122" s="82">
        <f t="shared" si="35"/>
        <v>17394</v>
      </c>
      <c r="G122" s="82">
        <f t="shared" si="35"/>
        <v>21909</v>
      </c>
      <c r="H122" s="82">
        <f t="shared" si="35"/>
        <v>23548.366</v>
      </c>
      <c r="I122" s="82">
        <f t="shared" ref="I122:N122" si="36">SUM(I119-I121)</f>
        <v>23432.53884</v>
      </c>
      <c r="J122" s="82">
        <f t="shared" si="36"/>
        <v>23119.4185282</v>
      </c>
      <c r="K122" s="82">
        <f t="shared" si="36"/>
        <v>23302.010498142</v>
      </c>
      <c r="L122" s="82">
        <f t="shared" si="36"/>
        <v>22096.909424944</v>
      </c>
      <c r="M122" s="82">
        <f t="shared" si="36"/>
        <v>21826.4429987328</v>
      </c>
      <c r="N122" s="82">
        <f t="shared" si="36"/>
        <v>21610.0698577638</v>
      </c>
    </row>
    <row r="123" customHeight="1" spans="4:14"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</row>
    <row r="124" customHeight="1" spans="1:14">
      <c r="A124" s="13" t="s">
        <v>13</v>
      </c>
      <c r="D124" s="81">
        <v>1400</v>
      </c>
      <c r="E124" s="81">
        <v>1400</v>
      </c>
      <c r="F124" s="81">
        <v>840</v>
      </c>
      <c r="G124" s="81">
        <v>840</v>
      </c>
      <c r="H124" s="81">
        <f ca="1">H234</f>
        <v>2120.84548795416</v>
      </c>
      <c r="I124" s="81">
        <f ca="1" t="shared" ref="I124:N124" si="37">I234</f>
        <v>1816.20484681165</v>
      </c>
      <c r="J124" s="81">
        <f ca="1" t="shared" si="37"/>
        <v>1468.85214946141</v>
      </c>
      <c r="K124" s="81">
        <f ca="1" t="shared" si="37"/>
        <v>648.492790603909</v>
      </c>
      <c r="L124" s="81">
        <f ca="1" t="shared" si="37"/>
        <v>0</v>
      </c>
      <c r="M124" s="81">
        <f ca="1" t="shared" si="37"/>
        <v>0</v>
      </c>
      <c r="N124" s="81">
        <f ca="1" t="shared" si="37"/>
        <v>0</v>
      </c>
    </row>
    <row r="125" customHeight="1" spans="1:14">
      <c r="A125" s="13" t="s">
        <v>347</v>
      </c>
      <c r="D125" s="81">
        <v>892</v>
      </c>
      <c r="E125" s="81">
        <v>3858</v>
      </c>
      <c r="F125" s="81">
        <v>6483</v>
      </c>
      <c r="G125" s="81">
        <v>7908</v>
      </c>
      <c r="H125" s="81">
        <f ca="1">(H122-H124)*$D$26</f>
        <v>6428.25615361375</v>
      </c>
      <c r="I125" s="81">
        <f ca="1" t="shared" ref="I125:N125" si="38">(I122-I124)*$D$26</f>
        <v>6484.9001979565</v>
      </c>
      <c r="J125" s="81">
        <f ca="1" t="shared" si="38"/>
        <v>6495.16991362158</v>
      </c>
      <c r="K125" s="81">
        <f ca="1" t="shared" si="38"/>
        <v>6796.05531226143</v>
      </c>
      <c r="L125" s="81">
        <f ca="1" t="shared" si="38"/>
        <v>6629.0728274832</v>
      </c>
      <c r="M125" s="81">
        <f ca="1" t="shared" si="38"/>
        <v>6547.93289961984</v>
      </c>
      <c r="N125" s="81">
        <f ca="1" t="shared" si="38"/>
        <v>6483.02095732915</v>
      </c>
    </row>
    <row r="126" customHeight="1" spans="1:14">
      <c r="A126" s="3" t="s">
        <v>348</v>
      </c>
      <c r="B126" s="3"/>
      <c r="C126" s="3"/>
      <c r="D126" s="83">
        <f t="shared" ref="D126:H126" si="39">D122-D124-D125</f>
        <v>1121</v>
      </c>
      <c r="E126" s="83">
        <f t="shared" si="39"/>
        <v>5466</v>
      </c>
      <c r="F126" s="83">
        <f t="shared" si="39"/>
        <v>10071</v>
      </c>
      <c r="G126" s="83">
        <f t="shared" si="39"/>
        <v>13161</v>
      </c>
      <c r="H126" s="83">
        <f ca="1" t="shared" si="39"/>
        <v>14999.2643584321</v>
      </c>
      <c r="I126" s="83">
        <f ca="1" t="shared" ref="I126:N126" si="40">I122-I124-I125</f>
        <v>15131.4337952318</v>
      </c>
      <c r="J126" s="83">
        <f ca="1" t="shared" si="40"/>
        <v>15155.396465117</v>
      </c>
      <c r="K126" s="83">
        <f ca="1" t="shared" si="40"/>
        <v>15857.4623952767</v>
      </c>
      <c r="L126" s="83">
        <f ca="1" t="shared" si="40"/>
        <v>15467.8365974608</v>
      </c>
      <c r="M126" s="83">
        <f ca="1" t="shared" si="40"/>
        <v>15278.510099113</v>
      </c>
      <c r="N126" s="83">
        <f ca="1" t="shared" si="40"/>
        <v>15127.0489004347</v>
      </c>
    </row>
    <row r="129" s="6" customFormat="1" customHeight="1" spans="1:14">
      <c r="A129" s="79" t="s">
        <v>349</v>
      </c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</row>
    <row r="130" customHeight="1" spans="4:14">
      <c r="D130" s="80">
        <v>2021</v>
      </c>
      <c r="E130" s="80">
        <v>2022</v>
      </c>
      <c r="F130" s="80">
        <v>2023</v>
      </c>
      <c r="G130" s="80">
        <v>2024</v>
      </c>
      <c r="H130" s="101">
        <v>2025</v>
      </c>
      <c r="I130" s="101">
        <v>2026</v>
      </c>
      <c r="J130" s="101">
        <v>2027</v>
      </c>
      <c r="K130" s="101">
        <v>2028</v>
      </c>
      <c r="L130" s="101">
        <v>2029</v>
      </c>
      <c r="M130" s="101">
        <v>2030</v>
      </c>
      <c r="N130" s="101">
        <v>2031</v>
      </c>
    </row>
    <row r="131" customHeight="1" spans="8:14">
      <c r="H131" s="20"/>
      <c r="I131" s="20"/>
      <c r="J131" s="20"/>
      <c r="K131" s="20"/>
      <c r="L131" s="20"/>
      <c r="M131" s="20"/>
      <c r="N131" s="20"/>
    </row>
    <row r="132" customHeight="1" spans="1:1">
      <c r="A132" s="3" t="s">
        <v>350</v>
      </c>
    </row>
    <row r="133" customHeight="1" spans="1:14">
      <c r="A133" s="13" t="s">
        <v>21</v>
      </c>
      <c r="D133" s="81">
        <v>37801</v>
      </c>
      <c r="E133" s="81">
        <v>44078</v>
      </c>
      <c r="F133" s="81">
        <v>43749</v>
      </c>
      <c r="G133" s="81">
        <v>57269</v>
      </c>
      <c r="H133" s="102">
        <f ca="1">H180</f>
        <v>9999.99999999999</v>
      </c>
      <c r="I133" s="102">
        <f ca="1" t="shared" ref="I133:N133" si="41">I180</f>
        <v>9999.99999999999</v>
      </c>
      <c r="J133" s="102">
        <f ca="1" t="shared" si="41"/>
        <v>9999.99999999999</v>
      </c>
      <c r="K133" s="102">
        <f ca="1" t="shared" si="41"/>
        <v>9999.99999999999</v>
      </c>
      <c r="L133" s="102">
        <f ca="1" t="shared" si="41"/>
        <v>9999.99999999999</v>
      </c>
      <c r="M133" s="102">
        <f ca="1" t="shared" si="41"/>
        <v>9999.99999999999</v>
      </c>
      <c r="N133" s="102">
        <f ca="1" t="shared" si="41"/>
        <v>9999.99999999999</v>
      </c>
    </row>
    <row r="134" customHeight="1" spans="1:14">
      <c r="A134" s="13" t="s">
        <v>89</v>
      </c>
      <c r="D134" s="81">
        <v>2856</v>
      </c>
      <c r="E134" s="81">
        <v>3307</v>
      </c>
      <c r="F134" s="81">
        <v>3675</v>
      </c>
      <c r="G134" s="81">
        <v>3986</v>
      </c>
      <c r="H134" s="81">
        <f>H113*H43/$D$16</f>
        <v>2249.52</v>
      </c>
      <c r="I134" s="81">
        <f t="shared" ref="I134:N134" si="42">I113*I43/$D$16</f>
        <v>2305.758</v>
      </c>
      <c r="J134" s="81">
        <f t="shared" si="42"/>
        <v>2351.87316</v>
      </c>
      <c r="K134" s="81">
        <f t="shared" si="42"/>
        <v>2375.3918916</v>
      </c>
      <c r="L134" s="81">
        <f t="shared" si="42"/>
        <v>2375.3918916</v>
      </c>
      <c r="M134" s="81">
        <f t="shared" si="42"/>
        <v>2375.3918916</v>
      </c>
      <c r="N134" s="81">
        <f t="shared" si="42"/>
        <v>2375.3918916</v>
      </c>
    </row>
    <row r="135" customHeight="1" spans="1:14">
      <c r="A135" s="13" t="s">
        <v>25</v>
      </c>
      <c r="D135" s="81">
        <v>4371</v>
      </c>
      <c r="E135" s="81">
        <v>5377</v>
      </c>
      <c r="F135" s="81">
        <v>5502</v>
      </c>
      <c r="G135" s="81">
        <v>5898</v>
      </c>
      <c r="H135" s="81">
        <f>H114*H45/$D$16</f>
        <v>7018.5024</v>
      </c>
      <c r="I135" s="81">
        <f t="shared" ref="I135:N135" si="43">I114*I45/$D$16</f>
        <v>7378.4256</v>
      </c>
      <c r="J135" s="81">
        <f t="shared" si="43"/>
        <v>7714.1439648</v>
      </c>
      <c r="K135" s="81">
        <f t="shared" si="43"/>
        <v>7791.285404448</v>
      </c>
      <c r="L135" s="81">
        <f t="shared" si="43"/>
        <v>7981.316755776</v>
      </c>
      <c r="M135" s="81">
        <f t="shared" si="43"/>
        <v>7981.316755776</v>
      </c>
      <c r="N135" s="81">
        <f t="shared" si="43"/>
        <v>7981.316755776</v>
      </c>
    </row>
    <row r="136" customHeight="1" spans="1:14">
      <c r="A136" s="5" t="s">
        <v>351</v>
      </c>
      <c r="B136" s="20"/>
      <c r="C136" s="20"/>
      <c r="D136" s="82">
        <f t="shared" ref="D136:H136" si="44">SUM(D133:D135)</f>
        <v>45028</v>
      </c>
      <c r="E136" s="82">
        <f t="shared" si="44"/>
        <v>52762</v>
      </c>
      <c r="F136" s="82">
        <f t="shared" si="44"/>
        <v>52926</v>
      </c>
      <c r="G136" s="82">
        <f t="shared" si="44"/>
        <v>67153</v>
      </c>
      <c r="H136" s="82">
        <f ca="1" t="shared" si="44"/>
        <v>19268.0224</v>
      </c>
      <c r="I136" s="82">
        <f ca="1" t="shared" ref="I136:N136" si="45">SUM(I133:I135)</f>
        <v>19684.1836</v>
      </c>
      <c r="J136" s="82">
        <f ca="1" t="shared" si="45"/>
        <v>20066.0171248</v>
      </c>
      <c r="K136" s="82">
        <f ca="1" t="shared" si="45"/>
        <v>20166.677296048</v>
      </c>
      <c r="L136" s="82">
        <f ca="1" t="shared" si="45"/>
        <v>20356.708647376</v>
      </c>
      <c r="M136" s="82">
        <f ca="1" t="shared" si="45"/>
        <v>20356.708647376</v>
      </c>
      <c r="N136" s="82">
        <f ca="1" t="shared" si="45"/>
        <v>20356.708647376</v>
      </c>
    </row>
    <row r="137" customHeight="1" spans="1:14">
      <c r="A137" s="13" t="s">
        <v>352</v>
      </c>
      <c r="D137" s="81">
        <v>25482</v>
      </c>
      <c r="E137" s="81">
        <v>23718</v>
      </c>
      <c r="F137" s="81">
        <v>22483</v>
      </c>
      <c r="G137" s="81">
        <v>21618</v>
      </c>
      <c r="H137" s="102">
        <f>H198</f>
        <v>32989.6732</v>
      </c>
      <c r="I137" s="102">
        <f t="shared" ref="I137:N137" si="46">I198</f>
        <v>33966.15359</v>
      </c>
      <c r="J137" s="102">
        <f t="shared" si="46"/>
        <v>34898.8262026</v>
      </c>
      <c r="K137" s="102">
        <f t="shared" si="46"/>
        <v>36589.24136642</v>
      </c>
      <c r="L137" s="102">
        <f t="shared" si="46"/>
        <v>37941.573497476</v>
      </c>
      <c r="M137" s="102">
        <f t="shared" si="46"/>
        <v>39023.4392023208</v>
      </c>
      <c r="N137" s="102">
        <f t="shared" si="46"/>
        <v>39888.9317661966</v>
      </c>
    </row>
    <row r="138" customHeight="1" spans="1:14">
      <c r="A138" s="13" t="s">
        <v>29</v>
      </c>
      <c r="D138" s="81">
        <v>0</v>
      </c>
      <c r="E138" s="81">
        <v>0</v>
      </c>
      <c r="F138" s="81">
        <v>0</v>
      </c>
      <c r="G138" s="81">
        <v>0</v>
      </c>
      <c r="H138" s="81">
        <f>M80</f>
        <v>112649</v>
      </c>
      <c r="I138" s="81">
        <f t="shared" ref="I138:N138" si="47">H138</f>
        <v>112649</v>
      </c>
      <c r="J138" s="81">
        <f t="shared" si="47"/>
        <v>112649</v>
      </c>
      <c r="K138" s="81">
        <f t="shared" si="47"/>
        <v>112649</v>
      </c>
      <c r="L138" s="81">
        <f t="shared" si="47"/>
        <v>112649</v>
      </c>
      <c r="M138" s="81">
        <f t="shared" si="47"/>
        <v>112649</v>
      </c>
      <c r="N138" s="81">
        <f t="shared" si="47"/>
        <v>112649</v>
      </c>
    </row>
    <row r="139" s="7" customFormat="1" customHeight="1" spans="1:14">
      <c r="A139" s="103" t="s">
        <v>353</v>
      </c>
      <c r="B139" s="104"/>
      <c r="C139" s="104"/>
      <c r="D139" s="105">
        <f t="shared" ref="D139:H139" si="48">SUM(D136:D138)</f>
        <v>70510</v>
      </c>
      <c r="E139" s="105">
        <f t="shared" si="48"/>
        <v>76480</v>
      </c>
      <c r="F139" s="105">
        <f t="shared" si="48"/>
        <v>75409</v>
      </c>
      <c r="G139" s="105">
        <f t="shared" si="48"/>
        <v>88771</v>
      </c>
      <c r="H139" s="105">
        <f ca="1" t="shared" si="48"/>
        <v>164906.6956</v>
      </c>
      <c r="I139" s="105">
        <f ca="1" t="shared" ref="I139:N139" si="49">SUM(I136:I138)</f>
        <v>166299.33719</v>
      </c>
      <c r="J139" s="105">
        <f ca="1" t="shared" si="49"/>
        <v>167613.8433274</v>
      </c>
      <c r="K139" s="105">
        <f ca="1" t="shared" si="49"/>
        <v>169404.918662468</v>
      </c>
      <c r="L139" s="105">
        <f ca="1" t="shared" si="49"/>
        <v>170947.282144852</v>
      </c>
      <c r="M139" s="105">
        <f ca="1" t="shared" si="49"/>
        <v>172029.147849697</v>
      </c>
      <c r="N139" s="105">
        <f ca="1" t="shared" si="49"/>
        <v>172894.640413573</v>
      </c>
    </row>
    <row r="140" customHeight="1" spans="4:14"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</row>
    <row r="141" customHeight="1" spans="1:14">
      <c r="A141" s="3" t="s">
        <v>33</v>
      </c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</row>
    <row r="142" customHeight="1" spans="1:14">
      <c r="A142" s="13" t="s">
        <v>331</v>
      </c>
      <c r="D142" s="106">
        <v>0</v>
      </c>
      <c r="E142" s="106">
        <v>0</v>
      </c>
      <c r="F142" s="106">
        <v>0</v>
      </c>
      <c r="G142" s="106">
        <v>0</v>
      </c>
      <c r="H142" s="106">
        <f ca="1">H224</f>
        <v>3469.43124156781</v>
      </c>
      <c r="I142" s="106">
        <f ca="1" t="shared" ref="I142:N142" si="50">I224</f>
        <v>0</v>
      </c>
      <c r="J142" s="106">
        <f ca="1" t="shared" si="50"/>
        <v>0</v>
      </c>
      <c r="K142" s="106">
        <f ca="1" t="shared" si="50"/>
        <v>0</v>
      </c>
      <c r="L142" s="106">
        <f ca="1" t="shared" si="50"/>
        <v>0</v>
      </c>
      <c r="M142" s="106">
        <f ca="1" t="shared" si="50"/>
        <v>0</v>
      </c>
      <c r="N142" s="106">
        <f ca="1" t="shared" si="50"/>
        <v>0</v>
      </c>
    </row>
    <row r="143" customHeight="1" spans="1:14">
      <c r="A143" s="13" t="s">
        <v>90</v>
      </c>
      <c r="D143" s="81">
        <v>2185</v>
      </c>
      <c r="E143" s="81">
        <v>2688</v>
      </c>
      <c r="F143" s="81">
        <v>2751</v>
      </c>
      <c r="G143" s="81">
        <v>2949</v>
      </c>
      <c r="H143" s="81">
        <f>H114*H44/$D$16</f>
        <v>2631.9384</v>
      </c>
      <c r="I143" s="81">
        <f t="shared" ref="I143:N143" si="51">I114*I44/$D$16</f>
        <v>2766.9096</v>
      </c>
      <c r="J143" s="81">
        <f t="shared" si="51"/>
        <v>2892.8039868</v>
      </c>
      <c r="K143" s="81">
        <f t="shared" si="51"/>
        <v>2921.732026668</v>
      </c>
      <c r="L143" s="81">
        <f t="shared" si="51"/>
        <v>2992.993783416</v>
      </c>
      <c r="M143" s="81">
        <f t="shared" si="51"/>
        <v>2992.993783416</v>
      </c>
      <c r="N143" s="81">
        <f t="shared" si="51"/>
        <v>2992.993783416</v>
      </c>
    </row>
    <row r="144" s="3" customFormat="1" customHeight="1" spans="1:14">
      <c r="A144" s="5" t="s">
        <v>34</v>
      </c>
      <c r="B144" s="5"/>
      <c r="C144" s="5"/>
      <c r="D144" s="82">
        <f t="shared" ref="D144:H144" si="52">SUM(D142:D143)</f>
        <v>2185</v>
      </c>
      <c r="E144" s="82">
        <f t="shared" si="52"/>
        <v>2688</v>
      </c>
      <c r="F144" s="82">
        <f t="shared" si="52"/>
        <v>2751</v>
      </c>
      <c r="G144" s="82">
        <f t="shared" si="52"/>
        <v>2949</v>
      </c>
      <c r="H144" s="82">
        <f ca="1" t="shared" si="52"/>
        <v>6101.36964156781</v>
      </c>
      <c r="I144" s="82">
        <f ca="1" t="shared" ref="I144:N144" si="53">SUM(I142:I143)</f>
        <v>2766.9096</v>
      </c>
      <c r="J144" s="82">
        <f ca="1" t="shared" si="53"/>
        <v>2892.8039868</v>
      </c>
      <c r="K144" s="82">
        <f ca="1" t="shared" si="53"/>
        <v>2921.732026668</v>
      </c>
      <c r="L144" s="82">
        <f ca="1" t="shared" si="53"/>
        <v>2992.993783416</v>
      </c>
      <c r="M144" s="82">
        <f ca="1" t="shared" si="53"/>
        <v>2992.993783416</v>
      </c>
      <c r="N144" s="82">
        <f ca="1" t="shared" si="53"/>
        <v>2992.993783416</v>
      </c>
    </row>
    <row r="145" customHeight="1" spans="1:18">
      <c r="A145" s="13" t="s">
        <v>332</v>
      </c>
      <c r="D145" s="81">
        <v>28002</v>
      </c>
      <c r="E145" s="81">
        <v>28002</v>
      </c>
      <c r="F145" s="81">
        <v>16801</v>
      </c>
      <c r="G145" s="81">
        <v>16801</v>
      </c>
      <c r="H145" s="106">
        <f ca="1">H256</f>
        <v>101250</v>
      </c>
      <c r="I145" s="106">
        <f ca="1" t="shared" ref="I145:N145" si="54">I256</f>
        <v>90917.6390363325</v>
      </c>
      <c r="J145" s="106">
        <f ca="1" t="shared" si="54"/>
        <v>76878.7487085998</v>
      </c>
      <c r="K145" s="106">
        <f ca="1" t="shared" si="54"/>
        <v>63129.4232483127</v>
      </c>
      <c r="L145" s="106">
        <f ca="1" t="shared" si="54"/>
        <v>11250</v>
      </c>
      <c r="M145" s="106">
        <f ca="1" t="shared" si="54"/>
        <v>11250</v>
      </c>
      <c r="N145" s="106">
        <f ca="1" t="shared" si="54"/>
        <v>0</v>
      </c>
      <c r="O145" s="106"/>
      <c r="P145" s="106"/>
      <c r="Q145" s="106"/>
      <c r="R145" s="106"/>
    </row>
    <row r="146" s="3" customFormat="1" customHeight="1" spans="1:14">
      <c r="A146" s="5" t="s">
        <v>40</v>
      </c>
      <c r="B146" s="5"/>
      <c r="C146" s="5"/>
      <c r="D146" s="82">
        <f t="shared" ref="D146:H146" si="55">SUM(D144:D145)</f>
        <v>30187</v>
      </c>
      <c r="E146" s="82">
        <f t="shared" si="55"/>
        <v>30690</v>
      </c>
      <c r="F146" s="82">
        <f t="shared" si="55"/>
        <v>19552</v>
      </c>
      <c r="G146" s="82">
        <f t="shared" si="55"/>
        <v>19750</v>
      </c>
      <c r="H146" s="82">
        <f ca="1" t="shared" si="55"/>
        <v>107351.369641568</v>
      </c>
      <c r="I146" s="82">
        <f ca="1" t="shared" ref="I146:N146" si="56">SUM(I144:I145)</f>
        <v>93684.5486363325</v>
      </c>
      <c r="J146" s="82">
        <f ca="1" t="shared" si="56"/>
        <v>79771.5526953998</v>
      </c>
      <c r="K146" s="82">
        <f ca="1" t="shared" si="56"/>
        <v>66051.1552749807</v>
      </c>
      <c r="L146" s="82">
        <f ca="1" t="shared" si="56"/>
        <v>14242.993783416</v>
      </c>
      <c r="M146" s="82">
        <f ca="1" t="shared" si="56"/>
        <v>14242.993783416</v>
      </c>
      <c r="N146" s="82">
        <f ca="1" t="shared" si="56"/>
        <v>2992.993783416</v>
      </c>
    </row>
    <row r="147" customHeight="1" spans="1:16">
      <c r="A147" s="3" t="s">
        <v>354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P147" s="81"/>
    </row>
    <row r="148" customHeight="1" spans="1:14">
      <c r="A148" s="13" t="s">
        <v>42</v>
      </c>
      <c r="D148" s="81">
        <v>39203</v>
      </c>
      <c r="E148" s="81">
        <v>39203</v>
      </c>
      <c r="F148" s="81">
        <v>39203</v>
      </c>
      <c r="G148" s="81">
        <v>39203</v>
      </c>
      <c r="H148" s="81">
        <f ca="1">L283+H173+H174</f>
        <v>48505.0251256281</v>
      </c>
      <c r="I148" s="81">
        <f ca="1" t="shared" ref="I148:N148" si="57">H148+I173+I174</f>
        <v>48505.0251256281</v>
      </c>
      <c r="J148" s="81">
        <f ca="1" t="shared" si="57"/>
        <v>48505.0251256281</v>
      </c>
      <c r="K148" s="81">
        <f ca="1" t="shared" si="57"/>
        <v>48505.0251256281</v>
      </c>
      <c r="L148" s="81">
        <f ca="1" t="shared" si="57"/>
        <v>48505.0251256281</v>
      </c>
      <c r="M148" s="81">
        <f ca="1" t="shared" si="57"/>
        <v>48505.0251256281</v>
      </c>
      <c r="N148" s="81">
        <f ca="1" t="shared" si="57"/>
        <v>48505.0251256281</v>
      </c>
    </row>
    <row r="149" customHeight="1" spans="1:14">
      <c r="A149" s="13" t="s">
        <v>43</v>
      </c>
      <c r="D149" s="81">
        <v>1121</v>
      </c>
      <c r="E149" s="81">
        <v>6586</v>
      </c>
      <c r="F149" s="81">
        <v>16657</v>
      </c>
      <c r="G149" s="81">
        <v>29819</v>
      </c>
      <c r="H149" s="81">
        <f ca="1">L284+H126+H175</f>
        <v>8994.23923280395</v>
      </c>
      <c r="I149" s="81">
        <f ca="1" t="shared" ref="I149:N149" si="58">H149+I126+I175</f>
        <v>24125.6730280358</v>
      </c>
      <c r="J149" s="81">
        <f ca="1" t="shared" si="58"/>
        <v>39281.0694931528</v>
      </c>
      <c r="K149" s="81">
        <f ca="1" t="shared" si="58"/>
        <v>55138.5318884295</v>
      </c>
      <c r="L149" s="81">
        <f ca="1" t="shared" si="58"/>
        <v>70606.3684858903</v>
      </c>
      <c r="M149" s="81">
        <f ca="1" t="shared" si="58"/>
        <v>85884.8785850032</v>
      </c>
      <c r="N149" s="81">
        <f ca="1" t="shared" si="58"/>
        <v>101011.927485438</v>
      </c>
    </row>
    <row r="150" s="3" customFormat="1" customHeight="1" spans="1:14">
      <c r="A150" s="5" t="s">
        <v>41</v>
      </c>
      <c r="B150" s="5"/>
      <c r="C150" s="5"/>
      <c r="D150" s="82">
        <f t="shared" ref="D150:N150" si="59">SUM(D148:D149)</f>
        <v>40324</v>
      </c>
      <c r="E150" s="82">
        <f t="shared" si="59"/>
        <v>45789</v>
      </c>
      <c r="F150" s="82">
        <f t="shared" si="59"/>
        <v>55860</v>
      </c>
      <c r="G150" s="82">
        <f t="shared" si="59"/>
        <v>69022</v>
      </c>
      <c r="H150" s="82">
        <f ca="1" t="shared" si="59"/>
        <v>57499.2643584321</v>
      </c>
      <c r="I150" s="82">
        <f ca="1" t="shared" si="59"/>
        <v>72630.6981536639</v>
      </c>
      <c r="J150" s="82">
        <f ca="1" t="shared" si="59"/>
        <v>87786.0946187809</v>
      </c>
      <c r="K150" s="82">
        <f ca="1" t="shared" si="59"/>
        <v>103643.557014058</v>
      </c>
      <c r="L150" s="82">
        <f ca="1" t="shared" si="59"/>
        <v>119111.393611518</v>
      </c>
      <c r="M150" s="82">
        <f ca="1" t="shared" si="59"/>
        <v>134389.903710631</v>
      </c>
      <c r="N150" s="82">
        <f ca="1" t="shared" si="59"/>
        <v>149516.952611066</v>
      </c>
    </row>
    <row r="151" s="7" customFormat="1" customHeight="1" spans="1:14">
      <c r="A151" s="103" t="s">
        <v>355</v>
      </c>
      <c r="B151" s="104"/>
      <c r="C151" s="104"/>
      <c r="D151" s="105">
        <f t="shared" ref="D151:N151" si="60">SUM(D150+D146)</f>
        <v>70511</v>
      </c>
      <c r="E151" s="105">
        <f t="shared" si="60"/>
        <v>76479</v>
      </c>
      <c r="F151" s="105">
        <f t="shared" si="60"/>
        <v>75412</v>
      </c>
      <c r="G151" s="105">
        <f t="shared" si="60"/>
        <v>88772</v>
      </c>
      <c r="H151" s="105">
        <f ca="1" t="shared" si="60"/>
        <v>164850.634</v>
      </c>
      <c r="I151" s="105">
        <f ca="1" t="shared" si="60"/>
        <v>166315.246789996</v>
      </c>
      <c r="J151" s="105">
        <f ca="1" t="shared" si="60"/>
        <v>167557.647314181</v>
      </c>
      <c r="K151" s="105">
        <f ca="1" t="shared" si="60"/>
        <v>169694.712289038</v>
      </c>
      <c r="L151" s="105">
        <f ca="1" t="shared" si="60"/>
        <v>133354.387394934</v>
      </c>
      <c r="M151" s="105">
        <f ca="1" t="shared" si="60"/>
        <v>148632.897494047</v>
      </c>
      <c r="N151" s="105">
        <f ca="1" t="shared" si="60"/>
        <v>152509.946394482</v>
      </c>
    </row>
    <row r="153" customHeight="1" spans="1:1">
      <c r="A153" s="107"/>
    </row>
    <row r="156" s="6" customFormat="1" customHeight="1" spans="1:14">
      <c r="A156" s="79" t="s">
        <v>46</v>
      </c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</row>
    <row r="157" customHeight="1" spans="4:14">
      <c r="D157" s="108">
        <v>2021</v>
      </c>
      <c r="E157" s="108">
        <v>2022</v>
      </c>
      <c r="F157" s="108">
        <v>2023</v>
      </c>
      <c r="G157" s="108">
        <v>2024</v>
      </c>
      <c r="H157" s="101">
        <v>2025</v>
      </c>
      <c r="I157" s="101">
        <v>2026</v>
      </c>
      <c r="J157" s="101">
        <v>2027</v>
      </c>
      <c r="K157" s="101">
        <v>2028</v>
      </c>
      <c r="L157" s="101">
        <v>2029</v>
      </c>
      <c r="M157" s="101">
        <v>2030</v>
      </c>
      <c r="N157" s="101">
        <v>2031</v>
      </c>
    </row>
    <row r="159" customHeight="1" spans="1:1">
      <c r="A159" s="3" t="s">
        <v>47</v>
      </c>
    </row>
    <row r="160" customHeight="1" spans="1:14">
      <c r="A160" s="13" t="s">
        <v>348</v>
      </c>
      <c r="D160" s="13" cm="1">
        <f t="array" ref="D160:G160">D126:G126</f>
        <v>1121</v>
      </c>
      <c r="E160" s="13">
        <v>5466</v>
      </c>
      <c r="F160" s="13">
        <v>10071</v>
      </c>
      <c r="G160" s="13">
        <v>13161</v>
      </c>
      <c r="H160" s="78">
        <f ca="1">H126</f>
        <v>14999.2643584321</v>
      </c>
      <c r="I160" s="78">
        <f ca="1" t="shared" ref="I160:N160" si="61">I126</f>
        <v>15131.4337952318</v>
      </c>
      <c r="J160" s="78">
        <f ca="1" t="shared" si="61"/>
        <v>15155.396465117</v>
      </c>
      <c r="K160" s="78">
        <f ca="1" t="shared" si="61"/>
        <v>15857.4623952767</v>
      </c>
      <c r="L160" s="78">
        <f ca="1" t="shared" si="61"/>
        <v>15467.8365974608</v>
      </c>
      <c r="M160" s="78">
        <f ca="1" t="shared" si="61"/>
        <v>15278.510099113</v>
      </c>
      <c r="N160" s="78">
        <f ca="1" t="shared" si="61"/>
        <v>15127.0489004347</v>
      </c>
    </row>
    <row r="161" customHeight="1" spans="1:14">
      <c r="A161" s="13" t="s">
        <v>48</v>
      </c>
      <c r="D161" s="13">
        <f t="array" ref="D161:G161">D121:G121</f>
        <v>10921</v>
      </c>
      <c r="E161" s="13">
        <v>10165</v>
      </c>
      <c r="F161" s="13">
        <v>9635</v>
      </c>
      <c r="G161" s="13">
        <v>9265</v>
      </c>
      <c r="H161" s="78">
        <f>H121</f>
        <v>6400</v>
      </c>
      <c r="I161" s="78">
        <f t="shared" ref="I161:N161" si="62">I121</f>
        <v>6597.93464</v>
      </c>
      <c r="J161" s="78">
        <f t="shared" si="62"/>
        <v>6793.230718</v>
      </c>
      <c r="K161" s="78">
        <f t="shared" si="62"/>
        <v>6979.76524052</v>
      </c>
      <c r="L161" s="78">
        <f t="shared" si="62"/>
        <v>7317.848273284</v>
      </c>
      <c r="M161" s="78">
        <f t="shared" si="62"/>
        <v>7588.3146994952</v>
      </c>
      <c r="N161" s="78">
        <f t="shared" si="62"/>
        <v>7804.68784046416</v>
      </c>
    </row>
    <row r="162" customHeight="1" spans="1:14">
      <c r="A162" s="13" t="s">
        <v>356</v>
      </c>
      <c r="D162" s="13">
        <v>5042</v>
      </c>
      <c r="E162" s="13">
        <v>953</v>
      </c>
      <c r="F162" s="13">
        <v>434</v>
      </c>
      <c r="G162" s="13">
        <v>506</v>
      </c>
      <c r="H162" s="109">
        <f>H192</f>
        <v>1229.0224</v>
      </c>
      <c r="I162" s="109">
        <f t="shared" ref="I162:N162" si="63">I192</f>
        <v>353.161199999999</v>
      </c>
      <c r="J162" s="109">
        <f t="shared" si="63"/>
        <v>183.833524800002</v>
      </c>
      <c r="K162" s="109">
        <f t="shared" si="63"/>
        <v>417.721771247999</v>
      </c>
      <c r="L162" s="109">
        <f t="shared" si="63"/>
        <v>55.0601513280008</v>
      </c>
      <c r="M162" s="109">
        <f t="shared" si="63"/>
        <v>-125.894386800001</v>
      </c>
      <c r="N162" s="109">
        <f t="shared" si="63"/>
        <v>-28.9280398680003</v>
      </c>
    </row>
    <row r="163" s="3" customFormat="1" customHeight="1" spans="1:14">
      <c r="A163" s="5" t="s">
        <v>357</v>
      </c>
      <c r="B163" s="5"/>
      <c r="C163" s="5"/>
      <c r="D163" s="110">
        <f t="shared" ref="D163:H163" si="64">SUM(D160+D161-D162)</f>
        <v>7000</v>
      </c>
      <c r="E163" s="110">
        <f t="shared" si="64"/>
        <v>14678</v>
      </c>
      <c r="F163" s="110">
        <f t="shared" si="64"/>
        <v>19272</v>
      </c>
      <c r="G163" s="110">
        <f t="shared" si="64"/>
        <v>21920</v>
      </c>
      <c r="H163" s="77">
        <f ca="1" t="shared" si="64"/>
        <v>20170.2419584321</v>
      </c>
      <c r="I163" s="77">
        <f ca="1" t="shared" ref="I163:N163" si="65">SUM(I160+I161-I162)</f>
        <v>21376.2072352318</v>
      </c>
      <c r="J163" s="77">
        <f ca="1" t="shared" si="65"/>
        <v>21764.793658317</v>
      </c>
      <c r="K163" s="77">
        <f ca="1" t="shared" si="65"/>
        <v>22419.5058645487</v>
      </c>
      <c r="L163" s="77">
        <f ca="1" t="shared" si="65"/>
        <v>22730.6247194168</v>
      </c>
      <c r="M163" s="77">
        <f ca="1" t="shared" si="65"/>
        <v>22992.7191854082</v>
      </c>
      <c r="N163" s="77">
        <f ca="1" t="shared" si="65"/>
        <v>22960.6647807668</v>
      </c>
    </row>
    <row r="165" customHeight="1" spans="1:1">
      <c r="A165" s="3" t="s">
        <v>52</v>
      </c>
    </row>
    <row r="166" customHeight="1" spans="1:14">
      <c r="A166" s="13" t="s">
        <v>358</v>
      </c>
      <c r="D166" s="109">
        <v>-8401</v>
      </c>
      <c r="E166" s="109">
        <v>-8401</v>
      </c>
      <c r="F166" s="109">
        <v>-8401</v>
      </c>
      <c r="G166" s="109">
        <v>-8401</v>
      </c>
      <c r="H166" s="109">
        <f>-H196</f>
        <v>-7389.6732</v>
      </c>
      <c r="I166" s="109">
        <f t="shared" ref="I166:N166" si="66">-I196</f>
        <v>-7574.41503</v>
      </c>
      <c r="J166" s="109">
        <f t="shared" si="66"/>
        <v>-7725.9033306</v>
      </c>
      <c r="K166" s="109">
        <f t="shared" si="66"/>
        <v>-8670.18040434</v>
      </c>
      <c r="L166" s="109">
        <f t="shared" si="66"/>
        <v>-8670.18040434</v>
      </c>
      <c r="M166" s="109">
        <f t="shared" si="66"/>
        <v>-8670.18040434</v>
      </c>
      <c r="N166" s="109">
        <f t="shared" si="66"/>
        <v>-8670.18040434</v>
      </c>
    </row>
    <row r="167" customHeight="1" spans="1:5">
      <c r="A167" s="13" t="s">
        <v>359</v>
      </c>
      <c r="D167" s="32"/>
      <c r="E167" s="111"/>
    </row>
    <row r="168" s="3" customFormat="1" customHeight="1" spans="1:14">
      <c r="A168" s="5" t="s">
        <v>59</v>
      </c>
      <c r="B168" s="5"/>
      <c r="C168" s="5"/>
      <c r="D168" s="112">
        <f t="shared" ref="D168:H168" si="67">SUM(D166:D167)</f>
        <v>-8401</v>
      </c>
      <c r="E168" s="112">
        <f t="shared" si="67"/>
        <v>-8401</v>
      </c>
      <c r="F168" s="112">
        <f t="shared" si="67"/>
        <v>-8401</v>
      </c>
      <c r="G168" s="112">
        <f t="shared" si="67"/>
        <v>-8401</v>
      </c>
      <c r="H168" s="112">
        <f t="shared" si="67"/>
        <v>-7389.6732</v>
      </c>
      <c r="I168" s="112">
        <f t="shared" ref="I168:N168" si="68">SUM(I166:I167)</f>
        <v>-7574.41503</v>
      </c>
      <c r="J168" s="112">
        <f t="shared" si="68"/>
        <v>-7725.9033306</v>
      </c>
      <c r="K168" s="112">
        <f t="shared" si="68"/>
        <v>-8670.18040434</v>
      </c>
      <c r="L168" s="112">
        <f t="shared" si="68"/>
        <v>-8670.18040434</v>
      </c>
      <c r="M168" s="112">
        <f t="shared" si="68"/>
        <v>-8670.18040434</v>
      </c>
      <c r="N168" s="112">
        <f t="shared" si="68"/>
        <v>-8670.18040434</v>
      </c>
    </row>
    <row r="170" customHeight="1" spans="1:1">
      <c r="A170" s="3" t="s">
        <v>60</v>
      </c>
    </row>
    <row r="171" customHeight="1" spans="1:14">
      <c r="A171" s="13" t="s">
        <v>360</v>
      </c>
      <c r="D171" s="13">
        <v>0</v>
      </c>
      <c r="E171" s="13">
        <v>0</v>
      </c>
      <c r="F171" s="13">
        <v>0</v>
      </c>
      <c r="G171" s="13">
        <v>0</v>
      </c>
      <c r="H171" s="113">
        <f>H230+H238+H254</f>
        <v>20000</v>
      </c>
      <c r="I171" s="113">
        <f ca="1" t="shared" ref="I171:N171" si="69">I230+I238+I254</f>
        <v>20000</v>
      </c>
      <c r="J171" s="113">
        <f ca="1" t="shared" si="69"/>
        <v>20000</v>
      </c>
      <c r="K171" s="113">
        <f ca="1" t="shared" si="69"/>
        <v>20000</v>
      </c>
      <c r="L171" s="113">
        <f ca="1" t="shared" si="69"/>
        <v>61879.4232479793</v>
      </c>
      <c r="M171" s="113">
        <f ca="1" t="shared" si="69"/>
        <v>0</v>
      </c>
      <c r="N171" s="113">
        <f ca="1" t="shared" si="69"/>
        <v>11250</v>
      </c>
    </row>
    <row r="172" customHeight="1" spans="1:14">
      <c r="A172" s="13" t="s">
        <v>361</v>
      </c>
      <c r="D172" s="13">
        <v>0</v>
      </c>
      <c r="F172" s="109">
        <v>-11201</v>
      </c>
      <c r="G172" s="13">
        <v>0</v>
      </c>
      <c r="H172" s="113">
        <f ca="1">H247+H239+H255+H231</f>
        <v>0</v>
      </c>
      <c r="I172" s="113">
        <f ca="1" t="shared" ref="I172:N172" si="70">I247+I239+I255+I231</f>
        <v>664.72192733502</v>
      </c>
      <c r="J172" s="113">
        <f ca="1" t="shared" si="70"/>
        <v>8077.78065544117</v>
      </c>
      <c r="K172" s="113">
        <f ca="1" t="shared" si="70"/>
        <v>7498.65092042316</v>
      </c>
      <c r="L172" s="113">
        <f ca="1" t="shared" si="70"/>
        <v>41879.4232479793</v>
      </c>
      <c r="M172" s="113">
        <f ca="1" t="shared" si="70"/>
        <v>0</v>
      </c>
      <c r="N172" s="113">
        <f ca="1" t="shared" si="70"/>
        <v>0</v>
      </c>
    </row>
    <row r="173" customHeight="1" spans="1:7">
      <c r="A173" s="13" t="s">
        <v>362</v>
      </c>
      <c r="D173" s="13">
        <v>39203</v>
      </c>
      <c r="E173" s="13">
        <v>0</v>
      </c>
      <c r="F173" s="13">
        <v>0</v>
      </c>
      <c r="G173" s="13">
        <v>0</v>
      </c>
    </row>
    <row r="174" customHeight="1" spans="1:7">
      <c r="A174" s="13" t="s">
        <v>363</v>
      </c>
      <c r="D174" s="13">
        <v>0</v>
      </c>
      <c r="E174" s="13">
        <v>0</v>
      </c>
      <c r="F174" s="13">
        <v>0</v>
      </c>
      <c r="G174" s="13">
        <v>0</v>
      </c>
    </row>
    <row r="175" customHeight="1" spans="1:7">
      <c r="A175" s="13" t="s">
        <v>364</v>
      </c>
      <c r="D175" s="13">
        <v>0</v>
      </c>
      <c r="E175" s="13">
        <v>0</v>
      </c>
      <c r="F175" s="13">
        <v>0</v>
      </c>
      <c r="G175" s="13">
        <v>0</v>
      </c>
    </row>
    <row r="176" s="3" customFormat="1" customHeight="1" spans="1:14">
      <c r="A176" s="5" t="s">
        <v>65</v>
      </c>
      <c r="B176" s="5"/>
      <c r="C176" s="5"/>
      <c r="D176" s="110">
        <f t="shared" ref="D176:H176" si="71">SUM(D171:D175)</f>
        <v>39203</v>
      </c>
      <c r="E176" s="110">
        <f t="shared" si="71"/>
        <v>0</v>
      </c>
      <c r="F176" s="114">
        <f t="shared" si="71"/>
        <v>-11201</v>
      </c>
      <c r="G176" s="110">
        <f t="shared" si="71"/>
        <v>0</v>
      </c>
      <c r="H176" s="77">
        <f ca="1" t="shared" si="71"/>
        <v>20000</v>
      </c>
      <c r="I176" s="77">
        <f ca="1" t="shared" ref="I176:N176" si="72">SUM(I171:I175)</f>
        <v>20664.721927335</v>
      </c>
      <c r="J176" s="77">
        <f ca="1" t="shared" si="72"/>
        <v>28077.7806554412</v>
      </c>
      <c r="K176" s="77">
        <f ca="1" t="shared" si="72"/>
        <v>27498.6509204232</v>
      </c>
      <c r="L176" s="77">
        <f ca="1" t="shared" si="72"/>
        <v>103758.846495959</v>
      </c>
      <c r="M176" s="77">
        <f ca="1" t="shared" si="72"/>
        <v>0</v>
      </c>
      <c r="N176" s="77">
        <f ca="1" t="shared" si="72"/>
        <v>11250</v>
      </c>
    </row>
    <row r="178" customHeight="1" spans="1:14">
      <c r="A178" s="13" t="s">
        <v>365</v>
      </c>
      <c r="D178" s="13">
        <v>37801</v>
      </c>
      <c r="E178" s="13">
        <v>6277</v>
      </c>
      <c r="F178" s="13">
        <v>-329</v>
      </c>
      <c r="G178" s="13">
        <v>13520</v>
      </c>
      <c r="H178" s="109"/>
      <c r="I178" s="109"/>
      <c r="J178" s="109"/>
      <c r="K178" s="109"/>
      <c r="L178" s="109"/>
      <c r="M178" s="109"/>
      <c r="N178" s="109"/>
    </row>
    <row r="179" customHeight="1" spans="1:14">
      <c r="A179" s="13" t="s">
        <v>366</v>
      </c>
      <c r="D179" s="13">
        <v>0</v>
      </c>
      <c r="E179" s="13">
        <v>37801</v>
      </c>
      <c r="F179" s="13">
        <v>44078</v>
      </c>
      <c r="G179" s="13">
        <v>43749</v>
      </c>
      <c r="H179" s="109">
        <f ca="1">L268</f>
        <v>9999.99999999999</v>
      </c>
      <c r="I179" s="109">
        <f ca="1" t="shared" ref="I179:N179" si="73">H180</f>
        <v>9999.99999999999</v>
      </c>
      <c r="J179" s="109">
        <f ca="1" t="shared" si="73"/>
        <v>9999.99999999999</v>
      </c>
      <c r="K179" s="109">
        <f ca="1" t="shared" si="73"/>
        <v>9999.99999999999</v>
      </c>
      <c r="L179" s="109">
        <f ca="1" t="shared" si="73"/>
        <v>9999.99999999999</v>
      </c>
      <c r="M179" s="109">
        <f ca="1" t="shared" si="73"/>
        <v>9999.99999999999</v>
      </c>
      <c r="N179" s="109">
        <f ca="1" t="shared" si="73"/>
        <v>9999.99999999999</v>
      </c>
    </row>
    <row r="180" s="3" customFormat="1" customHeight="1" spans="1:14">
      <c r="A180" s="5" t="s">
        <v>367</v>
      </c>
      <c r="B180" s="5"/>
      <c r="C180" s="5"/>
      <c r="D180" s="110">
        <f t="shared" ref="D180:N180" si="74">SUM(D178:D179)</f>
        <v>37801</v>
      </c>
      <c r="E180" s="110">
        <f t="shared" si="74"/>
        <v>44078</v>
      </c>
      <c r="F180" s="110">
        <f t="shared" si="74"/>
        <v>43749</v>
      </c>
      <c r="G180" s="110">
        <f t="shared" si="74"/>
        <v>57269</v>
      </c>
      <c r="H180" s="112">
        <f ca="1" t="shared" si="74"/>
        <v>9999.99999999999</v>
      </c>
      <c r="I180" s="112">
        <f ca="1" t="shared" si="74"/>
        <v>9999.99999999999</v>
      </c>
      <c r="J180" s="112">
        <f ca="1" t="shared" si="74"/>
        <v>9999.99999999999</v>
      </c>
      <c r="K180" s="112">
        <f ca="1" t="shared" si="74"/>
        <v>9999.99999999999</v>
      </c>
      <c r="L180" s="112">
        <f ca="1" t="shared" si="74"/>
        <v>9999.99999999999</v>
      </c>
      <c r="M180" s="112">
        <f ca="1" t="shared" si="74"/>
        <v>9999.99999999999</v>
      </c>
      <c r="N180" s="112">
        <f ca="1" t="shared" si="74"/>
        <v>9999.99999999999</v>
      </c>
    </row>
    <row r="183" s="8" customFormat="1" customHeight="1" spans="1:1">
      <c r="A183" s="8" t="s">
        <v>368</v>
      </c>
    </row>
    <row r="184" customHeight="1" spans="1:14">
      <c r="A184" s="65"/>
      <c r="B184" s="65"/>
      <c r="C184" s="65"/>
      <c r="D184" s="80">
        <v>2021</v>
      </c>
      <c r="E184" s="80">
        <v>2022</v>
      </c>
      <c r="F184" s="80">
        <v>2023</v>
      </c>
      <c r="G184" s="80">
        <v>2024</v>
      </c>
      <c r="H184" s="73">
        <v>2025</v>
      </c>
      <c r="I184" s="73">
        <v>2026</v>
      </c>
      <c r="J184" s="73">
        <v>2027</v>
      </c>
      <c r="K184" s="73">
        <v>2028</v>
      </c>
      <c r="L184" s="73">
        <v>2029</v>
      </c>
      <c r="M184" s="73">
        <v>2030</v>
      </c>
      <c r="N184" s="73">
        <v>2031</v>
      </c>
    </row>
    <row r="186" s="3" customFormat="1" customHeight="1" spans="1:1">
      <c r="A186" s="3" t="s">
        <v>369</v>
      </c>
    </row>
    <row r="187" customHeight="1" spans="1:14">
      <c r="A187" s="13" t="s">
        <v>89</v>
      </c>
      <c r="D187" s="71">
        <v>2856</v>
      </c>
      <c r="E187" s="71">
        <v>3307</v>
      </c>
      <c r="F187" s="71">
        <v>3675</v>
      </c>
      <c r="G187" s="71">
        <f>G134</f>
        <v>3986</v>
      </c>
      <c r="H187" s="71">
        <f t="shared" ref="H187:N187" si="75">H134</f>
        <v>2249.52</v>
      </c>
      <c r="I187" s="71">
        <f t="shared" si="75"/>
        <v>2305.758</v>
      </c>
      <c r="J187" s="71">
        <f t="shared" si="75"/>
        <v>2351.87316</v>
      </c>
      <c r="K187" s="71">
        <f t="shared" si="75"/>
        <v>2375.3918916</v>
      </c>
      <c r="L187" s="71">
        <f t="shared" si="75"/>
        <v>2375.3918916</v>
      </c>
      <c r="M187" s="71">
        <f t="shared" si="75"/>
        <v>2375.3918916</v>
      </c>
      <c r="N187" s="71">
        <f t="shared" si="75"/>
        <v>2375.3918916</v>
      </c>
    </row>
    <row r="188" customHeight="1" spans="1:14">
      <c r="A188" s="13" t="s">
        <v>25</v>
      </c>
      <c r="D188" s="71">
        <v>4371</v>
      </c>
      <c r="E188" s="71">
        <v>5377</v>
      </c>
      <c r="F188" s="71">
        <v>5502</v>
      </c>
      <c r="G188" s="71">
        <f>G135</f>
        <v>5898</v>
      </c>
      <c r="H188" s="71">
        <f t="shared" ref="H188:N188" si="76">H135</f>
        <v>7018.5024</v>
      </c>
      <c r="I188" s="71">
        <f t="shared" si="76"/>
        <v>7378.4256</v>
      </c>
      <c r="J188" s="71">
        <f t="shared" si="76"/>
        <v>7714.1439648</v>
      </c>
      <c r="K188" s="71">
        <f t="shared" si="76"/>
        <v>7791.285404448</v>
      </c>
      <c r="L188" s="71">
        <f t="shared" si="76"/>
        <v>7981.316755776</v>
      </c>
      <c r="M188" s="71">
        <f t="shared" si="76"/>
        <v>7981.316755776</v>
      </c>
      <c r="N188" s="71">
        <f t="shared" si="76"/>
        <v>7981.316755776</v>
      </c>
    </row>
    <row r="189" customHeight="1" spans="1:14">
      <c r="A189" s="13" t="s">
        <v>90</v>
      </c>
      <c r="D189" s="71" cm="1">
        <f t="array" ref="D189:G189">D143:G143</f>
        <v>2185</v>
      </c>
      <c r="E189" s="71">
        <v>2688</v>
      </c>
      <c r="F189" s="71">
        <v>2751</v>
      </c>
      <c r="G189" s="71">
        <v>2949</v>
      </c>
      <c r="H189" s="71">
        <f t="array" ref="H189">E143:H143</f>
        <v>2688</v>
      </c>
      <c r="I189" s="71">
        <f t="array" ref="I189">F143:I143</f>
        <v>2751</v>
      </c>
      <c r="J189" s="71">
        <f t="array" ref="J189">G143:J143</f>
        <v>2949</v>
      </c>
      <c r="K189" s="71">
        <f t="array" ref="K189">H143:K143</f>
        <v>2631.9384</v>
      </c>
      <c r="L189" s="71">
        <f t="array" ref="L189">I143:L143</f>
        <v>2766.9096</v>
      </c>
      <c r="M189" s="71">
        <f t="array" ref="M189">J143:M143</f>
        <v>2892.8039868</v>
      </c>
      <c r="N189" s="71">
        <f t="array" ref="N189">K143:N143</f>
        <v>2921.732026668</v>
      </c>
    </row>
    <row r="190" customHeight="1" spans="1:14">
      <c r="A190" s="20" t="s">
        <v>370</v>
      </c>
      <c r="B190" s="20"/>
      <c r="C190" s="20"/>
      <c r="D190" s="70">
        <f t="shared" ref="D190:G190" si="77">SUM(D187+D188-D189)</f>
        <v>5042</v>
      </c>
      <c r="E190" s="70">
        <f t="shared" si="77"/>
        <v>5996</v>
      </c>
      <c r="F190" s="70">
        <f t="shared" si="77"/>
        <v>6426</v>
      </c>
      <c r="G190" s="70">
        <f t="shared" si="77"/>
        <v>6935</v>
      </c>
      <c r="H190" s="70">
        <f t="shared" ref="H190:N190" si="78">SUM(H187+H188-H189)</f>
        <v>6580.0224</v>
      </c>
      <c r="I190" s="70">
        <f t="shared" si="78"/>
        <v>6933.1836</v>
      </c>
      <c r="J190" s="70">
        <f t="shared" si="78"/>
        <v>7117.0171248</v>
      </c>
      <c r="K190" s="70">
        <f t="shared" si="78"/>
        <v>7534.738896048</v>
      </c>
      <c r="L190" s="70">
        <f t="shared" si="78"/>
        <v>7589.799047376</v>
      </c>
      <c r="M190" s="70">
        <f t="shared" si="78"/>
        <v>7463.904660576</v>
      </c>
      <c r="N190" s="70">
        <f t="shared" si="78"/>
        <v>7434.976620708</v>
      </c>
    </row>
    <row r="191" customHeight="1" spans="1:8">
      <c r="A191" s="13" t="s">
        <v>371</v>
      </c>
      <c r="H191" s="113">
        <f>-F75-F76</f>
        <v>1584</v>
      </c>
    </row>
    <row r="192" s="3" customFormat="1" customHeight="1" spans="1:14">
      <c r="A192" s="5" t="s">
        <v>372</v>
      </c>
      <c r="B192" s="5"/>
      <c r="C192" s="5"/>
      <c r="D192" s="115">
        <f t="shared" ref="D192:G192" si="79">SUM(D190-C190+D191)</f>
        <v>5042</v>
      </c>
      <c r="E192" s="115">
        <f t="shared" si="79"/>
        <v>954</v>
      </c>
      <c r="F192" s="115">
        <f t="shared" si="79"/>
        <v>430</v>
      </c>
      <c r="G192" s="115">
        <f t="shared" si="79"/>
        <v>509</v>
      </c>
      <c r="H192" s="112">
        <f t="shared" ref="H192:N192" si="80">SUM(H190-G190+H191)</f>
        <v>1229.0224</v>
      </c>
      <c r="I192" s="112">
        <f t="shared" si="80"/>
        <v>353.161199999999</v>
      </c>
      <c r="J192" s="112">
        <f t="shared" si="80"/>
        <v>183.833524800002</v>
      </c>
      <c r="K192" s="115">
        <f t="shared" si="80"/>
        <v>417.721771247999</v>
      </c>
      <c r="L192" s="115">
        <f t="shared" si="80"/>
        <v>55.0601513280008</v>
      </c>
      <c r="M192" s="115">
        <f t="shared" si="80"/>
        <v>-125.894386800001</v>
      </c>
      <c r="N192" s="115">
        <f t="shared" si="80"/>
        <v>-28.9280398680003</v>
      </c>
    </row>
    <row r="194" customHeight="1" spans="1:1">
      <c r="A194" s="3" t="s">
        <v>373</v>
      </c>
    </row>
    <row r="195" customHeight="1" spans="1:14">
      <c r="A195" s="13" t="s">
        <v>94</v>
      </c>
      <c r="D195" s="81">
        <f>D198+D197-D196</f>
        <v>28002</v>
      </c>
      <c r="E195" s="81">
        <f t="shared" ref="E195:G195" si="81">D198</f>
        <v>25482</v>
      </c>
      <c r="F195" s="81">
        <f t="shared" si="81"/>
        <v>23718</v>
      </c>
      <c r="G195" s="81">
        <f t="shared" si="81"/>
        <v>22484</v>
      </c>
      <c r="H195" s="116">
        <f>L272</f>
        <v>32000</v>
      </c>
      <c r="I195" s="81">
        <f t="shared" ref="I195:N195" si="82">H198</f>
        <v>32989.6732</v>
      </c>
      <c r="J195" s="81">
        <f t="shared" si="82"/>
        <v>33966.15359</v>
      </c>
      <c r="K195" s="81">
        <f t="shared" si="82"/>
        <v>34898.8262026</v>
      </c>
      <c r="L195" s="81">
        <f t="shared" si="82"/>
        <v>36589.24136642</v>
      </c>
      <c r="M195" s="81">
        <f t="shared" si="82"/>
        <v>37941.573497476</v>
      </c>
      <c r="N195" s="81">
        <f t="shared" si="82"/>
        <v>39023.4392023208</v>
      </c>
    </row>
    <row r="196" customHeight="1" spans="1:14">
      <c r="A196" s="13" t="s">
        <v>95</v>
      </c>
      <c r="D196" s="81">
        <f>-D166</f>
        <v>8401</v>
      </c>
      <c r="E196" s="81">
        <f t="shared" ref="E196:G196" si="83">D196</f>
        <v>8401</v>
      </c>
      <c r="F196" s="81">
        <f t="shared" si="83"/>
        <v>8401</v>
      </c>
      <c r="G196" s="81">
        <f t="shared" si="83"/>
        <v>8401</v>
      </c>
      <c r="H196" s="81">
        <f t="shared" ref="H196:N196" si="84">H46*H113</f>
        <v>7389.6732</v>
      </c>
      <c r="I196" s="81">
        <f t="shared" si="84"/>
        <v>7574.41503</v>
      </c>
      <c r="J196" s="81">
        <f t="shared" si="84"/>
        <v>7725.9033306</v>
      </c>
      <c r="K196" s="81">
        <f t="shared" si="84"/>
        <v>8670.18040434</v>
      </c>
      <c r="L196" s="81">
        <f t="shared" si="84"/>
        <v>8670.18040434</v>
      </c>
      <c r="M196" s="81">
        <f t="shared" si="84"/>
        <v>8670.18040434</v>
      </c>
      <c r="N196" s="81">
        <f t="shared" si="84"/>
        <v>8670.18040434</v>
      </c>
    </row>
    <row r="197" customHeight="1" spans="1:14">
      <c r="A197" s="13" t="s">
        <v>96</v>
      </c>
      <c r="D197" s="81">
        <f t="shared" ref="D197:G197" si="85">D121</f>
        <v>10921</v>
      </c>
      <c r="E197" s="117">
        <f t="shared" si="85"/>
        <v>10165</v>
      </c>
      <c r="F197" s="117">
        <f t="shared" si="85"/>
        <v>9635</v>
      </c>
      <c r="G197" s="117">
        <f t="shared" si="85"/>
        <v>9265</v>
      </c>
      <c r="H197" s="81">
        <f t="shared" ref="H197:N197" si="86">H195*H47</f>
        <v>6400</v>
      </c>
      <c r="I197" s="81">
        <f t="shared" si="86"/>
        <v>6597.93464</v>
      </c>
      <c r="J197" s="81">
        <f t="shared" si="86"/>
        <v>6793.230718</v>
      </c>
      <c r="K197" s="81">
        <f t="shared" si="86"/>
        <v>6979.76524052</v>
      </c>
      <c r="L197" s="81">
        <f t="shared" si="86"/>
        <v>7317.848273284</v>
      </c>
      <c r="M197" s="81">
        <f t="shared" si="86"/>
        <v>7588.3146994952</v>
      </c>
      <c r="N197" s="81">
        <f t="shared" si="86"/>
        <v>7804.68784046416</v>
      </c>
    </row>
    <row r="198" s="3" customFormat="1" customHeight="1" spans="1:14">
      <c r="A198" s="5" t="s">
        <v>97</v>
      </c>
      <c r="B198" s="5"/>
      <c r="C198" s="5"/>
      <c r="D198" s="82">
        <f>D137</f>
        <v>25482</v>
      </c>
      <c r="E198" s="82">
        <f t="shared" ref="E198:N198" si="87">SUM(E195+E196-E197)</f>
        <v>23718</v>
      </c>
      <c r="F198" s="82">
        <f t="shared" si="87"/>
        <v>22484</v>
      </c>
      <c r="G198" s="82">
        <f t="shared" si="87"/>
        <v>21620</v>
      </c>
      <c r="H198" s="82">
        <f t="shared" si="87"/>
        <v>32989.6732</v>
      </c>
      <c r="I198" s="82">
        <f t="shared" si="87"/>
        <v>33966.15359</v>
      </c>
      <c r="J198" s="82">
        <f t="shared" si="87"/>
        <v>34898.8262026</v>
      </c>
      <c r="K198" s="82">
        <f t="shared" si="87"/>
        <v>36589.24136642</v>
      </c>
      <c r="L198" s="82">
        <f t="shared" si="87"/>
        <v>37941.573497476</v>
      </c>
      <c r="M198" s="82">
        <f t="shared" si="87"/>
        <v>39023.4392023208</v>
      </c>
      <c r="N198" s="82">
        <f t="shared" si="87"/>
        <v>39888.9317661966</v>
      </c>
    </row>
    <row r="201" customHeight="1" spans="1:16">
      <c r="A201" s="118" t="s">
        <v>98</v>
      </c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</row>
    <row r="203" customHeight="1" spans="4:14">
      <c r="D203" s="119" cm="1">
        <f t="array" ref="D203:H203">D184:H184</f>
        <v>2021</v>
      </c>
      <c r="E203" s="119">
        <v>2022</v>
      </c>
      <c r="F203" s="119">
        <v>2023</v>
      </c>
      <c r="G203" s="119">
        <v>2024</v>
      </c>
      <c r="H203" s="73">
        <v>2025</v>
      </c>
      <c r="I203" s="73">
        <v>2026</v>
      </c>
      <c r="J203" s="73">
        <v>2027</v>
      </c>
      <c r="K203" s="73">
        <v>2028</v>
      </c>
      <c r="L203" s="73">
        <v>2029</v>
      </c>
      <c r="M203" s="73">
        <v>2030</v>
      </c>
      <c r="N203" s="73">
        <v>2031</v>
      </c>
    </row>
    <row r="204" customHeight="1" spans="1:1">
      <c r="A204" s="3" t="s">
        <v>374</v>
      </c>
    </row>
    <row r="205" customHeight="1" spans="1:14">
      <c r="A205" s="13" t="s">
        <v>375</v>
      </c>
      <c r="H205" s="76">
        <f ca="1">H163</f>
        <v>20170.2419584321</v>
      </c>
      <c r="I205" s="76">
        <f ca="1" t="shared" ref="I205:N205" si="88">I163</f>
        <v>21376.2072352318</v>
      </c>
      <c r="J205" s="76">
        <f ca="1" t="shared" si="88"/>
        <v>21764.793658317</v>
      </c>
      <c r="K205" s="76">
        <f ca="1" t="shared" si="88"/>
        <v>22419.5058645487</v>
      </c>
      <c r="L205" s="76">
        <f ca="1" t="shared" si="88"/>
        <v>22730.6247194168</v>
      </c>
      <c r="M205" s="76">
        <f ca="1" t="shared" si="88"/>
        <v>22992.7191854082</v>
      </c>
      <c r="N205" s="76">
        <f ca="1" t="shared" si="88"/>
        <v>22960.6647807668</v>
      </c>
    </row>
    <row r="206" customHeight="1" spans="1:14">
      <c r="A206" s="13" t="s">
        <v>376</v>
      </c>
      <c r="H206" s="109">
        <f>H168</f>
        <v>-7389.6732</v>
      </c>
      <c r="I206" s="109">
        <f t="shared" ref="I206:N206" si="89">I168</f>
        <v>-7574.41503</v>
      </c>
      <c r="J206" s="109">
        <f t="shared" si="89"/>
        <v>-7725.9033306</v>
      </c>
      <c r="K206" s="109">
        <f t="shared" si="89"/>
        <v>-8670.18040434</v>
      </c>
      <c r="L206" s="109">
        <f t="shared" si="89"/>
        <v>-8670.18040434</v>
      </c>
      <c r="M206" s="109">
        <f t="shared" si="89"/>
        <v>-8670.18040434</v>
      </c>
      <c r="N206" s="109">
        <f t="shared" si="89"/>
        <v>-8670.18040434</v>
      </c>
    </row>
    <row r="207" customHeight="1" spans="1:14">
      <c r="A207" s="13" t="s">
        <v>377</v>
      </c>
      <c r="H207" s="71">
        <f>-H254</f>
        <v>-10000</v>
      </c>
      <c r="I207" s="71">
        <f ca="1">-I254</f>
        <v>-10000</v>
      </c>
      <c r="J207" s="71">
        <f ca="1">-J254</f>
        <v>-10000</v>
      </c>
      <c r="K207" s="71">
        <f ca="1">-K254</f>
        <v>-10000</v>
      </c>
      <c r="L207" s="76">
        <f ca="1">L254</f>
        <v>30939.7116239896</v>
      </c>
      <c r="M207" s="13">
        <f ca="1">M254</f>
        <v>0</v>
      </c>
      <c r="N207" s="71">
        <f ca="1">-N254</f>
        <v>-11250</v>
      </c>
    </row>
    <row r="208" customHeight="1" spans="1:14">
      <c r="A208" s="13" t="s">
        <v>378</v>
      </c>
      <c r="H208" s="12"/>
      <c r="I208" s="12"/>
      <c r="J208" s="12"/>
      <c r="K208" s="12"/>
      <c r="L208" s="12"/>
      <c r="M208" s="12"/>
      <c r="N208" s="12"/>
    </row>
    <row r="209" s="3" customFormat="1" customHeight="1" spans="1:20">
      <c r="A209" s="5" t="s">
        <v>379</v>
      </c>
      <c r="B209" s="5"/>
      <c r="C209" s="5"/>
      <c r="D209" s="5"/>
      <c r="E209" s="5"/>
      <c r="F209" s="5"/>
      <c r="G209" s="5"/>
      <c r="H209" s="77">
        <f ca="1">SUM(H205:H208)</f>
        <v>2780.56875843209</v>
      </c>
      <c r="I209" s="77">
        <f ca="1" t="shared" ref="I209:N209" si="90">SUM(I205:I208)</f>
        <v>3801.79220523184</v>
      </c>
      <c r="J209" s="77">
        <f ca="1" t="shared" si="90"/>
        <v>4038.89032771701</v>
      </c>
      <c r="K209" s="77">
        <f ca="1" t="shared" si="90"/>
        <v>3749.32546020867</v>
      </c>
      <c r="L209" s="77">
        <f ca="1" t="shared" si="90"/>
        <v>45000.1559390664</v>
      </c>
      <c r="M209" s="77">
        <f ca="1" t="shared" si="90"/>
        <v>14322.5387810682</v>
      </c>
      <c r="N209" s="77">
        <f ca="1" t="shared" si="90"/>
        <v>3040.48437642685</v>
      </c>
      <c r="O209" s="5"/>
      <c r="P209" s="5"/>
      <c r="Q209" s="5"/>
      <c r="R209" s="5"/>
      <c r="S209" s="5"/>
      <c r="T209" s="5"/>
    </row>
    <row r="211" customHeight="1" spans="1:14">
      <c r="A211" s="13" t="s">
        <v>380</v>
      </c>
      <c r="H211" s="109">
        <f ca="1">H179</f>
        <v>9999.99999999999</v>
      </c>
      <c r="I211" s="109">
        <f ca="1" t="shared" ref="I211:N211" si="91">I179</f>
        <v>9999.99999999999</v>
      </c>
      <c r="J211" s="109">
        <f ca="1" t="shared" si="91"/>
        <v>9999.99999999999</v>
      </c>
      <c r="K211" s="109">
        <f ca="1" t="shared" si="91"/>
        <v>9999.99999999999</v>
      </c>
      <c r="L211" s="109">
        <f ca="1" t="shared" si="91"/>
        <v>9999.99999999999</v>
      </c>
      <c r="M211" s="109">
        <f ca="1" t="shared" si="91"/>
        <v>9999.99999999999</v>
      </c>
      <c r="N211" s="109">
        <f ca="1" t="shared" si="91"/>
        <v>9999.99999999999</v>
      </c>
    </row>
    <row r="212" customHeight="1" spans="1:14">
      <c r="A212" s="13" t="s">
        <v>381</v>
      </c>
      <c r="H212" s="76">
        <f ca="1">H209</f>
        <v>2780.56875843209</v>
      </c>
      <c r="I212" s="76">
        <f ca="1" t="shared" ref="I212:N212" si="92">I209</f>
        <v>3801.79220523184</v>
      </c>
      <c r="J212" s="76">
        <f ca="1" t="shared" si="92"/>
        <v>4038.89032771701</v>
      </c>
      <c r="K212" s="76">
        <f ca="1" t="shared" si="92"/>
        <v>3749.32546020867</v>
      </c>
      <c r="L212" s="76">
        <f ca="1" t="shared" si="92"/>
        <v>45000.1559390664</v>
      </c>
      <c r="M212" s="76">
        <f ca="1" t="shared" si="92"/>
        <v>14322.5387810682</v>
      </c>
      <c r="N212" s="76">
        <f ca="1" t="shared" si="92"/>
        <v>3040.48437642685</v>
      </c>
    </row>
    <row r="213" customHeight="1" spans="1:14">
      <c r="A213" s="13" t="s">
        <v>382</v>
      </c>
      <c r="H213" s="32">
        <f>-$D$23</f>
        <v>-10000</v>
      </c>
      <c r="I213" s="32">
        <f t="shared" ref="I213:N213" si="93">-$D$23</f>
        <v>-10000</v>
      </c>
      <c r="J213" s="32">
        <f t="shared" si="93"/>
        <v>-10000</v>
      </c>
      <c r="K213" s="32">
        <f t="shared" si="93"/>
        <v>-10000</v>
      </c>
      <c r="L213" s="32">
        <f t="shared" si="93"/>
        <v>-10000</v>
      </c>
      <c r="M213" s="32">
        <f t="shared" si="93"/>
        <v>-10000</v>
      </c>
      <c r="N213" s="32">
        <f t="shared" si="93"/>
        <v>-10000</v>
      </c>
    </row>
    <row r="214" s="3" customFormat="1" customHeight="1" spans="1:20">
      <c r="A214" s="5" t="s">
        <v>383</v>
      </c>
      <c r="B214" s="5"/>
      <c r="C214" s="5"/>
      <c r="D214" s="5"/>
      <c r="E214" s="5"/>
      <c r="F214" s="5"/>
      <c r="G214" s="5"/>
      <c r="H214" s="112">
        <f ca="1">SUM(H211:H213)</f>
        <v>2780.56875843208</v>
      </c>
      <c r="I214" s="112">
        <f ca="1" t="shared" ref="I214:N214" si="94">SUM(I211:I213)</f>
        <v>3801.79220523183</v>
      </c>
      <c r="J214" s="112">
        <f ca="1" t="shared" si="94"/>
        <v>4038.890327717</v>
      </c>
      <c r="K214" s="112">
        <f ca="1" t="shared" si="94"/>
        <v>3749.32546020866</v>
      </c>
      <c r="L214" s="112">
        <f ca="1" t="shared" si="94"/>
        <v>45000.1559390664</v>
      </c>
      <c r="M214" s="112">
        <f ca="1" t="shared" si="94"/>
        <v>14322.5387810682</v>
      </c>
      <c r="N214" s="112">
        <f ca="1" t="shared" si="94"/>
        <v>3040.48437642684</v>
      </c>
      <c r="O214" s="5"/>
      <c r="P214" s="5"/>
      <c r="Q214" s="5"/>
      <c r="R214" s="5"/>
      <c r="S214" s="5"/>
      <c r="T214" s="5"/>
    </row>
    <row r="215" customHeight="1" spans="1:14">
      <c r="A215" s="13" t="s">
        <v>384</v>
      </c>
      <c r="H215" s="76">
        <f ca="1">-H223</f>
        <v>-2780.56875843219</v>
      </c>
      <c r="I215" s="76">
        <f ca="1" t="shared" ref="I215:N215" si="95">-I223</f>
        <v>-3469.43124156728</v>
      </c>
      <c r="J215" s="32">
        <f ca="1" t="shared" si="95"/>
        <v>0</v>
      </c>
      <c r="K215" s="32">
        <f ca="1" t="shared" si="95"/>
        <v>0</v>
      </c>
      <c r="L215" s="32">
        <f ca="1" t="shared" si="95"/>
        <v>0</v>
      </c>
      <c r="M215" s="32">
        <f ca="1" t="shared" si="95"/>
        <v>0</v>
      </c>
      <c r="N215" s="32">
        <f ca="1" t="shared" si="95"/>
        <v>0</v>
      </c>
    </row>
    <row r="216" s="3" customFormat="1" customHeight="1" spans="1:20">
      <c r="A216" s="5" t="s">
        <v>385</v>
      </c>
      <c r="B216" s="5"/>
      <c r="C216" s="5"/>
      <c r="D216" s="5"/>
      <c r="E216" s="5"/>
      <c r="F216" s="5"/>
      <c r="G216" s="5"/>
      <c r="H216" s="112">
        <f ca="1">SUM(H214:H215)</f>
        <v>-1.09139364212751e-10</v>
      </c>
      <c r="I216" s="112">
        <f ca="1" t="shared" ref="I216:N216" si="96">SUM(I214:I215)</f>
        <v>332.360963664556</v>
      </c>
      <c r="J216" s="112">
        <f ca="1" t="shared" si="96"/>
        <v>4038.890327717</v>
      </c>
      <c r="K216" s="112">
        <f ca="1" t="shared" si="96"/>
        <v>3749.32546020866</v>
      </c>
      <c r="L216" s="112">
        <f ca="1" t="shared" si="96"/>
        <v>45000.1559390664</v>
      </c>
      <c r="M216" s="112">
        <f ca="1" t="shared" si="96"/>
        <v>14322.5387810682</v>
      </c>
      <c r="N216" s="112">
        <f ca="1" t="shared" si="96"/>
        <v>3040.48437642684</v>
      </c>
      <c r="O216" s="5"/>
      <c r="P216" s="5"/>
      <c r="Q216" s="5"/>
      <c r="R216" s="5"/>
      <c r="S216" s="5"/>
      <c r="T216" s="5"/>
    </row>
    <row r="218" customHeight="1" spans="1:14">
      <c r="A218" s="13" t="s">
        <v>386</v>
      </c>
      <c r="H218" s="76">
        <f ca="1">H255</f>
        <v>0</v>
      </c>
      <c r="I218" s="76">
        <f ca="1" t="shared" ref="I218:N218" si="97">I255</f>
        <v>332.36096366751</v>
      </c>
      <c r="J218" s="76">
        <f ca="1" t="shared" si="97"/>
        <v>4038.89032772058</v>
      </c>
      <c r="K218" s="76">
        <f ca="1" t="shared" si="97"/>
        <v>3749.32546021158</v>
      </c>
      <c r="L218" s="76">
        <f ca="1" t="shared" si="97"/>
        <v>20939.7116239896</v>
      </c>
      <c r="M218" s="76">
        <f ca="1" t="shared" si="97"/>
        <v>0</v>
      </c>
      <c r="N218" s="76">
        <f ca="1" t="shared" si="97"/>
        <v>0</v>
      </c>
    </row>
    <row r="220" customHeight="1" spans="1:20">
      <c r="A220" s="120" t="str">
        <f>A53</f>
        <v>Line Of Credit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customHeight="1" spans="1:14">
      <c r="A221" s="13" t="s">
        <v>387</v>
      </c>
      <c r="H221" s="24">
        <f>G224</f>
        <v>6250</v>
      </c>
      <c r="I221" s="71">
        <f ca="1">H224</f>
        <v>3469.43124156781</v>
      </c>
      <c r="J221" s="24">
        <f ca="1" t="shared" ref="J221:N221" si="98">I224</f>
        <v>0</v>
      </c>
      <c r="K221" s="24">
        <f ca="1" t="shared" si="98"/>
        <v>0</v>
      </c>
      <c r="L221" s="24">
        <f ca="1" t="shared" si="98"/>
        <v>0</v>
      </c>
      <c r="M221" s="24">
        <f ca="1" t="shared" si="98"/>
        <v>0</v>
      </c>
      <c r="N221" s="24">
        <f ca="1" t="shared" si="98"/>
        <v>0</v>
      </c>
    </row>
    <row r="222" customHeight="1" spans="1:14">
      <c r="A222" s="13" t="s">
        <v>388</v>
      </c>
      <c r="H222" s="13">
        <f ca="1" t="shared" ref="H222:N222" si="99">IF((H179+H163+H168+H172+H173+H174+H175)&lt;=$D$23,-(H179+H163+H168+H172+H173+H174+H175)+$D$23,0)</f>
        <v>0</v>
      </c>
      <c r="I222" s="13">
        <f ca="1" t="shared" si="99"/>
        <v>0</v>
      </c>
      <c r="J222" s="13">
        <f ca="1" t="shared" si="99"/>
        <v>0</v>
      </c>
      <c r="K222" s="13">
        <f ca="1" t="shared" si="99"/>
        <v>0</v>
      </c>
      <c r="L222" s="13">
        <f ca="1" t="shared" si="99"/>
        <v>0</v>
      </c>
      <c r="M222" s="13">
        <f ca="1" t="shared" si="99"/>
        <v>0</v>
      </c>
      <c r="N222" s="13">
        <f ca="1" t="shared" si="99"/>
        <v>0</v>
      </c>
    </row>
    <row r="223" customHeight="1" spans="1:14">
      <c r="A223" s="13" t="s">
        <v>389</v>
      </c>
      <c r="H223" s="76">
        <f ca="1">IF(H214&gt;0,IF(221&gt;0,MIN(H221,H214),0),0)</f>
        <v>2780.56875843208</v>
      </c>
      <c r="I223" s="76">
        <f ca="1" t="shared" ref="I223:N223" si="100">IF(I214&gt;0,IF(221&gt;0,MIN(I221,I214),0),0)</f>
        <v>3469.43124156781</v>
      </c>
      <c r="J223" s="76">
        <f ca="1" t="shared" si="100"/>
        <v>0</v>
      </c>
      <c r="K223" s="76">
        <f ca="1" t="shared" si="100"/>
        <v>0</v>
      </c>
      <c r="L223" s="76">
        <f ca="1" t="shared" si="100"/>
        <v>0</v>
      </c>
      <c r="M223" s="76">
        <f ca="1" t="shared" si="100"/>
        <v>0</v>
      </c>
      <c r="N223" s="76">
        <f ca="1" t="shared" si="100"/>
        <v>0</v>
      </c>
    </row>
    <row r="224" customHeight="1" spans="1:20">
      <c r="A224" s="20" t="s">
        <v>390</v>
      </c>
      <c r="B224" s="20"/>
      <c r="C224" s="20"/>
      <c r="D224" s="20"/>
      <c r="E224" s="20"/>
      <c r="F224" s="20"/>
      <c r="G224" s="69">
        <f>C64</f>
        <v>6250</v>
      </c>
      <c r="H224" s="70">
        <f ca="1" t="shared" ref="H224:N224" si="101">H221+H222-H223</f>
        <v>3469.43124156792</v>
      </c>
      <c r="I224" s="69">
        <f ca="1" t="shared" si="101"/>
        <v>0</v>
      </c>
      <c r="J224" s="69">
        <f ca="1" t="shared" si="101"/>
        <v>0</v>
      </c>
      <c r="K224" s="69">
        <f ca="1" t="shared" si="101"/>
        <v>0</v>
      </c>
      <c r="L224" s="69">
        <f ca="1" t="shared" si="101"/>
        <v>0</v>
      </c>
      <c r="M224" s="69">
        <f ca="1" t="shared" si="101"/>
        <v>0</v>
      </c>
      <c r="N224" s="69">
        <f ca="1" t="shared" si="101"/>
        <v>0</v>
      </c>
      <c r="O224" s="20"/>
      <c r="P224" s="20"/>
      <c r="Q224" s="20"/>
      <c r="R224" s="20"/>
      <c r="S224" s="20"/>
      <c r="T224" s="20"/>
    </row>
    <row r="226" customHeight="1" spans="1:14">
      <c r="A226" s="13" t="s">
        <v>391</v>
      </c>
      <c r="H226" s="76">
        <f ca="1" t="array" ref="H226">AVERAGE(G224:H224*$F$53)</f>
        <v>145.791468623519</v>
      </c>
      <c r="I226" s="76">
        <f ca="1" t="array" ref="I226">AVERAGE(H224:I224*$F$53)</f>
        <v>52.0414686235188</v>
      </c>
      <c r="J226" s="76">
        <f ca="1" t="array" ref="J226">AVERAGE(I224:J224*$F$53)</f>
        <v>0</v>
      </c>
      <c r="K226" s="76">
        <f ca="1" t="array" ref="K226">AVERAGE(J224:K224*$F$53)</f>
        <v>0</v>
      </c>
      <c r="L226" s="76">
        <f ca="1" t="array" ref="L226">AVERAGE(K224:L224*$F$53)</f>
        <v>0</v>
      </c>
      <c r="M226" s="76">
        <f ca="1" t="array" ref="M226">AVERAGE(L224:M224*$F$53)</f>
        <v>0</v>
      </c>
      <c r="N226" s="76">
        <f ca="1" t="array" ref="N226">AVERAGE(M224:N224*$F$53)</f>
        <v>0</v>
      </c>
    </row>
    <row r="228" customHeight="1" spans="1:20">
      <c r="A228" s="120" t="str">
        <f>A65</f>
        <v>Term Loan 1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</row>
    <row r="229" customHeight="1" spans="1:14">
      <c r="A229" s="13" t="s">
        <v>392</v>
      </c>
      <c r="H229" s="71">
        <f>G232</f>
        <v>50000</v>
      </c>
      <c r="I229" s="71">
        <f ca="1" t="shared" ref="I229:N229" si="102">H232</f>
        <v>45000</v>
      </c>
      <c r="J229" s="71">
        <f ca="1" t="shared" si="102"/>
        <v>39833.8195181662</v>
      </c>
      <c r="K229" s="71">
        <f ca="1" t="shared" si="102"/>
        <v>32814.3743542999</v>
      </c>
      <c r="L229" s="71">
        <f ca="1" t="shared" si="102"/>
        <v>25939.7116241564</v>
      </c>
      <c r="M229" s="71">
        <f ca="1" t="shared" si="102"/>
        <v>0</v>
      </c>
      <c r="N229" s="71">
        <f ca="1" t="shared" si="102"/>
        <v>0</v>
      </c>
    </row>
    <row r="230" customHeight="1" spans="1:14">
      <c r="A230" s="13" t="s">
        <v>393</v>
      </c>
      <c r="H230" s="121">
        <f>MIN($G$232*H54,H229)</f>
        <v>5000</v>
      </c>
      <c r="I230" s="71">
        <f ca="1" t="shared" ref="I230:N230" si="103">MIN($G$232*I54,I229)</f>
        <v>5000</v>
      </c>
      <c r="J230" s="71">
        <f ca="1" t="shared" si="103"/>
        <v>5000</v>
      </c>
      <c r="K230" s="71">
        <f ca="1" t="shared" si="103"/>
        <v>5000</v>
      </c>
      <c r="L230" s="71">
        <f ca="1" t="shared" si="103"/>
        <v>25939.7116241564</v>
      </c>
      <c r="M230" s="71">
        <f ca="1" t="shared" si="103"/>
        <v>0</v>
      </c>
      <c r="N230" s="71">
        <f ca="1" t="shared" si="103"/>
        <v>0</v>
      </c>
    </row>
    <row r="231" customHeight="1" spans="1:14">
      <c r="A231" s="13" t="s">
        <v>394</v>
      </c>
      <c r="C231" s="122">
        <f>G54</f>
        <v>0.5</v>
      </c>
      <c r="H231" s="121">
        <f ca="1" t="shared" ref="H231:N231" si="104">IF(H216&gt;0,IF(H229-H230&gt;0,MIN(H216*$C$231,H229-H230),0),0)</f>
        <v>0</v>
      </c>
      <c r="I231" s="71">
        <f ca="1" t="shared" si="104"/>
        <v>166.180481832278</v>
      </c>
      <c r="J231" s="71">
        <f ca="1" t="shared" si="104"/>
        <v>2019.4451638585</v>
      </c>
      <c r="K231" s="71">
        <f ca="1" t="shared" si="104"/>
        <v>1874.66273010433</v>
      </c>
      <c r="L231" s="71">
        <f ca="1" t="shared" si="104"/>
        <v>0</v>
      </c>
      <c r="M231" s="71">
        <f ca="1" t="shared" si="104"/>
        <v>0</v>
      </c>
      <c r="N231" s="71">
        <f ca="1" t="shared" si="104"/>
        <v>0</v>
      </c>
    </row>
    <row r="232" s="3" customFormat="1" customHeight="1" spans="1:20">
      <c r="A232" s="5" t="s">
        <v>395</v>
      </c>
      <c r="B232" s="5"/>
      <c r="C232" s="5"/>
      <c r="D232" s="5"/>
      <c r="E232" s="5"/>
      <c r="F232" s="5"/>
      <c r="G232" s="115">
        <f>C65</f>
        <v>50000</v>
      </c>
      <c r="H232" s="115">
        <f ca="1">H229-H230-H231</f>
        <v>45000</v>
      </c>
      <c r="I232" s="115">
        <f ca="1" t="shared" ref="I232:N232" si="105">I229-I230-I231</f>
        <v>39833.8195181677</v>
      </c>
      <c r="J232" s="115">
        <f ca="1" t="shared" si="105"/>
        <v>32814.3743543077</v>
      </c>
      <c r="K232" s="115">
        <f ca="1" t="shared" si="105"/>
        <v>25939.7116241956</v>
      </c>
      <c r="L232" s="115">
        <f ca="1" t="shared" si="105"/>
        <v>0</v>
      </c>
      <c r="M232" s="115">
        <f ca="1" t="shared" si="105"/>
        <v>0</v>
      </c>
      <c r="N232" s="115">
        <f ca="1" t="shared" si="105"/>
        <v>0</v>
      </c>
      <c r="O232" s="5"/>
      <c r="P232" s="5"/>
      <c r="Q232" s="5"/>
      <c r="R232" s="5"/>
      <c r="S232" s="5"/>
      <c r="T232" s="5"/>
    </row>
    <row r="234" customHeight="1" spans="1:14">
      <c r="A234" s="13" t="s">
        <v>396</v>
      </c>
      <c r="G234" s="76">
        <f ca="1">AVERAGE(G232:H232)*$F$54</f>
        <v>2375</v>
      </c>
      <c r="H234" s="76">
        <f ca="1" t="shared" ref="H234:N234" si="106">AVERAGE(H232:I232)*$F$54</f>
        <v>2120.84548795419</v>
      </c>
      <c r="I234" s="76">
        <f ca="1" t="shared" si="106"/>
        <v>1816.20484681189</v>
      </c>
      <c r="J234" s="76">
        <f ca="1" t="shared" si="106"/>
        <v>1468.85214946258</v>
      </c>
      <c r="K234" s="76">
        <f ca="1" t="shared" si="106"/>
        <v>648.49279060489</v>
      </c>
      <c r="L234" s="76">
        <f ca="1" t="shared" si="106"/>
        <v>0</v>
      </c>
      <c r="M234" s="76">
        <f ca="1" t="shared" si="106"/>
        <v>0</v>
      </c>
      <c r="N234" s="76">
        <f ca="1" t="shared" si="106"/>
        <v>0</v>
      </c>
    </row>
    <row r="235" customHeight="1" spans="8:8">
      <c r="H235" s="1"/>
    </row>
    <row r="236" customHeight="1" spans="1:20">
      <c r="A236" s="120" t="str">
        <f>A66</f>
        <v>Term Loan 2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</row>
    <row r="237" customHeight="1" spans="1:14">
      <c r="A237" s="13" t="s">
        <v>392</v>
      </c>
      <c r="H237" s="71">
        <f>G240</f>
        <v>50000</v>
      </c>
      <c r="I237" s="71">
        <f ca="1" t="shared" ref="I237:N237" si="107">H240</f>
        <v>45000</v>
      </c>
      <c r="J237" s="71">
        <f ca="1" t="shared" si="107"/>
        <v>39833.8195181662</v>
      </c>
      <c r="K237" s="71">
        <f ca="1" t="shared" si="107"/>
        <v>32814.3743542999</v>
      </c>
      <c r="L237" s="71">
        <f ca="1" t="shared" si="107"/>
        <v>25939.7116241564</v>
      </c>
      <c r="M237" s="71">
        <f ca="1" t="shared" si="107"/>
        <v>0</v>
      </c>
      <c r="N237" s="71">
        <f ca="1" t="shared" si="107"/>
        <v>0</v>
      </c>
    </row>
    <row r="238" customHeight="1" spans="1:14">
      <c r="A238" s="13" t="s">
        <v>393</v>
      </c>
      <c r="H238" s="13">
        <f>MIN($G$240*H55,H237)</f>
        <v>5000</v>
      </c>
      <c r="I238" s="13">
        <f ca="1" t="shared" ref="I238:N238" si="108">MIN($G$240*I55,I237)</f>
        <v>5000</v>
      </c>
      <c r="J238" s="13">
        <f ca="1" t="shared" si="108"/>
        <v>5000</v>
      </c>
      <c r="K238" s="13">
        <f ca="1" t="shared" si="108"/>
        <v>5000</v>
      </c>
      <c r="L238" s="13">
        <f ca="1" t="shared" si="108"/>
        <v>5000</v>
      </c>
      <c r="M238" s="76">
        <f ca="1" t="shared" si="108"/>
        <v>0</v>
      </c>
      <c r="N238" s="13">
        <f ca="1" t="shared" si="108"/>
        <v>0</v>
      </c>
    </row>
    <row r="239" customHeight="1" spans="1:14">
      <c r="A239" s="13" t="s">
        <v>394</v>
      </c>
      <c r="C239" s="122">
        <f>G55</f>
        <v>0.5</v>
      </c>
      <c r="H239" s="76">
        <f ca="1">IF(H216&gt;0,IF(H237-H238&gt;0,MIN(H216*$C$239,H237-H238),0),0)</f>
        <v>0</v>
      </c>
      <c r="I239" s="76">
        <f ca="1" t="shared" ref="I239:N239" si="109">IF(I216&gt;0,IF(I237-I238&gt;0,MIN(I216*$C$239,I237-I238),0),0)</f>
        <v>166.180481832278</v>
      </c>
      <c r="J239" s="76">
        <f ca="1" t="shared" si="109"/>
        <v>2019.4451638585</v>
      </c>
      <c r="K239" s="76">
        <f ca="1" t="shared" si="109"/>
        <v>1874.66273010433</v>
      </c>
      <c r="L239" s="76">
        <f ca="1" t="shared" si="109"/>
        <v>20939.7116241564</v>
      </c>
      <c r="M239" s="76">
        <f ca="1" t="shared" si="109"/>
        <v>0</v>
      </c>
      <c r="N239" s="76">
        <f ca="1" t="shared" si="109"/>
        <v>0</v>
      </c>
    </row>
    <row r="240" s="3" customFormat="1" customHeight="1" spans="1:20">
      <c r="A240" s="5" t="s">
        <v>395</v>
      </c>
      <c r="B240" s="5"/>
      <c r="C240" s="5"/>
      <c r="D240" s="5"/>
      <c r="E240" s="5"/>
      <c r="F240" s="5"/>
      <c r="G240" s="115">
        <f>C66</f>
        <v>50000</v>
      </c>
      <c r="H240" s="115">
        <f ca="1">H237-H238-H239</f>
        <v>45000</v>
      </c>
      <c r="I240" s="115">
        <f ca="1" t="shared" ref="I240:N240" si="110">I237-I238-I239</f>
        <v>39833.8195181677</v>
      </c>
      <c r="J240" s="115">
        <f ca="1" t="shared" si="110"/>
        <v>32814.3743543077</v>
      </c>
      <c r="K240" s="115">
        <f ca="1" t="shared" si="110"/>
        <v>25939.7116241956</v>
      </c>
      <c r="L240" s="115">
        <f ca="1" t="shared" si="110"/>
        <v>0</v>
      </c>
      <c r="M240" s="115">
        <f ca="1" t="shared" si="110"/>
        <v>0</v>
      </c>
      <c r="N240" s="115">
        <f ca="1" t="shared" si="110"/>
        <v>0</v>
      </c>
      <c r="O240" s="5"/>
      <c r="P240" s="5"/>
      <c r="Q240" s="5"/>
      <c r="R240" s="5"/>
      <c r="S240" s="5"/>
      <c r="T240" s="5"/>
    </row>
    <row r="242" customHeight="1" spans="1:14">
      <c r="A242" s="13" t="s">
        <v>396</v>
      </c>
      <c r="G242" s="76">
        <f ca="1" t="array" ref="G242">AVERAGE(G240:H240)*$F$55</f>
        <v>3325</v>
      </c>
      <c r="H242" s="76">
        <f ca="1" t="array" ref="H242">AVERAGE(H240:I240)*$F$55</f>
        <v>2969.18368313587</v>
      </c>
      <c r="I242" s="76">
        <f ca="1" t="array" ref="I242">AVERAGE(I240:J240)*$F$55</f>
        <v>2542.68678553664</v>
      </c>
      <c r="J242" s="76">
        <f ca="1" t="array" ref="J242">AVERAGE(J240:K240)*$F$55</f>
        <v>2056.39300924762</v>
      </c>
      <c r="K242" s="76">
        <f ca="1" t="array" ref="K242">AVERAGE(K240:L240)*$F$55</f>
        <v>907.889906846845</v>
      </c>
      <c r="L242" s="76">
        <f ca="1" t="array" ref="L242">AVERAGE(L240:M240)*$F$55</f>
        <v>0</v>
      </c>
      <c r="M242" s="76">
        <f ca="1" t="array" ref="M242">AVERAGE(M240:N240)*$F$55</f>
        <v>0</v>
      </c>
      <c r="N242" s="76">
        <f ca="1" t="array" ref="N242">AVERAGE(N240:O240)*$F$55</f>
        <v>0</v>
      </c>
    </row>
    <row r="244" customHeight="1" spans="1:20">
      <c r="A244" s="120" t="str">
        <f>A67</f>
        <v>Sub Debt 1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 customHeight="1" spans="1:14">
      <c r="A245" s="13" t="s">
        <v>392</v>
      </c>
      <c r="H245" s="24">
        <f>G248</f>
        <v>11250</v>
      </c>
      <c r="I245" s="24">
        <f ca="1" t="shared" ref="I245:N245" si="111">H248</f>
        <v>11250</v>
      </c>
      <c r="J245" s="24">
        <f ca="1" t="shared" si="111"/>
        <v>11250</v>
      </c>
      <c r="K245" s="24">
        <f ca="1" t="shared" si="111"/>
        <v>11250</v>
      </c>
      <c r="L245" s="24">
        <f ca="1" t="shared" si="111"/>
        <v>11250</v>
      </c>
      <c r="M245" s="24">
        <f ca="1" t="shared" si="111"/>
        <v>11250</v>
      </c>
      <c r="N245" s="24">
        <f ca="1" t="shared" si="111"/>
        <v>11250</v>
      </c>
    </row>
    <row r="246" customHeight="1" spans="1:14">
      <c r="A246" s="13" t="s">
        <v>393</v>
      </c>
      <c r="H246" s="13">
        <f>MIN($G$248*H56,H245)</f>
        <v>0</v>
      </c>
      <c r="I246" s="13">
        <f ca="1" t="shared" ref="I246:N246" si="112">MIN($G$248*I56,I245)</f>
        <v>0</v>
      </c>
      <c r="J246" s="13">
        <f ca="1" t="shared" si="112"/>
        <v>0</v>
      </c>
      <c r="K246" s="13">
        <f ca="1" t="shared" si="112"/>
        <v>0</v>
      </c>
      <c r="L246" s="13">
        <f ca="1" t="shared" si="112"/>
        <v>0</v>
      </c>
      <c r="M246" s="13">
        <f ca="1" t="shared" si="112"/>
        <v>0</v>
      </c>
      <c r="N246" s="13">
        <f ca="1" t="shared" si="112"/>
        <v>11250</v>
      </c>
    </row>
    <row r="247" customHeight="1" spans="1:14">
      <c r="A247" s="13" t="s">
        <v>394</v>
      </c>
      <c r="C247" s="122">
        <f>G56</f>
        <v>0</v>
      </c>
      <c r="H247" s="13">
        <f ca="1">IF(H216&gt;0,IF(H245-H246&gt;0,MIN(H216*$C$247,H245-H246),0),0)</f>
        <v>0</v>
      </c>
      <c r="I247" s="13">
        <f ca="1" t="shared" ref="I247:N247" si="113">IF(I216&gt;0,IF(I245-I246&gt;0,MIN(I216*$C$247,I245-I246),0),0)</f>
        <v>0</v>
      </c>
      <c r="J247" s="13">
        <f ca="1" t="shared" si="113"/>
        <v>0</v>
      </c>
      <c r="K247" s="13">
        <f ca="1" t="shared" si="113"/>
        <v>0</v>
      </c>
      <c r="L247" s="13">
        <f ca="1" t="shared" si="113"/>
        <v>0</v>
      </c>
      <c r="M247" s="13">
        <f ca="1" t="shared" si="113"/>
        <v>0</v>
      </c>
      <c r="N247" s="13">
        <f ca="1" t="shared" si="113"/>
        <v>0</v>
      </c>
    </row>
    <row r="248" s="3" customFormat="1" customHeight="1" spans="1:20">
      <c r="A248" s="5" t="s">
        <v>395</v>
      </c>
      <c r="B248" s="5"/>
      <c r="C248" s="5"/>
      <c r="D248" s="5"/>
      <c r="E248" s="5"/>
      <c r="F248" s="5"/>
      <c r="G248" s="74">
        <f>C67</f>
        <v>11250</v>
      </c>
      <c r="H248" s="74">
        <f ca="1">SUM(H245-H246-H247)</f>
        <v>11250</v>
      </c>
      <c r="I248" s="74">
        <f ca="1" t="shared" ref="I248:N248" si="114">SUM(I245-I246-I247)</f>
        <v>11250</v>
      </c>
      <c r="J248" s="74">
        <f ca="1" t="shared" si="114"/>
        <v>11250</v>
      </c>
      <c r="K248" s="74">
        <f ca="1" t="shared" si="114"/>
        <v>11250</v>
      </c>
      <c r="L248" s="74">
        <f ca="1" t="shared" si="114"/>
        <v>11250</v>
      </c>
      <c r="M248" s="74">
        <f ca="1" t="shared" si="114"/>
        <v>11250</v>
      </c>
      <c r="N248" s="74">
        <f ca="1" t="shared" si="114"/>
        <v>0</v>
      </c>
      <c r="O248" s="5"/>
      <c r="P248" s="5"/>
      <c r="Q248" s="5"/>
      <c r="R248" s="5"/>
      <c r="S248" s="5"/>
      <c r="T248" s="5"/>
    </row>
    <row r="250" customHeight="1" spans="1:14">
      <c r="A250" s="13" t="s">
        <v>396</v>
      </c>
      <c r="G250" s="13">
        <f ca="1" t="shared" ref="G250:N250" si="115">AVERAGE(G248:H248)*$F$56</f>
        <v>1350</v>
      </c>
      <c r="H250" s="13">
        <f ca="1" t="shared" si="115"/>
        <v>1350</v>
      </c>
      <c r="I250" s="13">
        <f ca="1" t="shared" si="115"/>
        <v>1350</v>
      </c>
      <c r="J250" s="13">
        <f ca="1" t="shared" si="115"/>
        <v>1350</v>
      </c>
      <c r="K250" s="13">
        <f ca="1" t="shared" si="115"/>
        <v>1350</v>
      </c>
      <c r="L250" s="13">
        <f ca="1" t="shared" si="115"/>
        <v>1350</v>
      </c>
      <c r="M250" s="13">
        <f ca="1" t="shared" si="115"/>
        <v>675</v>
      </c>
      <c r="N250" s="13">
        <f ca="1" t="shared" si="115"/>
        <v>0</v>
      </c>
    </row>
    <row r="252" customHeight="1" spans="1:20">
      <c r="A252" s="79" t="s">
        <v>397</v>
      </c>
      <c r="B252" s="18"/>
      <c r="C252" s="18" t="str">
        <f ca="1">IF(ABS(SUM(H254:N255)-G256)&gt;0.01,"Error","Ok")</f>
        <v>Ok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</row>
    <row r="253" customHeight="1" spans="1:14">
      <c r="A253" s="13" t="s">
        <v>392</v>
      </c>
      <c r="H253" s="71">
        <f t="shared" ref="H253:N253" si="116">G256</f>
        <v>111250</v>
      </c>
      <c r="I253" s="71">
        <f ca="1" t="shared" si="116"/>
        <v>101250</v>
      </c>
      <c r="J253" s="71">
        <f ca="1" t="shared" si="116"/>
        <v>90917.6390363325</v>
      </c>
      <c r="K253" s="71">
        <f ca="1" t="shared" si="116"/>
        <v>76878.7487085998</v>
      </c>
      <c r="L253" s="71">
        <f ca="1" t="shared" si="116"/>
        <v>63129.4232483127</v>
      </c>
      <c r="M253" s="71">
        <f ca="1" t="shared" si="116"/>
        <v>11250</v>
      </c>
      <c r="N253" s="71">
        <f ca="1" t="shared" si="116"/>
        <v>11250</v>
      </c>
    </row>
    <row r="254" customHeight="1" spans="1:14">
      <c r="A254" s="13" t="s">
        <v>393</v>
      </c>
      <c r="H254" s="71">
        <f t="shared" ref="H254:N254" si="117">H246+H238+H230</f>
        <v>10000</v>
      </c>
      <c r="I254" s="71">
        <f ca="1" t="shared" si="117"/>
        <v>10000</v>
      </c>
      <c r="J254" s="71">
        <f ca="1" t="shared" si="117"/>
        <v>10000</v>
      </c>
      <c r="K254" s="71">
        <f ca="1" t="shared" si="117"/>
        <v>10000</v>
      </c>
      <c r="L254" s="71">
        <f ca="1" t="shared" si="117"/>
        <v>30939.7116241564</v>
      </c>
      <c r="M254" s="71">
        <f ca="1" t="shared" si="117"/>
        <v>0</v>
      </c>
      <c r="N254" s="71">
        <f ca="1" t="shared" si="117"/>
        <v>11250</v>
      </c>
    </row>
    <row r="255" customHeight="1" spans="1:14">
      <c r="A255" s="13" t="s">
        <v>394</v>
      </c>
      <c r="H255" s="76">
        <f ca="1" t="shared" ref="H255:N255" si="118">H247+H239+H231</f>
        <v>0</v>
      </c>
      <c r="I255" s="76">
        <f ca="1" t="shared" si="118"/>
        <v>332.360963664556</v>
      </c>
      <c r="J255" s="76">
        <f ca="1" t="shared" si="118"/>
        <v>4038.890327717</v>
      </c>
      <c r="K255" s="76">
        <f ca="1" t="shared" si="118"/>
        <v>3749.32546020866</v>
      </c>
      <c r="L255" s="76">
        <f ca="1" t="shared" si="118"/>
        <v>20939.7116241564</v>
      </c>
      <c r="M255" s="76">
        <f ca="1" t="shared" si="118"/>
        <v>0</v>
      </c>
      <c r="N255" s="76">
        <f ca="1" t="shared" si="118"/>
        <v>0</v>
      </c>
    </row>
    <row r="256" customHeight="1" spans="1:20">
      <c r="A256" s="20" t="s">
        <v>395</v>
      </c>
      <c r="B256" s="20"/>
      <c r="C256" s="20"/>
      <c r="D256" s="20"/>
      <c r="E256" s="20"/>
      <c r="F256" s="20"/>
      <c r="G256" s="70">
        <f>G248+G240+G232</f>
        <v>111250</v>
      </c>
      <c r="H256" s="70">
        <f ca="1" t="shared" ref="H256:N256" si="119">H253-H254-H255</f>
        <v>101250</v>
      </c>
      <c r="I256" s="70">
        <f ca="1" t="shared" si="119"/>
        <v>90917.6390363354</v>
      </c>
      <c r="J256" s="70">
        <f ca="1" t="shared" si="119"/>
        <v>76878.7487086155</v>
      </c>
      <c r="K256" s="70">
        <f ca="1" t="shared" si="119"/>
        <v>63129.4232483912</v>
      </c>
      <c r="L256" s="70">
        <f ca="1" t="shared" si="119"/>
        <v>11250</v>
      </c>
      <c r="M256" s="70">
        <f ca="1" t="shared" si="119"/>
        <v>11250</v>
      </c>
      <c r="N256" s="70">
        <f ca="1" t="shared" si="119"/>
        <v>0</v>
      </c>
      <c r="O256" s="20"/>
      <c r="P256" s="20"/>
      <c r="Q256" s="20"/>
      <c r="R256" s="20"/>
      <c r="S256" s="20"/>
      <c r="T256" s="20"/>
    </row>
    <row r="258" customHeight="1" spans="1:14">
      <c r="A258" s="13" t="s">
        <v>396</v>
      </c>
      <c r="H258" s="76" cm="1">
        <f ca="1" t="array" ref="H258:N258">H124:N124</f>
        <v>2120.84548795416</v>
      </c>
      <c r="I258" s="76">
        <v>1816.20484681165</v>
      </c>
      <c r="J258" s="76">
        <v>1468.85214946141</v>
      </c>
      <c r="K258" s="76">
        <v>648.492790603909</v>
      </c>
      <c r="L258" s="76">
        <v>0</v>
      </c>
      <c r="M258" s="76">
        <v>0</v>
      </c>
      <c r="N258" s="76">
        <v>0</v>
      </c>
    </row>
    <row r="259" customHeight="1" spans="8:15">
      <c r="H259" s="76"/>
      <c r="I259" s="76"/>
      <c r="J259" s="76"/>
      <c r="K259" s="76"/>
      <c r="L259" s="76"/>
      <c r="M259" s="76"/>
      <c r="N259" s="76"/>
      <c r="O259" s="76"/>
    </row>
    <row r="261" customHeight="1" spans="1:14">
      <c r="A261" s="123" t="s">
        <v>398</v>
      </c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84"/>
      <c r="N261" s="84"/>
    </row>
    <row r="263" customHeight="1" spans="1:14">
      <c r="A263" s="123" t="s">
        <v>399</v>
      </c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84"/>
      <c r="N263" s="84"/>
    </row>
    <row r="264" ht="20" customHeight="1" spans="1:12">
      <c r="A264" s="107" t="s">
        <v>400</v>
      </c>
      <c r="D264" s="2" t="s">
        <v>401</v>
      </c>
      <c r="E264" s="2" t="s">
        <v>402</v>
      </c>
      <c r="F264" s="2" t="s">
        <v>317</v>
      </c>
      <c r="G264" s="2" t="s">
        <v>403</v>
      </c>
      <c r="H264" s="2" t="s">
        <v>281</v>
      </c>
      <c r="I264" s="2" t="s">
        <v>281</v>
      </c>
      <c r="J264" s="2" t="s">
        <v>281</v>
      </c>
      <c r="K264" s="2" t="s">
        <v>404</v>
      </c>
      <c r="L264" s="2" t="s">
        <v>405</v>
      </c>
    </row>
    <row r="265" ht="16" customHeight="1" spans="4:12">
      <c r="D265" s="124"/>
      <c r="E265" s="124"/>
      <c r="F265" s="124"/>
      <c r="G265" s="124" t="s">
        <v>406</v>
      </c>
      <c r="H265" s="124" t="s">
        <v>407</v>
      </c>
      <c r="I265" s="124" t="s">
        <v>408</v>
      </c>
      <c r="J265" s="124" t="s">
        <v>409</v>
      </c>
      <c r="K265" s="124"/>
      <c r="L265" s="124"/>
    </row>
    <row r="266" ht="16" customHeight="1" spans="4:12">
      <c r="D266" s="2"/>
      <c r="E266" s="2"/>
      <c r="F266" s="2"/>
      <c r="G266" s="2"/>
      <c r="H266" s="2"/>
      <c r="I266" s="2"/>
      <c r="J266" s="2"/>
      <c r="K266" s="2"/>
      <c r="L266" s="2"/>
    </row>
    <row r="267" customHeight="1" spans="1:1">
      <c r="A267" s="13" t="s">
        <v>19</v>
      </c>
    </row>
    <row r="268" customHeight="1" spans="1:12">
      <c r="A268" s="13" t="s">
        <v>21</v>
      </c>
      <c r="D268" s="81">
        <v>57269</v>
      </c>
      <c r="E268" s="71" cm="1">
        <f t="array" ref="E268:E270">F74:F76</f>
        <v>0</v>
      </c>
      <c r="F268" s="75">
        <f>SUM(D268:E268)</f>
        <v>57269</v>
      </c>
      <c r="G268" s="125">
        <f>-H63</f>
        <v>-190468</v>
      </c>
      <c r="H268" s="24">
        <f ca="1">SUM(C64:C68)</f>
        <v>166005.025125628</v>
      </c>
      <c r="I268" s="142">
        <f ca="1">-SUM(H66:H68)</f>
        <v>-6005.02512562814</v>
      </c>
      <c r="J268" s="142">
        <f>J280</f>
        <v>-16801</v>
      </c>
      <c r="K268" s="142">
        <f ca="1" t="shared" ref="K268:K284" si="120">SUM(G268:J268)</f>
        <v>-47269</v>
      </c>
      <c r="L268" s="75">
        <f ca="1">SUM(D268+K268)</f>
        <v>9999.99999999999</v>
      </c>
    </row>
    <row r="269" customHeight="1" spans="1:12">
      <c r="A269" s="13" t="s">
        <v>89</v>
      </c>
      <c r="D269" s="81">
        <v>3986</v>
      </c>
      <c r="E269" s="125">
        <v>-486</v>
      </c>
      <c r="F269" s="75">
        <f>D269+E269</f>
        <v>3500</v>
      </c>
      <c r="K269" s="102">
        <f t="shared" si="120"/>
        <v>0</v>
      </c>
      <c r="L269" s="75">
        <f>SUM(F269:K269)</f>
        <v>3500</v>
      </c>
    </row>
    <row r="270" customHeight="1" spans="1:12">
      <c r="A270" s="13" t="s">
        <v>25</v>
      </c>
      <c r="D270" s="81">
        <v>5898</v>
      </c>
      <c r="E270" s="125">
        <v>-1098</v>
      </c>
      <c r="F270" s="75">
        <f>D270+E270</f>
        <v>4800</v>
      </c>
      <c r="K270" s="102">
        <f t="shared" si="120"/>
        <v>0</v>
      </c>
      <c r="L270" s="75">
        <f>SUM(F270:K270)</f>
        <v>4800</v>
      </c>
    </row>
    <row r="271" customHeight="1" spans="1:12">
      <c r="A271" s="5" t="s">
        <v>351</v>
      </c>
      <c r="B271" s="20"/>
      <c r="C271" s="20"/>
      <c r="D271" s="82">
        <f>SUM(D268:D270)</f>
        <v>67153</v>
      </c>
      <c r="E271" s="20"/>
      <c r="F271" s="20"/>
      <c r="G271" s="20"/>
      <c r="H271" s="20"/>
      <c r="I271" s="20"/>
      <c r="J271" s="20"/>
      <c r="K271" s="143">
        <f t="shared" si="120"/>
        <v>0</v>
      </c>
      <c r="L271" s="75">
        <f ca="1">SUM(L268:L270)</f>
        <v>18300</v>
      </c>
    </row>
    <row r="272" customHeight="1" spans="1:12">
      <c r="A272" s="13" t="s">
        <v>352</v>
      </c>
      <c r="D272" s="81">
        <v>21618</v>
      </c>
      <c r="E272" s="71">
        <f>F77</f>
        <v>10382</v>
      </c>
      <c r="F272" s="75">
        <f>SUM(D272+E272)</f>
        <v>32000</v>
      </c>
      <c r="K272" s="102"/>
      <c r="L272" s="75">
        <f>SUM(F272:K272)</f>
        <v>32000</v>
      </c>
    </row>
    <row r="273" customHeight="1" spans="1:12">
      <c r="A273" s="13" t="s">
        <v>29</v>
      </c>
      <c r="D273" s="81">
        <v>0</v>
      </c>
      <c r="G273" s="66">
        <f>M80</f>
        <v>112649</v>
      </c>
      <c r="K273" s="102">
        <f t="shared" si="120"/>
        <v>112649</v>
      </c>
      <c r="L273" s="75">
        <f>SUM(D273+K273)</f>
        <v>112649</v>
      </c>
    </row>
    <row r="274" customHeight="1" spans="1:12">
      <c r="A274" s="126" t="s">
        <v>353</v>
      </c>
      <c r="B274" s="127"/>
      <c r="C274" s="127"/>
      <c r="D274" s="128">
        <f>SUM(D271:D273)</f>
        <v>88771</v>
      </c>
      <c r="E274" s="127"/>
      <c r="F274" s="127"/>
      <c r="G274" s="127"/>
      <c r="H274" s="127"/>
      <c r="I274" s="127"/>
      <c r="J274" s="127"/>
      <c r="K274" s="144"/>
      <c r="L274" s="145">
        <f ca="1">SUM(L271:L273)</f>
        <v>162949</v>
      </c>
    </row>
    <row r="275" customHeight="1" spans="4:12">
      <c r="D275" s="81"/>
      <c r="K275" s="102"/>
      <c r="L275" s="75"/>
    </row>
    <row r="276" customHeight="1" spans="1:12">
      <c r="A276" s="3" t="s">
        <v>33</v>
      </c>
      <c r="D276" s="81"/>
      <c r="K276" s="102"/>
      <c r="L276" s="75"/>
    </row>
    <row r="277" customHeight="1" spans="1:12">
      <c r="A277" s="13" t="s">
        <v>331</v>
      </c>
      <c r="D277" s="81">
        <v>0</v>
      </c>
      <c r="F277" s="75">
        <f>D277</f>
        <v>0</v>
      </c>
      <c r="H277" s="24">
        <f>C64</f>
        <v>6250</v>
      </c>
      <c r="K277" s="102">
        <f t="shared" si="120"/>
        <v>6250</v>
      </c>
      <c r="L277" s="75">
        <f>SUM(D277+K277)</f>
        <v>6250</v>
      </c>
    </row>
    <row r="278" customHeight="1" spans="1:12">
      <c r="A278" s="13" t="s">
        <v>90</v>
      </c>
      <c r="D278" s="81">
        <v>2949</v>
      </c>
      <c r="F278" s="75">
        <f>D278</f>
        <v>2949</v>
      </c>
      <c r="K278" s="102">
        <v>0</v>
      </c>
      <c r="L278" s="75">
        <f>SUM(D278+K278)</f>
        <v>2949</v>
      </c>
    </row>
    <row r="279" customHeight="1" spans="1:12">
      <c r="A279" s="5" t="s">
        <v>34</v>
      </c>
      <c r="B279" s="20"/>
      <c r="C279" s="20"/>
      <c r="D279" s="82">
        <f>SUM(D277:D278)</f>
        <v>2949</v>
      </c>
      <c r="E279" s="20"/>
      <c r="F279" s="20"/>
      <c r="G279" s="20"/>
      <c r="H279" s="20"/>
      <c r="I279" s="20"/>
      <c r="J279" s="20"/>
      <c r="K279" s="143"/>
      <c r="L279" s="146">
        <f>SUM(L277:L278)</f>
        <v>9199</v>
      </c>
    </row>
    <row r="280" customHeight="1" spans="1:12">
      <c r="A280" s="13" t="s">
        <v>332</v>
      </c>
      <c r="D280" s="81">
        <v>16801</v>
      </c>
      <c r="F280" s="75">
        <f>D280</f>
        <v>16801</v>
      </c>
      <c r="H280" s="24">
        <f>C65+C66+C67</f>
        <v>111250</v>
      </c>
      <c r="J280" s="75">
        <f>-H65</f>
        <v>-16801</v>
      </c>
      <c r="K280" s="147">
        <f t="shared" si="120"/>
        <v>94449</v>
      </c>
      <c r="L280" s="75">
        <f>SUM(D280+K280)</f>
        <v>111250</v>
      </c>
    </row>
    <row r="281" customHeight="1" spans="1:12">
      <c r="A281" s="5" t="s">
        <v>40</v>
      </c>
      <c r="B281" s="20"/>
      <c r="C281" s="20"/>
      <c r="D281" s="82">
        <f>SUM(D279:D280)</f>
        <v>19750</v>
      </c>
      <c r="E281" s="20"/>
      <c r="F281" s="20"/>
      <c r="G281" s="20"/>
      <c r="H281" s="20"/>
      <c r="I281" s="20"/>
      <c r="J281" s="20"/>
      <c r="K281" s="143"/>
      <c r="L281" s="146">
        <f>SUM(L279:L280)</f>
        <v>120449</v>
      </c>
    </row>
    <row r="282" customHeight="1" spans="1:12">
      <c r="A282" s="3" t="s">
        <v>354</v>
      </c>
      <c r="D282" s="81"/>
      <c r="K282" s="102"/>
      <c r="L282" s="75"/>
    </row>
    <row r="283" customHeight="1" spans="1:12">
      <c r="A283" s="13" t="s">
        <v>42</v>
      </c>
      <c r="D283" s="81">
        <v>39203</v>
      </c>
      <c r="F283" s="75" cm="1">
        <f t="array" ref="F283:F284">D283:D284</f>
        <v>39203</v>
      </c>
      <c r="G283" s="75" cm="1">
        <f t="array" ref="G283:G284">-F283:F284</f>
        <v>-39203</v>
      </c>
      <c r="H283" s="24">
        <f ca="1">C68</f>
        <v>48505.0251256281</v>
      </c>
      <c r="K283" s="102">
        <f ca="1" t="shared" si="120"/>
        <v>9302.02512562813</v>
      </c>
      <c r="L283" s="75">
        <f ca="1">SUM(D283+K283)</f>
        <v>48505.0251256281</v>
      </c>
    </row>
    <row r="284" customHeight="1" spans="1:12">
      <c r="A284" s="13" t="s">
        <v>43</v>
      </c>
      <c r="D284" s="81">
        <v>29819</v>
      </c>
      <c r="F284" s="75">
        <v>29819</v>
      </c>
      <c r="G284" s="75">
        <v>-29819</v>
      </c>
      <c r="I284" s="75">
        <f ca="1">I268</f>
        <v>-6005.02512562814</v>
      </c>
      <c r="K284" s="75">
        <f ca="1" t="shared" si="120"/>
        <v>-35824.0251256281</v>
      </c>
      <c r="L284" s="75">
        <f ca="1">SUM(D284+K284)</f>
        <v>-6005.02512562814</v>
      </c>
    </row>
    <row r="285" customHeight="1" spans="1:12">
      <c r="A285" s="20" t="s">
        <v>41</v>
      </c>
      <c r="B285" s="20"/>
      <c r="C285" s="20"/>
      <c r="D285" s="129">
        <f>SUM(D283:D284)</f>
        <v>69022</v>
      </c>
      <c r="E285" s="20"/>
      <c r="F285" s="20"/>
      <c r="G285" s="20"/>
      <c r="H285" s="20"/>
      <c r="I285" s="20"/>
      <c r="J285" s="20"/>
      <c r="K285" s="20"/>
      <c r="L285" s="148">
        <f ca="1">SUM(L283:L284)</f>
        <v>42500</v>
      </c>
    </row>
    <row r="286" s="9" customFormat="1" customHeight="1" spans="1:12">
      <c r="A286" s="126" t="s">
        <v>355</v>
      </c>
      <c r="B286" s="130"/>
      <c r="C286" s="130"/>
      <c r="D286" s="128">
        <f>SUM(D285+D281)</f>
        <v>88772</v>
      </c>
      <c r="E286" s="130"/>
      <c r="F286" s="130"/>
      <c r="G286" s="130"/>
      <c r="H286" s="130"/>
      <c r="I286" s="130"/>
      <c r="J286" s="130"/>
      <c r="K286" s="130"/>
      <c r="L286" s="145">
        <f ca="1">SUM(L285+L281)</f>
        <v>162949</v>
      </c>
    </row>
    <row r="291" customHeight="1" spans="1:16">
      <c r="A291" s="131" t="s">
        <v>410</v>
      </c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</row>
    <row r="293" customHeight="1" spans="1:16">
      <c r="A293" s="132" t="s">
        <v>411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Height="1" spans="5:13">
      <c r="E294" s="3" t="s">
        <v>115</v>
      </c>
      <c r="F294" s="133">
        <f>D11</f>
        <v>2025</v>
      </c>
      <c r="G294" s="133">
        <f>F294+1</f>
        <v>2026</v>
      </c>
      <c r="H294" s="133">
        <v>2027</v>
      </c>
      <c r="I294" s="133">
        <v>2028</v>
      </c>
      <c r="J294" s="133">
        <v>2029</v>
      </c>
      <c r="K294" s="133">
        <v>2030</v>
      </c>
      <c r="L294" s="133">
        <v>2031</v>
      </c>
      <c r="M294" s="3" t="s">
        <v>116</v>
      </c>
    </row>
    <row r="295" s="3" customFormat="1" customHeight="1" spans="5:13">
      <c r="E295" s="22">
        <v>45473</v>
      </c>
      <c r="F295" s="22">
        <f t="shared" ref="F295:L295" si="121">DATE(F294,$D$12,$D$13)</f>
        <v>45747</v>
      </c>
      <c r="G295" s="22">
        <f t="shared" si="121"/>
        <v>46112</v>
      </c>
      <c r="H295" s="22">
        <f t="shared" si="121"/>
        <v>46477</v>
      </c>
      <c r="I295" s="22">
        <f t="shared" si="121"/>
        <v>46843</v>
      </c>
      <c r="J295" s="22">
        <f t="shared" si="121"/>
        <v>47208</v>
      </c>
      <c r="K295" s="22">
        <f t="shared" si="121"/>
        <v>47573</v>
      </c>
      <c r="L295" s="22">
        <f t="shared" si="121"/>
        <v>47938</v>
      </c>
      <c r="M295" s="22">
        <v>47938</v>
      </c>
    </row>
    <row r="296" customHeight="1" spans="6:12">
      <c r="F296" s="13">
        <f t="shared" ref="F296:L296" si="122">YEARFRAC(E295,F295)</f>
        <v>0.75</v>
      </c>
      <c r="G296" s="13">
        <f t="shared" si="122"/>
        <v>1</v>
      </c>
      <c r="H296" s="13">
        <f t="shared" si="122"/>
        <v>1</v>
      </c>
      <c r="I296" s="13">
        <f t="shared" si="122"/>
        <v>1</v>
      </c>
      <c r="J296" s="13">
        <f t="shared" si="122"/>
        <v>1</v>
      </c>
      <c r="K296" s="13">
        <f t="shared" si="122"/>
        <v>1</v>
      </c>
      <c r="L296" s="13">
        <f t="shared" si="122"/>
        <v>1</v>
      </c>
    </row>
    <row r="297" customHeight="1" spans="1:1">
      <c r="A297" s="3" t="s">
        <v>130</v>
      </c>
    </row>
    <row r="298" customHeight="1" spans="1:12">
      <c r="A298" s="13" t="s">
        <v>12</v>
      </c>
      <c r="F298" s="78">
        <f>H122</f>
        <v>23548.366</v>
      </c>
      <c r="G298" s="78">
        <f t="shared" ref="G298:L298" si="123">I122</f>
        <v>23432.53884</v>
      </c>
      <c r="H298" s="78">
        <f t="shared" si="123"/>
        <v>23119.4185282</v>
      </c>
      <c r="I298" s="78">
        <f t="shared" si="123"/>
        <v>23302.010498142</v>
      </c>
      <c r="J298" s="78">
        <f t="shared" si="123"/>
        <v>22096.909424944</v>
      </c>
      <c r="K298" s="78">
        <f t="shared" si="123"/>
        <v>21826.4429987328</v>
      </c>
      <c r="L298" s="78">
        <f t="shared" si="123"/>
        <v>21610.0698577638</v>
      </c>
    </row>
    <row r="299" customHeight="1" spans="1:12">
      <c r="A299" s="13" t="s">
        <v>412</v>
      </c>
      <c r="F299" s="78">
        <f>F298*D26</f>
        <v>7064.5098</v>
      </c>
      <c r="G299" s="78">
        <v>7616</v>
      </c>
      <c r="H299" s="78">
        <v>7906</v>
      </c>
      <c r="I299" s="78">
        <v>8236</v>
      </c>
      <c r="J299" s="78">
        <f t="shared" ref="J299:L299" si="124">J298*H26</f>
        <v>1767.75275399552</v>
      </c>
      <c r="K299" s="78">
        <f t="shared" si="124"/>
        <v>1746.11543989862</v>
      </c>
      <c r="L299" s="78">
        <f t="shared" si="124"/>
        <v>1728.80558862111</v>
      </c>
    </row>
    <row r="300" customHeight="1" spans="1:12">
      <c r="A300" s="13" t="s">
        <v>124</v>
      </c>
      <c r="F300" s="109">
        <f>-H166</f>
        <v>7389.6732</v>
      </c>
      <c r="G300" s="109">
        <f t="shared" ref="G300:L300" si="125">-I166</f>
        <v>7574.41503</v>
      </c>
      <c r="H300" s="109">
        <f t="shared" si="125"/>
        <v>7725.9033306</v>
      </c>
      <c r="I300" s="109">
        <f t="shared" si="125"/>
        <v>8670.18040434</v>
      </c>
      <c r="J300" s="109">
        <f t="shared" si="125"/>
        <v>8670.18040434</v>
      </c>
      <c r="K300" s="109">
        <f t="shared" si="125"/>
        <v>8670.18040434</v>
      </c>
      <c r="L300" s="109">
        <f t="shared" si="125"/>
        <v>8670.18040434</v>
      </c>
    </row>
    <row r="301" customHeight="1" spans="1:12">
      <c r="A301" s="13" t="s">
        <v>48</v>
      </c>
      <c r="F301" s="81">
        <f>H197</f>
        <v>6400</v>
      </c>
      <c r="G301" s="81">
        <f t="shared" ref="G301:L301" si="126">I197</f>
        <v>6597.93464</v>
      </c>
      <c r="H301" s="81">
        <f t="shared" si="126"/>
        <v>6793.230718</v>
      </c>
      <c r="I301" s="81">
        <f t="shared" si="126"/>
        <v>6979.76524052</v>
      </c>
      <c r="J301" s="81">
        <f t="shared" si="126"/>
        <v>7317.848273284</v>
      </c>
      <c r="K301" s="81">
        <f t="shared" si="126"/>
        <v>7588.3146994952</v>
      </c>
      <c r="L301" s="81">
        <f t="shared" si="126"/>
        <v>7804.68784046416</v>
      </c>
    </row>
    <row r="302" s="10" customFormat="1" customHeight="1" spans="1:12">
      <c r="A302" s="10" t="s">
        <v>413</v>
      </c>
      <c r="F302" s="134">
        <f>H192</f>
        <v>1229.0224</v>
      </c>
      <c r="G302" s="134">
        <f t="shared" ref="G302:L302" si="127">I192</f>
        <v>353.161199999999</v>
      </c>
      <c r="H302" s="134">
        <v>142</v>
      </c>
      <c r="I302" s="134">
        <f t="shared" si="127"/>
        <v>417.721771247999</v>
      </c>
      <c r="J302" s="134">
        <f t="shared" si="127"/>
        <v>55.0601513280008</v>
      </c>
      <c r="K302" s="134">
        <f t="shared" si="127"/>
        <v>-125.894386800001</v>
      </c>
      <c r="L302" s="134">
        <f t="shared" si="127"/>
        <v>-28.9280398680003</v>
      </c>
    </row>
    <row r="303" customHeight="1" spans="1:13">
      <c r="A303" s="20" t="s">
        <v>414</v>
      </c>
      <c r="B303" s="20"/>
      <c r="C303" s="20"/>
      <c r="D303" s="20"/>
      <c r="E303" s="20"/>
      <c r="F303" s="135">
        <f>F298-F299-F300+F301-F302</f>
        <v>14265.1606</v>
      </c>
      <c r="G303" s="135">
        <f t="shared" ref="G303:L303" si="128">G298-G299-G300+G301-G302</f>
        <v>14486.89725</v>
      </c>
      <c r="H303" s="135">
        <f t="shared" si="128"/>
        <v>14138.7459156</v>
      </c>
      <c r="I303" s="135">
        <f t="shared" si="128"/>
        <v>12957.873563074</v>
      </c>
      <c r="J303" s="135">
        <f t="shared" si="128"/>
        <v>18921.7643885645</v>
      </c>
      <c r="K303" s="135">
        <f t="shared" si="128"/>
        <v>19124.3562407894</v>
      </c>
      <c r="L303" s="135">
        <f t="shared" si="128"/>
        <v>19044.6997451349</v>
      </c>
      <c r="M303" s="20"/>
    </row>
    <row r="305" s="11" customFormat="1" customHeight="1" spans="1:13">
      <c r="A305" s="11" t="s">
        <v>415</v>
      </c>
      <c r="E305" s="11">
        <v>0</v>
      </c>
      <c r="F305" s="136">
        <v>11572.80897</v>
      </c>
      <c r="G305" s="136">
        <v>16888.372326</v>
      </c>
      <c r="H305" s="136">
        <v>17988.51282982</v>
      </c>
      <c r="I305" s="136">
        <v>18182.608873686</v>
      </c>
      <c r="J305" s="136">
        <v>26062.0552259676</v>
      </c>
      <c r="K305" s="136">
        <v>26936.6143751581</v>
      </c>
      <c r="L305" s="136">
        <v>27965.059306657</v>
      </c>
      <c r="M305" s="149">
        <f ca="1">C325</f>
        <v>176182.546189368</v>
      </c>
    </row>
    <row r="306" s="11" customFormat="1" customHeight="1" spans="1:13">
      <c r="A306" s="11" t="s">
        <v>416</v>
      </c>
      <c r="E306" s="137">
        <f>-D37</f>
        <v>-150000</v>
      </c>
      <c r="F306" s="136">
        <v>11572.80897</v>
      </c>
      <c r="G306" s="138">
        <v>16888.372326</v>
      </c>
      <c r="H306" s="138">
        <v>17988.51282982</v>
      </c>
      <c r="I306" s="138">
        <v>18182.608873686</v>
      </c>
      <c r="J306" s="138">
        <v>26062.0552259676</v>
      </c>
      <c r="K306" s="138">
        <v>26936.6143751581</v>
      </c>
      <c r="L306" s="138">
        <v>27965.059306657</v>
      </c>
      <c r="M306" s="149">
        <f ca="1">M305</f>
        <v>176182.546189368</v>
      </c>
    </row>
    <row r="308" s="3" customFormat="1" customHeight="1" spans="1:1">
      <c r="A308" s="3" t="s">
        <v>138</v>
      </c>
    </row>
    <row r="309" customHeight="1" spans="1:12">
      <c r="A309" s="13" t="s">
        <v>375</v>
      </c>
      <c r="F309" s="76">
        <f ca="1">H163</f>
        <v>20170.2419584321</v>
      </c>
      <c r="G309" s="76">
        <f ca="1" t="shared" ref="G309:L309" si="129">I163</f>
        <v>21376.2072352318</v>
      </c>
      <c r="H309" s="76">
        <f ca="1" t="shared" si="129"/>
        <v>21764.793658317</v>
      </c>
      <c r="I309" s="76">
        <f ca="1" t="shared" si="129"/>
        <v>22419.5058645487</v>
      </c>
      <c r="J309" s="76">
        <f ca="1" t="shared" si="129"/>
        <v>22730.6247194168</v>
      </c>
      <c r="K309" s="76">
        <f ca="1" t="shared" si="129"/>
        <v>22992.7191854082</v>
      </c>
      <c r="L309" s="76">
        <f ca="1" t="shared" si="129"/>
        <v>22960.6647807668</v>
      </c>
    </row>
    <row r="310" customHeight="1" spans="1:12">
      <c r="A310" s="13" t="s">
        <v>124</v>
      </c>
      <c r="F310" s="109">
        <f>F300</f>
        <v>7389.6732</v>
      </c>
      <c r="G310" s="109">
        <f t="shared" ref="G310:L310" si="130">G300</f>
        <v>7574.41503</v>
      </c>
      <c r="H310" s="109">
        <f t="shared" si="130"/>
        <v>7725.9033306</v>
      </c>
      <c r="I310" s="109">
        <f t="shared" si="130"/>
        <v>8670.18040434</v>
      </c>
      <c r="J310" s="109">
        <f t="shared" si="130"/>
        <v>8670.18040434</v>
      </c>
      <c r="K310" s="109">
        <f t="shared" si="130"/>
        <v>8670.18040434</v>
      </c>
      <c r="L310" s="109">
        <f t="shared" si="130"/>
        <v>8670.18040434</v>
      </c>
    </row>
    <row r="311" customHeight="1" spans="1:12">
      <c r="A311" s="13" t="s">
        <v>417</v>
      </c>
      <c r="F311" s="71">
        <f ca="1">(H171+H172)</f>
        <v>20000</v>
      </c>
      <c r="G311" s="71">
        <f ca="1" t="shared" ref="G311:L311" si="131">(I171+I172)</f>
        <v>20664.721927335</v>
      </c>
      <c r="H311" s="71">
        <f ca="1" t="shared" si="131"/>
        <v>28077.7806554412</v>
      </c>
      <c r="I311" s="71">
        <f ca="1" t="shared" si="131"/>
        <v>27498.6509204232</v>
      </c>
      <c r="J311" s="71">
        <f ca="1" t="shared" si="131"/>
        <v>103758.846495959</v>
      </c>
      <c r="K311" s="71">
        <f ca="1" t="shared" si="131"/>
        <v>0</v>
      </c>
      <c r="L311" s="71">
        <f ca="1" t="shared" si="131"/>
        <v>11250</v>
      </c>
    </row>
    <row r="312" s="5" customFormat="1" customHeight="1" spans="1:12">
      <c r="A312" s="5" t="s">
        <v>418</v>
      </c>
      <c r="F312" s="77">
        <f ca="1">F309-F310-F311</f>
        <v>-7219.43124156791</v>
      </c>
      <c r="G312" s="77">
        <f ca="1" t="shared" ref="G312:L312" si="132">G309-G310-G311</f>
        <v>-6862.92972210318</v>
      </c>
      <c r="H312" s="77">
        <f ca="1" t="shared" si="132"/>
        <v>-14038.8903277242</v>
      </c>
      <c r="I312" s="77">
        <f ca="1" t="shared" si="132"/>
        <v>-13749.3254602145</v>
      </c>
      <c r="J312" s="77">
        <f ca="1" t="shared" si="132"/>
        <v>-89698.4021808818</v>
      </c>
      <c r="K312" s="77">
        <f ca="1" t="shared" si="132"/>
        <v>14322.5387810682</v>
      </c>
      <c r="L312" s="77">
        <f ca="1" t="shared" si="132"/>
        <v>3040.48437642685</v>
      </c>
    </row>
    <row r="314" s="11" customFormat="1" customHeight="1" spans="1:13">
      <c r="A314" s="11" t="s">
        <v>415</v>
      </c>
      <c r="E314" s="138">
        <f ca="1" t="shared" ref="E314:L314" si="133">F312*F296</f>
        <v>-5414.57343117593</v>
      </c>
      <c r="F314" s="138">
        <f ca="1" t="shared" si="133"/>
        <v>-6862.92972210318</v>
      </c>
      <c r="G314" s="138">
        <f ca="1" t="shared" si="133"/>
        <v>-14038.8903277242</v>
      </c>
      <c r="H314" s="138">
        <f ca="1" t="shared" si="133"/>
        <v>-13749.3254602145</v>
      </c>
      <c r="I314" s="138">
        <f ca="1" t="shared" si="133"/>
        <v>-89698.4021808818</v>
      </c>
      <c r="J314" s="138">
        <f ca="1" t="shared" si="133"/>
        <v>14322.5387810682</v>
      </c>
      <c r="K314" s="138">
        <f ca="1" t="shared" si="133"/>
        <v>3040.48437642685</v>
      </c>
      <c r="L314" s="138">
        <f t="shared" si="133"/>
        <v>0</v>
      </c>
      <c r="M314" s="150">
        <f ca="1">C325</f>
        <v>176182.546189368</v>
      </c>
    </row>
    <row r="315" s="11" customFormat="1" customHeight="1" spans="1:13">
      <c r="A315" s="11" t="s">
        <v>416</v>
      </c>
      <c r="E315" s="139">
        <f ca="1">-C68</f>
        <v>-48505.0251256281</v>
      </c>
      <c r="F315" s="138">
        <v>0</v>
      </c>
      <c r="M315" s="150">
        <f ca="1">M305</f>
        <v>176182.546189368</v>
      </c>
    </row>
    <row r="318" ht="16" customHeight="1" spans="1:12">
      <c r="A318" s="18" t="s">
        <v>117</v>
      </c>
      <c r="B318" s="18"/>
      <c r="C318" s="18"/>
      <c r="E318" s="18" t="s">
        <v>419</v>
      </c>
      <c r="F318" s="18"/>
      <c r="G318" s="18"/>
      <c r="H318" s="18"/>
      <c r="J318" s="18" t="s">
        <v>420</v>
      </c>
      <c r="K318" s="18"/>
      <c r="L318" s="18"/>
    </row>
    <row r="319" ht="17" customHeight="1" spans="1:8">
      <c r="A319" s="13" t="s">
        <v>421</v>
      </c>
      <c r="C319" s="140">
        <f>L298+L301</f>
        <v>29414.757698228</v>
      </c>
      <c r="G319" s="65" t="s">
        <v>109</v>
      </c>
      <c r="H319" s="141" t="s">
        <v>422</v>
      </c>
    </row>
    <row r="320" customHeight="1" spans="1:12">
      <c r="A320" s="13" t="s">
        <v>423</v>
      </c>
      <c r="C320" s="40">
        <f>D45</f>
        <v>6</v>
      </c>
      <c r="E320" s="13" t="s">
        <v>130</v>
      </c>
      <c r="G320" s="26">
        <f ca="1">L320</f>
        <v>0.15232286087966</v>
      </c>
      <c r="H320" s="81">
        <f ca="1">XNPV(G320,E305:M305,E295:M295)</f>
        <v>150000</v>
      </c>
      <c r="J320" s="13" t="s">
        <v>424</v>
      </c>
      <c r="L320" s="151">
        <f ca="1">XIRR(E306:M306,E295:M295)</f>
        <v>0.15232286087966</v>
      </c>
    </row>
    <row r="321" customHeight="1" spans="1:12">
      <c r="A321" s="20" t="s">
        <v>425</v>
      </c>
      <c r="B321" s="20"/>
      <c r="C321" s="70">
        <f>C319*C320</f>
        <v>176488.546189368</v>
      </c>
      <c r="E321" s="13" t="s">
        <v>138</v>
      </c>
      <c r="G321" s="26">
        <v>0.2</v>
      </c>
      <c r="H321" s="76">
        <f ca="1">XNPV(G321,E314:M314,E295:M295)</f>
        <v>-16659.5936340876</v>
      </c>
      <c r="J321" s="13" t="s">
        <v>186</v>
      </c>
      <c r="L321" s="158" t="e">
        <f ca="1">XIRR(E315:M315,E295:M295)</f>
        <v>#NUM!</v>
      </c>
    </row>
    <row r="322" customHeight="1" spans="7:7">
      <c r="G322" s="152">
        <f>M321</f>
        <v>0</v>
      </c>
    </row>
    <row r="323" customHeight="1" spans="1:3">
      <c r="A323" s="13" t="s">
        <v>426</v>
      </c>
      <c r="C323" s="102">
        <f ca="1">N133</f>
        <v>9999.99999999999</v>
      </c>
    </row>
    <row r="324" customHeight="1" spans="1:9">
      <c r="A324" s="13" t="s">
        <v>134</v>
      </c>
      <c r="C324" s="13">
        <v>10306</v>
      </c>
      <c r="D324" s="153" t="s">
        <v>427</v>
      </c>
      <c r="I324" s="171"/>
    </row>
    <row r="325" customHeight="1" spans="1:3">
      <c r="A325" s="20" t="s">
        <v>428</v>
      </c>
      <c r="B325" s="20"/>
      <c r="C325" s="70">
        <f ca="1">C321+C323-C324</f>
        <v>176182.546189368</v>
      </c>
    </row>
    <row r="328" s="12" customFormat="1" ht="24" customHeight="1" spans="1:13">
      <c r="A328" s="11" t="s">
        <v>429</v>
      </c>
      <c r="F328" s="12">
        <v>2025</v>
      </c>
      <c r="G328" s="12">
        <f t="shared" ref="G328:L328" si="134">F328+1</f>
        <v>2026</v>
      </c>
      <c r="H328" s="12">
        <f t="shared" si="134"/>
        <v>2027</v>
      </c>
      <c r="I328" s="12">
        <f t="shared" si="134"/>
        <v>2028</v>
      </c>
      <c r="J328" s="12">
        <f t="shared" si="134"/>
        <v>2029</v>
      </c>
      <c r="K328" s="12">
        <f t="shared" si="134"/>
        <v>2030</v>
      </c>
      <c r="L328" s="12">
        <f t="shared" si="134"/>
        <v>2031</v>
      </c>
      <c r="M328" s="12">
        <f>L328</f>
        <v>2031</v>
      </c>
    </row>
    <row r="329" s="3" customFormat="1" ht="21" customHeight="1" spans="5:14">
      <c r="E329" s="154">
        <v>45473</v>
      </c>
      <c r="F329" s="154">
        <f>DATE(D11,$D$12,$D$13)</f>
        <v>45747</v>
      </c>
      <c r="G329" s="154">
        <f t="shared" ref="G329:M329" si="135">DATE(G328,$I$325,$I$326)</f>
        <v>45991</v>
      </c>
      <c r="H329" s="154">
        <f t="shared" si="135"/>
        <v>46356</v>
      </c>
      <c r="I329" s="154">
        <f t="shared" si="135"/>
        <v>46721</v>
      </c>
      <c r="J329" s="154">
        <f t="shared" si="135"/>
        <v>47087</v>
      </c>
      <c r="K329" s="154">
        <f t="shared" si="135"/>
        <v>47452</v>
      </c>
      <c r="L329" s="154">
        <f t="shared" si="135"/>
        <v>47817</v>
      </c>
      <c r="M329" s="154">
        <f t="shared" si="135"/>
        <v>47817</v>
      </c>
      <c r="N329" s="79"/>
    </row>
    <row r="330" s="3" customFormat="1" ht="16" customHeight="1" spans="1:14">
      <c r="A330" s="155" t="s">
        <v>430</v>
      </c>
      <c r="B330" s="86"/>
      <c r="C330" s="156" t="s">
        <v>431</v>
      </c>
      <c r="E330" s="157"/>
      <c r="F330" s="157"/>
      <c r="G330" s="157"/>
      <c r="H330" s="157"/>
      <c r="I330" s="157" t="s">
        <v>432</v>
      </c>
      <c r="J330" s="157"/>
      <c r="K330" s="157"/>
      <c r="L330" s="157"/>
      <c r="M330" s="157"/>
      <c r="N330" s="157"/>
    </row>
    <row r="331" customHeight="1" spans="1:14">
      <c r="A331" s="46" t="s">
        <v>300</v>
      </c>
      <c r="C331" s="158">
        <f ca="1" t="shared" ref="C331:C334" si="136">XIRR(E331:M331,$E$329:$M$329)</f>
        <v>0.0374655468350598</v>
      </c>
      <c r="E331" s="70">
        <f>-G232</f>
        <v>-50000</v>
      </c>
      <c r="F331" s="159">
        <f ca="1" t="shared" ref="F331:M331" si="137">H234+H230+H231</f>
        <v>7120.84548795419</v>
      </c>
      <c r="G331" s="159">
        <f ca="1" t="shared" si="137"/>
        <v>6982.38532864416</v>
      </c>
      <c r="H331" s="159">
        <f ca="1" t="shared" si="137"/>
        <v>8488.29731332108</v>
      </c>
      <c r="I331" s="159">
        <f ca="1" t="shared" si="137"/>
        <v>7523.15552070922</v>
      </c>
      <c r="J331" s="159">
        <f ca="1" t="shared" si="137"/>
        <v>25939.7116241564</v>
      </c>
      <c r="K331" s="159">
        <f ca="1" t="shared" si="137"/>
        <v>0</v>
      </c>
      <c r="L331" s="159">
        <f ca="1" t="shared" si="137"/>
        <v>0</v>
      </c>
      <c r="M331" s="159">
        <f t="shared" si="137"/>
        <v>0</v>
      </c>
      <c r="N331" s="20"/>
    </row>
    <row r="332" customHeight="1" spans="1:13">
      <c r="A332" s="46" t="s">
        <v>301</v>
      </c>
      <c r="C332" s="158">
        <f ca="1" t="shared" si="136"/>
        <v>-0.105035780930298</v>
      </c>
      <c r="E332" s="71">
        <f>-G240</f>
        <v>-50000</v>
      </c>
      <c r="F332" s="76">
        <f ca="1">H242+H2386+H239</f>
        <v>2969.18368313587</v>
      </c>
      <c r="G332" s="76">
        <f ca="1" t="shared" ref="G332:M332" si="138">I242+I2386+I239</f>
        <v>2708.86726736892</v>
      </c>
      <c r="H332" s="76">
        <f ca="1" t="shared" si="138"/>
        <v>4075.83817310612</v>
      </c>
      <c r="I332" s="76">
        <f ca="1" t="shared" si="138"/>
        <v>2782.55263695118</v>
      </c>
      <c r="J332" s="76">
        <f ca="1" t="shared" si="138"/>
        <v>20939.7116241564</v>
      </c>
      <c r="K332" s="76">
        <f ca="1" t="shared" si="138"/>
        <v>0</v>
      </c>
      <c r="L332" s="76">
        <f ca="1" t="shared" si="138"/>
        <v>0</v>
      </c>
      <c r="M332" s="76">
        <f t="shared" si="138"/>
        <v>0</v>
      </c>
    </row>
    <row r="333" customHeight="1" spans="1:13">
      <c r="A333" s="46" t="s">
        <v>302</v>
      </c>
      <c r="C333" s="158">
        <f ca="1" t="shared" si="136"/>
        <v>0.113197945841128</v>
      </c>
      <c r="E333" s="24">
        <f>-G248</f>
        <v>-11250</v>
      </c>
      <c r="F333" s="13">
        <f ca="1" t="shared" ref="F333:M333" si="139">H250+H246+H247</f>
        <v>1350</v>
      </c>
      <c r="G333" s="13">
        <f ca="1" t="shared" si="139"/>
        <v>1350</v>
      </c>
      <c r="H333" s="13">
        <f ca="1" t="shared" si="139"/>
        <v>1350</v>
      </c>
      <c r="I333" s="13">
        <f ca="1" t="shared" si="139"/>
        <v>1350</v>
      </c>
      <c r="J333" s="13">
        <f ca="1" t="shared" si="139"/>
        <v>1350</v>
      </c>
      <c r="K333" s="13">
        <f ca="1" t="shared" si="139"/>
        <v>675</v>
      </c>
      <c r="L333" s="13">
        <f ca="1" t="shared" si="139"/>
        <v>11250</v>
      </c>
      <c r="M333" s="13">
        <f t="shared" si="139"/>
        <v>0</v>
      </c>
    </row>
    <row r="334" customHeight="1" spans="1:13">
      <c r="A334" s="46" t="s">
        <v>303</v>
      </c>
      <c r="C334" s="158">
        <f ca="1" t="shared" si="136"/>
        <v>0.222443496535028</v>
      </c>
      <c r="E334" s="160">
        <f ca="1">E315</f>
        <v>-48505.0251256281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71">
        <f ca="1">C325</f>
        <v>176182.546189368</v>
      </c>
    </row>
    <row r="336" s="3" customFormat="1" customHeight="1" spans="1:3">
      <c r="A336" s="3" t="s">
        <v>433</v>
      </c>
      <c r="C336" s="161">
        <f ca="1">SUM(F334:M334)/(-E334)</f>
        <v>3.63225347751196</v>
      </c>
    </row>
    <row r="338" customHeight="1" spans="1:14">
      <c r="A338" s="162" t="s">
        <v>434</v>
      </c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</row>
    <row r="339" customHeight="1" spans="2:14">
      <c r="B339" s="164"/>
      <c r="C339" s="164"/>
      <c r="D339" s="165" t="s">
        <v>435</v>
      </c>
      <c r="E339" s="164"/>
      <c r="F339" s="164"/>
      <c r="G339" s="164"/>
      <c r="I339" s="164"/>
      <c r="J339" s="165" t="s">
        <v>436</v>
      </c>
      <c r="K339" s="165"/>
      <c r="L339" s="165"/>
      <c r="M339" s="165"/>
      <c r="N339" s="165"/>
    </row>
    <row r="340" customHeight="1" spans="3:14">
      <c r="C340" s="65"/>
      <c r="D340" s="166" t="s">
        <v>277</v>
      </c>
      <c r="E340" s="65"/>
      <c r="F340" s="65"/>
      <c r="G340" s="65"/>
      <c r="J340" s="65"/>
      <c r="K340" s="166" t="s">
        <v>277</v>
      </c>
      <c r="L340" s="65"/>
      <c r="M340" s="65"/>
      <c r="N340" s="65"/>
    </row>
    <row r="341" customHeight="1" spans="2:14">
      <c r="B341" s="158">
        <f ca="1">C334</f>
        <v>0.222443496535028</v>
      </c>
      <c r="C341" s="161">
        <v>5</v>
      </c>
      <c r="D341" s="161">
        <f>C341+0.5</f>
        <v>5.5</v>
      </c>
      <c r="E341" s="161">
        <f t="shared" ref="E341:G341" si="140">D341+0.5</f>
        <v>6</v>
      </c>
      <c r="F341" s="161">
        <f t="shared" si="140"/>
        <v>6.5</v>
      </c>
      <c r="G341" s="161">
        <f t="shared" si="140"/>
        <v>7</v>
      </c>
      <c r="I341" s="172">
        <f ca="1">C336</f>
        <v>3.63225347751196</v>
      </c>
      <c r="J341" s="173">
        <v>5</v>
      </c>
      <c r="K341" s="161">
        <f>J341+0.5</f>
        <v>5.5</v>
      </c>
      <c r="L341" s="161">
        <f t="shared" ref="L341:N341" si="141">K341+0.5</f>
        <v>6</v>
      </c>
      <c r="M341" s="161">
        <f t="shared" si="141"/>
        <v>6.5</v>
      </c>
      <c r="N341" s="161">
        <f t="shared" si="141"/>
        <v>7</v>
      </c>
    </row>
    <row r="342" customHeight="1" spans="2:14">
      <c r="B342" s="161">
        <v>5</v>
      </c>
      <c r="C342" s="167">
        <v>0.331160444021225</v>
      </c>
      <c r="D342" s="168">
        <v>0.244935816526413</v>
      </c>
      <c r="E342" s="168">
        <v>0.188161438703537</v>
      </c>
      <c r="F342" s="168">
        <v>0.146303874254227</v>
      </c>
      <c r="G342" s="168">
        <v>0.113392740488052</v>
      </c>
      <c r="I342" s="161">
        <v>5</v>
      </c>
      <c r="J342" s="174">
        <v>6.27765500477955</v>
      </c>
      <c r="K342" s="161">
        <v>4.08343794613588</v>
      </c>
      <c r="L342" s="161">
        <v>3.0258264604752</v>
      </c>
      <c r="M342" s="161">
        <v>2.40335650357843</v>
      </c>
      <c r="N342" s="161">
        <v>1.99329738336372</v>
      </c>
    </row>
    <row r="343" customHeight="1" spans="2:14">
      <c r="B343" s="161">
        <f>B342+0.5</f>
        <v>5.5</v>
      </c>
      <c r="C343" s="169">
        <v>0.351103919744492</v>
      </c>
      <c r="D343" s="158">
        <v>0.263587468862534</v>
      </c>
      <c r="E343" s="158">
        <v>0.205962508916855</v>
      </c>
      <c r="F343" s="158">
        <v>0.163477832078934</v>
      </c>
      <c r="G343" s="158">
        <v>0.130073612928391</v>
      </c>
      <c r="I343" s="161">
        <f>I342+0.5</f>
        <v>5.5</v>
      </c>
      <c r="J343" s="174">
        <v>6.90672934996465</v>
      </c>
      <c r="K343" s="161">
        <v>4.49263310740448</v>
      </c>
      <c r="L343" s="161">
        <v>3.32903996899358</v>
      </c>
      <c r="M343" s="161">
        <v>2.64419323601815</v>
      </c>
      <c r="N343" s="161">
        <v>2.19304270948374</v>
      </c>
    </row>
    <row r="344" customHeight="1" spans="2:14">
      <c r="B344" s="161">
        <f t="shared" ref="B344:B346" si="142">B343+0.5</f>
        <v>6</v>
      </c>
      <c r="C344" s="169">
        <v>0.369568449258804</v>
      </c>
      <c r="D344" s="158">
        <v>0.280855983495712</v>
      </c>
      <c r="E344" s="158">
        <v>0.222443491220474</v>
      </c>
      <c r="F344" s="158">
        <v>0.179378217458725</v>
      </c>
      <c r="G344" s="158">
        <v>0.145517486333847</v>
      </c>
      <c r="I344" s="161">
        <f t="shared" ref="I344:I346" si="143">I343+0.5</f>
        <v>6</v>
      </c>
      <c r="J344" s="174">
        <v>7.53580369514976</v>
      </c>
      <c r="K344" s="161">
        <v>4.90182826867308</v>
      </c>
      <c r="L344" s="161">
        <v>3.63225347751196</v>
      </c>
      <c r="M344" s="161">
        <v>2.88502996845787</v>
      </c>
      <c r="N344" s="161">
        <v>2.39278803560377</v>
      </c>
    </row>
    <row r="345" customHeight="1" spans="2:14">
      <c r="B345" s="161">
        <f t="shared" si="142"/>
        <v>6.5</v>
      </c>
      <c r="C345" s="169">
        <v>0.386774414777756</v>
      </c>
      <c r="D345" s="158">
        <v>0.296947437524796</v>
      </c>
      <c r="E345" s="158">
        <v>0.237801116704941</v>
      </c>
      <c r="F345" s="158">
        <v>0.194194799661636</v>
      </c>
      <c r="G345" s="158">
        <v>0.159908682107925</v>
      </c>
      <c r="I345" s="161">
        <f t="shared" si="143"/>
        <v>6.5</v>
      </c>
      <c r="J345" s="174">
        <v>8.16487804033486</v>
      </c>
      <c r="K345" s="161">
        <v>5.31102342994169</v>
      </c>
      <c r="L345" s="161">
        <v>3.93546698603035</v>
      </c>
      <c r="M345" s="161">
        <v>3.12586670089759</v>
      </c>
      <c r="N345" s="161">
        <v>2.5925333617238</v>
      </c>
    </row>
    <row r="346" customHeight="1" spans="2:14">
      <c r="B346" s="161">
        <f t="shared" si="142"/>
        <v>7</v>
      </c>
      <c r="C346" s="169">
        <v>0.4028952896595</v>
      </c>
      <c r="D346" s="158">
        <v>0.31202409863472</v>
      </c>
      <c r="E346" s="158">
        <v>0.252190214395523</v>
      </c>
      <c r="F346" s="158">
        <v>0.208076995611191</v>
      </c>
      <c r="G346" s="158">
        <v>0.173392313718796</v>
      </c>
      <c r="I346" s="161">
        <f t="shared" si="143"/>
        <v>7</v>
      </c>
      <c r="J346" s="174">
        <v>8.79395238551996</v>
      </c>
      <c r="K346" s="161">
        <v>5.72021859121029</v>
      </c>
      <c r="L346" s="161">
        <v>4.23868049454873</v>
      </c>
      <c r="M346" s="161">
        <v>3.36670343333731</v>
      </c>
      <c r="N346" s="161">
        <v>2.79227868784382</v>
      </c>
    </row>
    <row r="347" customHeight="1" spans="3:10">
      <c r="C347" s="10"/>
      <c r="J347" s="10"/>
    </row>
    <row r="349" customHeight="1" spans="2:14">
      <c r="B349" s="164"/>
      <c r="C349" s="164"/>
      <c r="D349" s="164" t="s">
        <v>435</v>
      </c>
      <c r="E349" s="164"/>
      <c r="F349" s="164"/>
      <c r="G349" s="164"/>
      <c r="I349" s="164"/>
      <c r="J349" s="164"/>
      <c r="K349" s="164"/>
      <c r="L349" s="164"/>
      <c r="M349" s="164"/>
      <c r="N349" s="164"/>
    </row>
    <row r="350" customHeight="1" spans="3:14">
      <c r="C350" s="65"/>
      <c r="D350" s="166" t="s">
        <v>437</v>
      </c>
      <c r="E350" s="65"/>
      <c r="F350" s="65"/>
      <c r="G350" s="65"/>
      <c r="J350" s="65"/>
      <c r="K350" s="166" t="s">
        <v>437</v>
      </c>
      <c r="L350" s="65"/>
      <c r="M350" s="65"/>
      <c r="N350" s="65"/>
    </row>
    <row r="351" customHeight="1" spans="2:14">
      <c r="B351" s="158">
        <f ca="1">C334</f>
        <v>0.222443496535028</v>
      </c>
      <c r="C351" s="161">
        <v>1.5</v>
      </c>
      <c r="D351" s="161">
        <f>C351+0.25</f>
        <v>1.75</v>
      </c>
      <c r="E351" s="161">
        <f t="shared" ref="E351:G351" si="144">D351+0.25</f>
        <v>2</v>
      </c>
      <c r="F351" s="161">
        <f t="shared" si="144"/>
        <v>2.25</v>
      </c>
      <c r="G351" s="161">
        <f t="shared" si="144"/>
        <v>2.5</v>
      </c>
      <c r="I351" s="172">
        <f ca="1">C336</f>
        <v>3.63225347751196</v>
      </c>
      <c r="J351" s="173">
        <v>1.5</v>
      </c>
      <c r="K351" s="161">
        <f>J351+0.25</f>
        <v>1.75</v>
      </c>
      <c r="L351" s="161">
        <f t="shared" ref="L351:N351" si="145">K351+0.25</f>
        <v>2</v>
      </c>
      <c r="M351" s="161">
        <f t="shared" si="145"/>
        <v>2.25</v>
      </c>
      <c r="N351" s="161">
        <f t="shared" si="145"/>
        <v>2.5</v>
      </c>
    </row>
    <row r="352" customHeight="1" spans="2:14">
      <c r="B352" s="161">
        <v>1.5</v>
      </c>
      <c r="C352" s="167">
        <v>0.146433240175247</v>
      </c>
      <c r="D352" s="168">
        <v>0.162295144796372</v>
      </c>
      <c r="E352" s="168">
        <v>0.179945927858353</v>
      </c>
      <c r="F352" s="168">
        <v>0.199802929162979</v>
      </c>
      <c r="G352" s="168">
        <v>0.222443491220474</v>
      </c>
      <c r="I352" s="161">
        <v>1.5</v>
      </c>
      <c r="J352" s="174">
        <v>2.40509872692054</v>
      </c>
      <c r="K352" s="161">
        <v>2.62697961537392</v>
      </c>
      <c r="L352" s="161">
        <v>2.89396010661859</v>
      </c>
      <c r="M352" s="161">
        <v>3.22134619884546</v>
      </c>
      <c r="N352" s="161">
        <v>3.63225347751196</v>
      </c>
    </row>
    <row r="353" customHeight="1" spans="2:14">
      <c r="B353" s="170">
        <f>B352+0.25</f>
        <v>1.75</v>
      </c>
      <c r="C353" s="169">
        <v>0.162295144796372</v>
      </c>
      <c r="D353" s="158">
        <v>0.179945927858353</v>
      </c>
      <c r="E353" s="158">
        <v>0.199802929162979</v>
      </c>
      <c r="F353" s="158">
        <v>0.222443491220474</v>
      </c>
      <c r="G353" s="158">
        <v>0.248697012662888</v>
      </c>
      <c r="I353" s="170">
        <f>I352+0.25</f>
        <v>1.75</v>
      </c>
      <c r="J353" s="161">
        <v>2.62697961537392</v>
      </c>
      <c r="K353" s="161">
        <v>2.89396010661859</v>
      </c>
      <c r="L353" s="161">
        <v>3.22134619884546</v>
      </c>
      <c r="M353" s="161">
        <v>3.63225347751196</v>
      </c>
      <c r="N353" s="161">
        <v>4.16331621691367</v>
      </c>
    </row>
    <row r="354" customHeight="1" spans="2:14">
      <c r="B354" s="170">
        <f t="shared" ref="B354:B356" si="146">B353+0.25</f>
        <v>2</v>
      </c>
      <c r="C354" s="169">
        <v>0.179945927858353</v>
      </c>
      <c r="D354" s="158">
        <v>0.199802929162979</v>
      </c>
      <c r="E354" s="158">
        <v>0.222443491220474</v>
      </c>
      <c r="F354" s="158">
        <v>0.248697012662888</v>
      </c>
      <c r="G354" s="158">
        <v>0.279813426733017</v>
      </c>
      <c r="I354" s="170">
        <f t="shared" ref="I354:I356" si="147">I353+0.25</f>
        <v>2</v>
      </c>
      <c r="J354" s="161">
        <v>2.89396010661859</v>
      </c>
      <c r="K354" s="161">
        <v>3.22134619884546</v>
      </c>
      <c r="L354" s="161">
        <v>3.63225347751196</v>
      </c>
      <c r="M354" s="161">
        <v>4.16331621691367</v>
      </c>
      <c r="N354" s="161">
        <v>4.87626240496304</v>
      </c>
    </row>
    <row r="355" customHeight="1" spans="2:14">
      <c r="B355" s="170">
        <f t="shared" si="146"/>
        <v>2.25</v>
      </c>
      <c r="C355" s="169">
        <v>0.199802929162979</v>
      </c>
      <c r="D355" s="158">
        <v>0.222443491220474</v>
      </c>
      <c r="E355" s="158">
        <v>0.248697012662888</v>
      </c>
      <c r="F355" s="158">
        <v>0.279813426733017</v>
      </c>
      <c r="G355" s="158">
        <v>0.317798644304276</v>
      </c>
      <c r="I355" s="170">
        <f t="shared" si="147"/>
        <v>2.25</v>
      </c>
      <c r="J355" s="161">
        <v>3.22134619884546</v>
      </c>
      <c r="K355" s="161">
        <v>3.63225347751196</v>
      </c>
      <c r="L355" s="161">
        <v>4.16331621691367</v>
      </c>
      <c r="M355" s="161">
        <v>4.87626240496304</v>
      </c>
      <c r="N355" s="161">
        <v>5.88383917628432</v>
      </c>
    </row>
    <row r="356" customHeight="1" spans="2:14">
      <c r="B356" s="170">
        <f t="shared" si="146"/>
        <v>2.5</v>
      </c>
      <c r="C356" s="169">
        <v>0.222443491220474</v>
      </c>
      <c r="D356" s="158">
        <v>0.248697012662888</v>
      </c>
      <c r="E356" s="158">
        <v>0.279813426733017</v>
      </c>
      <c r="F356" s="158">
        <v>0.317798644304276</v>
      </c>
      <c r="G356" s="158">
        <v>0.366162210702896</v>
      </c>
      <c r="I356" s="170">
        <f t="shared" si="147"/>
        <v>2.5</v>
      </c>
      <c r="J356" s="161">
        <v>3.63225347751196</v>
      </c>
      <c r="K356" s="161">
        <v>4.16331621691367</v>
      </c>
      <c r="L356" s="161">
        <v>4.87626240496304</v>
      </c>
      <c r="M356" s="161">
        <v>5.88383917628433</v>
      </c>
      <c r="N356" s="161">
        <v>7.41625101886498</v>
      </c>
    </row>
    <row r="357" customHeight="1" spans="2:10">
      <c r="B357" s="10"/>
      <c r="C357" s="10"/>
      <c r="I357" s="10"/>
      <c r="J357" s="10"/>
    </row>
  </sheetData>
  <mergeCells count="1">
    <mergeCell ref="K2:L2"/>
  </mergeCells>
  <dataValidations count="2">
    <dataValidation type="list" allowBlank="1" showInputMessage="1" showErrorMessage="1" sqref="G2">
      <formula1>$H$5:$J$5</formula1>
    </dataValidation>
    <dataValidation type="list" allowBlank="1" showInputMessage="1" showErrorMessage="1" sqref="C47">
      <formula1>"OFF,ON"</formula1>
    </dataValidation>
  </dataValidations>
  <pageMargins left="0.75" right="0.75" top="1" bottom="1" header="0.5" footer="0.5"/>
  <pageSetup paperSize="1" orientation="portrait"/>
  <headerFooter/>
  <ignoredErrors>
    <ignoredError sqref="M105" evalError="1" formula="1"/>
    <ignoredError sqref="I106:N107 H195 L274 L279:L280 L271 H145:N145 K207 H105:L105 N10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Finanical Staement</vt:lpstr>
      <vt:lpstr>Model</vt:lpstr>
      <vt:lpstr>Scenarios</vt:lpstr>
      <vt:lpstr>Comps</vt:lpstr>
      <vt:lpstr>WACC </vt:lpstr>
      <vt:lpstr>Beta</vt:lpstr>
      <vt:lpstr>Summary</vt:lpstr>
      <vt:lpstr>LBO 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rs127</dc:creator>
  <cp:lastModifiedBy>rs127</cp:lastModifiedBy>
  <dcterms:created xsi:type="dcterms:W3CDTF">2025-01-19T12:16:00Z</dcterms:created>
  <dcterms:modified xsi:type="dcterms:W3CDTF">2025-02-08T14:13:20Z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33048B77829143C0AC7EE6DAE1953822_13</vt:lpwstr>
  </property>
  <property fmtid="{D5CDD505-2E9C-101B-9397-08002B2CF9AE}" pid="3" name="KSOProductBuildVer">
    <vt:lpwstr>1033-12.2.0.19805</vt:lpwstr>
  </property>
</Properties>
</file>