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46b5e63763813a18/Desktop/Github/"/>
    </mc:Choice>
  </mc:AlternateContent>
  <xr:revisionPtr revIDLastSave="3" documentId="13_ncr:1_{4AAB75B8-4CD0-443B-8867-AF553F78B3C0}" xr6:coauthVersionLast="47" xr6:coauthVersionMax="47" xr10:uidLastSave="{BD5AF44C-4092-4155-A6A7-7BBC9C031C44}"/>
  <bookViews>
    <workbookView xWindow="-108" yWindow="-108" windowWidth="23256" windowHeight="12456" xr2:uid="{42FB5C55-715F-44AE-B9C4-568878EF0453}"/>
  </bookViews>
  <sheets>
    <sheet name="Index" sheetId="18" r:id="rId1"/>
    <sheet name="Assumptions" sheetId="17" r:id="rId2"/>
    <sheet name="P&amp;L Inputs" sheetId="1" r:id="rId3"/>
    <sheet name="BS Inputs" sheetId="2" r:id="rId4"/>
    <sheet name="CF Inputs" sheetId="3" r:id="rId5"/>
    <sheet name="Revenue Buildup" sheetId="4" r:id="rId6"/>
    <sheet name="Cost Buildup" sheetId="19" r:id="rId7"/>
    <sheet name="Supporting Schedules" sheetId="21" r:id="rId8"/>
    <sheet name="Common Sizing Statement" sheetId="6" r:id="rId9"/>
    <sheet name="Income Statement" sheetId="7" r:id="rId10"/>
    <sheet name="Balance Sheet" sheetId="8" r:id="rId11"/>
    <sheet name="Cash Flow Statement" sheetId="20" r:id="rId12"/>
    <sheet name="DCF Valuation" sheetId="10" r:id="rId13"/>
    <sheet name="Comps" sheetId="13" r:id="rId14"/>
    <sheet name="Ratio Analysis" sheetId="9" r:id="rId15"/>
    <sheet name="Comps Data" sheetId="14" r:id="rId16"/>
    <sheet name="WACC" sheetId="12" r:id="rId17"/>
    <sheet name="Equity Beta" sheetId="11" r:id="rId18"/>
    <sheet name="Market Return" sheetId="15" r:id="rId19"/>
    <sheet name="Summary" sheetId="16" r:id="rId2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8" i="7" l="1"/>
  <c r="L18" i="7"/>
  <c r="M18" i="7"/>
  <c r="N18" i="7"/>
  <c r="O18" i="7"/>
  <c r="P18" i="7"/>
  <c r="Q18" i="7"/>
  <c r="R18" i="7"/>
  <c r="S18" i="7"/>
  <c r="J18" i="7"/>
  <c r="F22" i="21"/>
  <c r="J16" i="21"/>
  <c r="J15" i="21"/>
  <c r="J14" i="21"/>
  <c r="K10" i="21"/>
  <c r="L10" i="21"/>
  <c r="M10" i="21"/>
  <c r="N10" i="21"/>
  <c r="J22" i="19"/>
  <c r="J25" i="19"/>
  <c r="J30" i="19"/>
  <c r="J19" i="19"/>
  <c r="J11" i="19"/>
  <c r="J10" i="19" s="1"/>
  <c r="X12" i="11" l="1"/>
  <c r="T12" i="11"/>
  <c r="P12" i="11"/>
  <c r="L12" i="11"/>
  <c r="H12" i="11"/>
  <c r="E10" i="19"/>
  <c r="M13" i="16"/>
  <c r="M11" i="16"/>
  <c r="L11" i="16"/>
  <c r="L13" i="16"/>
  <c r="K13" i="16"/>
  <c r="K11" i="16"/>
  <c r="H9" i="17" l="1"/>
  <c r="E18" i="4"/>
  <c r="E19" i="4" s="1"/>
  <c r="E7" i="18"/>
  <c r="E8" i="18" s="1"/>
  <c r="E9" i="18" s="1"/>
  <c r="E10" i="18" s="1"/>
  <c r="E11" i="18" s="1"/>
  <c r="E12" i="18" s="1"/>
  <c r="E13" i="18" s="1"/>
  <c r="E14" i="18" s="1"/>
  <c r="E15" i="18" s="1"/>
  <c r="E16" i="18" s="1"/>
  <c r="E17" i="18" s="1"/>
  <c r="E18" i="18" s="1"/>
  <c r="E19" i="18" s="1"/>
  <c r="E20" i="18" s="1"/>
  <c r="E21" i="18" s="1"/>
  <c r="E22" i="18" s="1"/>
  <c r="E23" i="18" s="1"/>
  <c r="E24" i="18" s="1"/>
  <c r="J15" i="12" l="1"/>
  <c r="J14" i="12"/>
  <c r="J21" i="13" a="1"/>
  <c r="J21" i="13" s="1"/>
  <c r="S17" i="13"/>
  <c r="R17" i="13"/>
  <c r="E10" i="10" s="1"/>
  <c r="O17" i="13"/>
  <c r="M17" i="13"/>
  <c r="J17" i="13"/>
  <c r="I17" i="13"/>
  <c r="G17" i="12" s="1"/>
  <c r="E27" i="12" s="1"/>
  <c r="G17" i="13"/>
  <c r="F17" i="13"/>
  <c r="H17" i="13" s="1"/>
  <c r="G10" i="13"/>
  <c r="G11" i="13"/>
  <c r="G12" i="13"/>
  <c r="S10" i="13"/>
  <c r="S14" i="13" s="1"/>
  <c r="S11" i="13"/>
  <c r="R10" i="13"/>
  <c r="R15" i="13" s="1"/>
  <c r="F22" i="13" s="1"/>
  <c r="R11" i="13"/>
  <c r="R12" i="13"/>
  <c r="O10" i="13"/>
  <c r="O11" i="13"/>
  <c r="O12" i="13"/>
  <c r="M10" i="13"/>
  <c r="M11" i="13"/>
  <c r="M12" i="13"/>
  <c r="J10" i="13"/>
  <c r="J11" i="13"/>
  <c r="J12" i="13"/>
  <c r="I10" i="13"/>
  <c r="G10" i="12" s="1"/>
  <c r="I11" i="13"/>
  <c r="G11" i="12" s="1"/>
  <c r="I12" i="13"/>
  <c r="G12" i="12" s="1"/>
  <c r="H10" i="13"/>
  <c r="H11" i="13"/>
  <c r="K11" i="13" s="1"/>
  <c r="N11" i="13" s="1"/>
  <c r="F10" i="13"/>
  <c r="F11" i="13"/>
  <c r="F12" i="13"/>
  <c r="G8" i="14"/>
  <c r="G9" i="14"/>
  <c r="G10" i="14"/>
  <c r="G11" i="14"/>
  <c r="X273" i="11"/>
  <c r="X272" i="11"/>
  <c r="X271" i="11"/>
  <c r="X270" i="11"/>
  <c r="X269" i="11"/>
  <c r="X268" i="11"/>
  <c r="X267" i="11"/>
  <c r="X266" i="11"/>
  <c r="X265" i="11"/>
  <c r="X264" i="11"/>
  <c r="X263" i="11"/>
  <c r="X262" i="11"/>
  <c r="X261" i="11"/>
  <c r="X260" i="11"/>
  <c r="X259" i="11"/>
  <c r="X258" i="11"/>
  <c r="X257" i="11"/>
  <c r="X256" i="11"/>
  <c r="X255" i="11"/>
  <c r="X254" i="11"/>
  <c r="X253" i="11"/>
  <c r="X252" i="11"/>
  <c r="X251" i="11"/>
  <c r="X250" i="11"/>
  <c r="X249" i="11"/>
  <c r="X248" i="11"/>
  <c r="X247" i="11"/>
  <c r="X246" i="11"/>
  <c r="X245" i="11"/>
  <c r="X244" i="11"/>
  <c r="X243" i="11"/>
  <c r="X242" i="11"/>
  <c r="X241" i="11"/>
  <c r="X240" i="11"/>
  <c r="X239" i="11"/>
  <c r="X238" i="11"/>
  <c r="X237" i="11"/>
  <c r="X236" i="11"/>
  <c r="X235" i="11"/>
  <c r="X234" i="11"/>
  <c r="X233" i="11"/>
  <c r="X232" i="11"/>
  <c r="X231" i="11"/>
  <c r="X230" i="11"/>
  <c r="X229" i="11"/>
  <c r="X228" i="11"/>
  <c r="X227" i="11"/>
  <c r="X226" i="11"/>
  <c r="X225" i="11"/>
  <c r="X224" i="11"/>
  <c r="X223" i="11"/>
  <c r="X222" i="11"/>
  <c r="X221" i="11"/>
  <c r="X220" i="11"/>
  <c r="X219" i="11"/>
  <c r="X218" i="11"/>
  <c r="X217" i="11"/>
  <c r="X216" i="11"/>
  <c r="X215" i="11"/>
  <c r="X214" i="11"/>
  <c r="X213" i="11"/>
  <c r="X212" i="11"/>
  <c r="X211" i="11"/>
  <c r="X210" i="11"/>
  <c r="X209" i="11"/>
  <c r="X208" i="11"/>
  <c r="X207" i="11"/>
  <c r="X206" i="11"/>
  <c r="X205" i="11"/>
  <c r="X204" i="11"/>
  <c r="X203" i="11"/>
  <c r="X202" i="11"/>
  <c r="X201" i="11"/>
  <c r="X200" i="11"/>
  <c r="X199" i="11"/>
  <c r="X198" i="11"/>
  <c r="X197" i="11"/>
  <c r="X196" i="11"/>
  <c r="X195" i="11"/>
  <c r="X194" i="11"/>
  <c r="X193" i="11"/>
  <c r="X192" i="11"/>
  <c r="X191" i="11"/>
  <c r="X190" i="11"/>
  <c r="X189" i="11"/>
  <c r="X188" i="11"/>
  <c r="X187" i="11"/>
  <c r="X186" i="11"/>
  <c r="X185" i="11"/>
  <c r="X184" i="11"/>
  <c r="X183" i="11"/>
  <c r="X182" i="11"/>
  <c r="X181" i="11"/>
  <c r="X180" i="11"/>
  <c r="X179" i="11"/>
  <c r="X178" i="11"/>
  <c r="X177" i="11"/>
  <c r="X176" i="11"/>
  <c r="X175" i="11"/>
  <c r="X174" i="11"/>
  <c r="X173" i="11"/>
  <c r="X172" i="11"/>
  <c r="X171" i="11"/>
  <c r="X170" i="11"/>
  <c r="X169" i="11"/>
  <c r="X168" i="11"/>
  <c r="X167" i="11"/>
  <c r="X166" i="11"/>
  <c r="X165" i="11"/>
  <c r="X164" i="11"/>
  <c r="X163" i="11"/>
  <c r="X162" i="11"/>
  <c r="X161" i="11"/>
  <c r="X160" i="11"/>
  <c r="X159" i="11"/>
  <c r="X158" i="11"/>
  <c r="X157" i="11"/>
  <c r="X156" i="11"/>
  <c r="X155" i="11"/>
  <c r="X154" i="11"/>
  <c r="X153" i="11"/>
  <c r="X152" i="11"/>
  <c r="X151" i="11"/>
  <c r="X150" i="11"/>
  <c r="X149" i="11"/>
  <c r="X148" i="11"/>
  <c r="X147" i="11"/>
  <c r="X146" i="11"/>
  <c r="X145" i="11"/>
  <c r="X144" i="11"/>
  <c r="X143" i="11"/>
  <c r="X142" i="11"/>
  <c r="X141"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T273" i="11"/>
  <c r="T272" i="11"/>
  <c r="T271" i="11"/>
  <c r="T270" i="11"/>
  <c r="T269" i="11"/>
  <c r="T268" i="11"/>
  <c r="T267" i="11"/>
  <c r="T266" i="11"/>
  <c r="T265" i="11"/>
  <c r="T264" i="11"/>
  <c r="T263" i="11"/>
  <c r="T262" i="11"/>
  <c r="T261" i="11"/>
  <c r="T260" i="11"/>
  <c r="T259" i="11"/>
  <c r="T258" i="11"/>
  <c r="T257" i="11"/>
  <c r="T256" i="11"/>
  <c r="T255" i="11"/>
  <c r="T254" i="11"/>
  <c r="T253" i="11"/>
  <c r="T252" i="11"/>
  <c r="T251" i="11"/>
  <c r="T250" i="11"/>
  <c r="T249" i="11"/>
  <c r="T248" i="11"/>
  <c r="T247" i="11"/>
  <c r="T246" i="11"/>
  <c r="T245" i="11"/>
  <c r="T244" i="11"/>
  <c r="T243" i="11"/>
  <c r="T242" i="11"/>
  <c r="T241" i="11"/>
  <c r="T240" i="11"/>
  <c r="T239" i="11"/>
  <c r="T238" i="11"/>
  <c r="T237" i="11"/>
  <c r="T236" i="11"/>
  <c r="T235" i="11"/>
  <c r="T234" i="11"/>
  <c r="T233" i="11"/>
  <c r="T232" i="11"/>
  <c r="T231" i="11"/>
  <c r="T230" i="11"/>
  <c r="T229" i="11"/>
  <c r="T228" i="11"/>
  <c r="T227" i="11"/>
  <c r="T226" i="11"/>
  <c r="T225" i="11"/>
  <c r="T224" i="11"/>
  <c r="T223" i="11"/>
  <c r="T222" i="11"/>
  <c r="T221" i="11"/>
  <c r="T220" i="11"/>
  <c r="T219" i="11"/>
  <c r="T218" i="11"/>
  <c r="T217" i="11"/>
  <c r="T216" i="11"/>
  <c r="T215" i="11"/>
  <c r="T214" i="11"/>
  <c r="T213" i="11"/>
  <c r="T212" i="11"/>
  <c r="T211" i="11"/>
  <c r="T210" i="11"/>
  <c r="T209" i="11"/>
  <c r="T208" i="11"/>
  <c r="T207" i="11"/>
  <c r="T206" i="11"/>
  <c r="T205" i="11"/>
  <c r="T204" i="11"/>
  <c r="T203" i="11"/>
  <c r="T202" i="11"/>
  <c r="T201" i="11"/>
  <c r="T200" i="11"/>
  <c r="T199" i="11"/>
  <c r="T198" i="11"/>
  <c r="T197" i="11"/>
  <c r="T196" i="11"/>
  <c r="T195" i="11"/>
  <c r="T194" i="11"/>
  <c r="T193" i="11"/>
  <c r="T192" i="11"/>
  <c r="T191" i="11"/>
  <c r="T190" i="11"/>
  <c r="T189" i="11"/>
  <c r="T188" i="11"/>
  <c r="T187" i="11"/>
  <c r="T186" i="11"/>
  <c r="T185" i="11"/>
  <c r="T184" i="11"/>
  <c r="T183" i="11"/>
  <c r="T182" i="11"/>
  <c r="T181" i="11"/>
  <c r="T180" i="11"/>
  <c r="T179" i="11"/>
  <c r="T178" i="11"/>
  <c r="T177" i="11"/>
  <c r="T176" i="11"/>
  <c r="T175" i="11"/>
  <c r="T174" i="11"/>
  <c r="T173" i="11"/>
  <c r="T172" i="11"/>
  <c r="T171" i="11"/>
  <c r="T170" i="11"/>
  <c r="T169" i="11"/>
  <c r="T168" i="11"/>
  <c r="T167" i="11"/>
  <c r="T166" i="11"/>
  <c r="T165" i="11"/>
  <c r="T164" i="11"/>
  <c r="T163" i="11"/>
  <c r="T162" i="11"/>
  <c r="T161" i="11"/>
  <c r="T160" i="11"/>
  <c r="T159" i="11"/>
  <c r="T158" i="11"/>
  <c r="T157" i="11"/>
  <c r="T156" i="11"/>
  <c r="T155" i="11"/>
  <c r="T154" i="11"/>
  <c r="T153" i="11"/>
  <c r="T152" i="11"/>
  <c r="T151" i="11"/>
  <c r="T150" i="11"/>
  <c r="T149" i="11"/>
  <c r="T148" i="11"/>
  <c r="T147" i="11"/>
  <c r="T146" i="11"/>
  <c r="T145" i="11"/>
  <c r="T144" i="11"/>
  <c r="T143" i="11"/>
  <c r="T142" i="11"/>
  <c r="T141" i="11"/>
  <c r="T140" i="11"/>
  <c r="T139" i="11"/>
  <c r="T138" i="11"/>
  <c r="T137" i="11"/>
  <c r="T136" i="11"/>
  <c r="T135" i="11"/>
  <c r="T134" i="11"/>
  <c r="T133" i="11"/>
  <c r="T132" i="11"/>
  <c r="T131" i="11"/>
  <c r="T130" i="11"/>
  <c r="T129" i="11"/>
  <c r="T128" i="11"/>
  <c r="T127" i="11"/>
  <c r="T126" i="11"/>
  <c r="T125" i="11"/>
  <c r="T124" i="11"/>
  <c r="T123" i="11"/>
  <c r="T122" i="11"/>
  <c r="T121" i="11"/>
  <c r="T120" i="11"/>
  <c r="T119" i="11"/>
  <c r="T118" i="11"/>
  <c r="T117" i="11"/>
  <c r="T116" i="11"/>
  <c r="T115" i="11"/>
  <c r="T114" i="11"/>
  <c r="T113" i="11"/>
  <c r="T112" i="11"/>
  <c r="T111" i="11"/>
  <c r="T110" i="11"/>
  <c r="T109" i="11"/>
  <c r="T108" i="11"/>
  <c r="T107" i="11"/>
  <c r="T106" i="11"/>
  <c r="T105" i="11"/>
  <c r="T104" i="11"/>
  <c r="T103" i="11"/>
  <c r="T102" i="11"/>
  <c r="T101" i="11"/>
  <c r="T100" i="11"/>
  <c r="T99" i="11"/>
  <c r="T98" i="11"/>
  <c r="T97" i="11"/>
  <c r="T96" i="11"/>
  <c r="T95" i="11"/>
  <c r="T94" i="11"/>
  <c r="T93" i="11"/>
  <c r="T92" i="11"/>
  <c r="T91" i="11"/>
  <c r="T90" i="11"/>
  <c r="T89" i="11"/>
  <c r="T88" i="11"/>
  <c r="T87" i="11"/>
  <c r="T86" i="11"/>
  <c r="T85" i="11"/>
  <c r="T84" i="11"/>
  <c r="T83" i="11"/>
  <c r="T82" i="11"/>
  <c r="T81" i="11"/>
  <c r="T80" i="11"/>
  <c r="T79" i="11"/>
  <c r="T78" i="11"/>
  <c r="T77" i="11"/>
  <c r="T76" i="11"/>
  <c r="T75" i="11"/>
  <c r="T74" i="11"/>
  <c r="T73" i="11"/>
  <c r="T72" i="11"/>
  <c r="T71" i="11"/>
  <c r="T70" i="11"/>
  <c r="T69" i="11"/>
  <c r="T68" i="11"/>
  <c r="T67" i="11"/>
  <c r="T66"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8" i="11"/>
  <c r="T37" i="11"/>
  <c r="T36" i="11"/>
  <c r="T35" i="11"/>
  <c r="T34" i="11"/>
  <c r="T33" i="11"/>
  <c r="T32" i="11"/>
  <c r="T31" i="11"/>
  <c r="T30" i="11"/>
  <c r="T29" i="11"/>
  <c r="T28" i="11"/>
  <c r="T27" i="11"/>
  <c r="T26" i="11"/>
  <c r="T25" i="11"/>
  <c r="T24" i="11"/>
  <c r="T23" i="11"/>
  <c r="T22" i="11"/>
  <c r="T21" i="11"/>
  <c r="T20" i="11"/>
  <c r="T19" i="11"/>
  <c r="T18" i="11"/>
  <c r="T17" i="11"/>
  <c r="T16" i="11"/>
  <c r="T15" i="11"/>
  <c r="T14" i="11"/>
  <c r="T13" i="11"/>
  <c r="P273" i="11"/>
  <c r="P272" i="11"/>
  <c r="P271" i="11"/>
  <c r="P270" i="11"/>
  <c r="P269" i="11"/>
  <c r="P268" i="11"/>
  <c r="P267" i="11"/>
  <c r="P266" i="11"/>
  <c r="P265" i="11"/>
  <c r="P264" i="11"/>
  <c r="P263" i="11"/>
  <c r="P262" i="11"/>
  <c r="P261" i="11"/>
  <c r="P260" i="11"/>
  <c r="P259" i="11"/>
  <c r="P258" i="11"/>
  <c r="P257" i="11"/>
  <c r="P256" i="11"/>
  <c r="P255" i="11"/>
  <c r="P254" i="11"/>
  <c r="P253" i="11"/>
  <c r="P252" i="11"/>
  <c r="P251" i="11"/>
  <c r="P250" i="11"/>
  <c r="P249" i="11"/>
  <c r="P248" i="11"/>
  <c r="P247" i="11"/>
  <c r="P246" i="11"/>
  <c r="P245" i="11"/>
  <c r="P244" i="11"/>
  <c r="P243" i="11"/>
  <c r="P242" i="11"/>
  <c r="P241" i="11"/>
  <c r="P240" i="11"/>
  <c r="P239" i="11"/>
  <c r="P238" i="11"/>
  <c r="P237" i="11"/>
  <c r="P236" i="11"/>
  <c r="P235" i="11"/>
  <c r="P234" i="11"/>
  <c r="P233" i="11"/>
  <c r="P232" i="11"/>
  <c r="P231" i="11"/>
  <c r="P230" i="11"/>
  <c r="P229" i="11"/>
  <c r="P228" i="11"/>
  <c r="P227" i="11"/>
  <c r="P226" i="11"/>
  <c r="P225" i="11"/>
  <c r="P224" i="11"/>
  <c r="P223" i="11"/>
  <c r="P222" i="11"/>
  <c r="P221" i="11"/>
  <c r="P220" i="11"/>
  <c r="P219" i="11"/>
  <c r="P218" i="11"/>
  <c r="P217" i="11"/>
  <c r="P216" i="11"/>
  <c r="P215" i="11"/>
  <c r="P214" i="11"/>
  <c r="P213" i="11"/>
  <c r="P212" i="11"/>
  <c r="P211" i="11"/>
  <c r="P210" i="11"/>
  <c r="P209" i="11"/>
  <c r="P208" i="11"/>
  <c r="P207" i="11"/>
  <c r="P206" i="11"/>
  <c r="P205" i="11"/>
  <c r="P204" i="11"/>
  <c r="P203" i="11"/>
  <c r="P202" i="11"/>
  <c r="P201" i="11"/>
  <c r="P200" i="11"/>
  <c r="P199" i="11"/>
  <c r="P198" i="11"/>
  <c r="P197" i="11"/>
  <c r="P196" i="11"/>
  <c r="P195" i="11"/>
  <c r="P194" i="11"/>
  <c r="P193" i="11"/>
  <c r="P192" i="11"/>
  <c r="P191" i="11"/>
  <c r="P190" i="11"/>
  <c r="P189" i="11"/>
  <c r="P188" i="11"/>
  <c r="P187" i="11"/>
  <c r="P186" i="11"/>
  <c r="P185" i="11"/>
  <c r="P184" i="11"/>
  <c r="P183" i="11"/>
  <c r="P182" i="11"/>
  <c r="P181" i="11"/>
  <c r="P180" i="11"/>
  <c r="P179" i="11"/>
  <c r="P178" i="11"/>
  <c r="P177" i="11"/>
  <c r="P176" i="11"/>
  <c r="P175" i="11"/>
  <c r="P174" i="11"/>
  <c r="P173" i="11"/>
  <c r="P172" i="11"/>
  <c r="P171" i="11"/>
  <c r="P170" i="11"/>
  <c r="P169" i="11"/>
  <c r="P168" i="11"/>
  <c r="P167" i="11"/>
  <c r="P166" i="11"/>
  <c r="P165" i="11"/>
  <c r="P164" i="11"/>
  <c r="P163" i="11"/>
  <c r="P162" i="11"/>
  <c r="P161" i="11"/>
  <c r="P160" i="11"/>
  <c r="P159" i="11"/>
  <c r="P158" i="11"/>
  <c r="P157" i="11"/>
  <c r="P156" i="11"/>
  <c r="P155" i="11"/>
  <c r="P154" i="11"/>
  <c r="P153" i="11"/>
  <c r="P152" i="11"/>
  <c r="P151" i="11"/>
  <c r="P150" i="11"/>
  <c r="P149" i="11"/>
  <c r="P148" i="11"/>
  <c r="P147" i="11"/>
  <c r="P146" i="11"/>
  <c r="P145" i="11"/>
  <c r="P144" i="11"/>
  <c r="P143" i="11"/>
  <c r="P142" i="11"/>
  <c r="P141" i="11"/>
  <c r="P140" i="11"/>
  <c r="P139" i="11"/>
  <c r="P138" i="11"/>
  <c r="P137" i="11"/>
  <c r="P136" i="11"/>
  <c r="P135" i="11"/>
  <c r="P134" i="11"/>
  <c r="P133" i="11"/>
  <c r="P132" i="11"/>
  <c r="P131" i="11"/>
  <c r="P130" i="11"/>
  <c r="P129" i="11"/>
  <c r="P128" i="11"/>
  <c r="P127" i="11"/>
  <c r="P126" i="11"/>
  <c r="P125" i="11"/>
  <c r="P124" i="11"/>
  <c r="P123" i="11"/>
  <c r="P122" i="11"/>
  <c r="P121" i="11"/>
  <c r="P120" i="11"/>
  <c r="P119" i="11"/>
  <c r="P118" i="11"/>
  <c r="P117" i="11"/>
  <c r="P116" i="11"/>
  <c r="P115" i="11"/>
  <c r="P114" i="11"/>
  <c r="P113" i="11"/>
  <c r="P112" i="11"/>
  <c r="P111" i="11"/>
  <c r="P110" i="11"/>
  <c r="P109" i="11"/>
  <c r="P108" i="11"/>
  <c r="P107" i="11"/>
  <c r="P106" i="11"/>
  <c r="P105" i="11"/>
  <c r="P104" i="11"/>
  <c r="P103" i="11"/>
  <c r="P102" i="11"/>
  <c r="P101" i="11"/>
  <c r="P100" i="11"/>
  <c r="P99" i="11"/>
  <c r="P98" i="11"/>
  <c r="P97" i="11"/>
  <c r="P96" i="11"/>
  <c r="P95" i="11"/>
  <c r="P94" i="11"/>
  <c r="P93" i="11"/>
  <c r="P92" i="11"/>
  <c r="P91" i="11"/>
  <c r="P90" i="11"/>
  <c r="P89" i="11"/>
  <c r="P88" i="11"/>
  <c r="P87" i="11"/>
  <c r="P86" i="11"/>
  <c r="P85" i="11"/>
  <c r="P84" i="11"/>
  <c r="P83" i="11"/>
  <c r="P82" i="11"/>
  <c r="P81" i="11"/>
  <c r="P80" i="11"/>
  <c r="P79" i="11"/>
  <c r="P78" i="11"/>
  <c r="P77" i="11"/>
  <c r="P76" i="11"/>
  <c r="P75" i="11"/>
  <c r="P74" i="11"/>
  <c r="P73" i="11"/>
  <c r="P72" i="11"/>
  <c r="P71" i="11"/>
  <c r="P70" i="11"/>
  <c r="P69" i="11"/>
  <c r="P68" i="11"/>
  <c r="P67" i="11"/>
  <c r="P66" i="11"/>
  <c r="P65" i="11"/>
  <c r="P64" i="11"/>
  <c r="P63" i="11"/>
  <c r="P62" i="11"/>
  <c r="P61" i="11"/>
  <c r="P60" i="11"/>
  <c r="P59" i="11"/>
  <c r="P58" i="11"/>
  <c r="P57" i="11"/>
  <c r="P56" i="11"/>
  <c r="P55" i="11"/>
  <c r="P54" i="11"/>
  <c r="P53" i="11"/>
  <c r="P52" i="11"/>
  <c r="P51" i="11"/>
  <c r="P50" i="11"/>
  <c r="P49" i="11"/>
  <c r="P48" i="11"/>
  <c r="P47" i="11"/>
  <c r="P46" i="11"/>
  <c r="P45" i="11"/>
  <c r="P44" i="11"/>
  <c r="P43" i="11"/>
  <c r="P42" i="11"/>
  <c r="P41" i="11"/>
  <c r="P40" i="11"/>
  <c r="P39" i="11"/>
  <c r="P38" i="11"/>
  <c r="P37" i="11"/>
  <c r="P36" i="11"/>
  <c r="P35" i="11"/>
  <c r="P34" i="11"/>
  <c r="P33" i="11"/>
  <c r="P32" i="11"/>
  <c r="P31" i="11"/>
  <c r="P30" i="11"/>
  <c r="P29" i="11"/>
  <c r="P28" i="11"/>
  <c r="P27" i="11"/>
  <c r="P26" i="11"/>
  <c r="P25" i="11"/>
  <c r="P24" i="11"/>
  <c r="P23" i="11"/>
  <c r="P22" i="11"/>
  <c r="P21" i="11"/>
  <c r="P20" i="11"/>
  <c r="P19" i="11"/>
  <c r="P18" i="11"/>
  <c r="P17" i="11"/>
  <c r="P16" i="11"/>
  <c r="P15" i="11"/>
  <c r="P14" i="11"/>
  <c r="P13" i="11"/>
  <c r="L273" i="11"/>
  <c r="L272" i="11"/>
  <c r="L271" i="11"/>
  <c r="L270" i="11"/>
  <c r="L269" i="11"/>
  <c r="L268" i="11"/>
  <c r="L267" i="11"/>
  <c r="L266" i="11"/>
  <c r="L265" i="11"/>
  <c r="L264" i="11"/>
  <c r="L263" i="11"/>
  <c r="L262" i="11"/>
  <c r="L261" i="11"/>
  <c r="L260" i="11"/>
  <c r="L259" i="11"/>
  <c r="L258" i="11"/>
  <c r="L257" i="11"/>
  <c r="L256" i="11"/>
  <c r="L255" i="11"/>
  <c r="L254" i="11"/>
  <c r="L253" i="11"/>
  <c r="L252" i="11"/>
  <c r="L251" i="11"/>
  <c r="L250" i="11"/>
  <c r="L249" i="11"/>
  <c r="L248" i="11"/>
  <c r="L247" i="11"/>
  <c r="L246" i="11"/>
  <c r="L245" i="11"/>
  <c r="L244" i="11"/>
  <c r="L243" i="11"/>
  <c r="L242" i="11"/>
  <c r="L241" i="11"/>
  <c r="L240" i="11"/>
  <c r="L239" i="11"/>
  <c r="L238" i="11"/>
  <c r="L237" i="11"/>
  <c r="L236" i="11"/>
  <c r="L235" i="11"/>
  <c r="L234" i="11"/>
  <c r="L233" i="11"/>
  <c r="L232" i="11"/>
  <c r="L231" i="11"/>
  <c r="L230" i="11"/>
  <c r="L229" i="11"/>
  <c r="L228" i="11"/>
  <c r="L227" i="11"/>
  <c r="L226" i="11"/>
  <c r="L225" i="11"/>
  <c r="L224" i="11"/>
  <c r="L223" i="11"/>
  <c r="L222" i="11"/>
  <c r="L221" i="11"/>
  <c r="L220" i="11"/>
  <c r="L219" i="11"/>
  <c r="L218" i="11"/>
  <c r="L217" i="11"/>
  <c r="L216" i="11"/>
  <c r="L215" i="11"/>
  <c r="L214" i="11"/>
  <c r="L213" i="11"/>
  <c r="L212" i="11"/>
  <c r="L211" i="11"/>
  <c r="L210" i="11"/>
  <c r="L209" i="11"/>
  <c r="L208" i="11"/>
  <c r="L207" i="11"/>
  <c r="L206" i="11"/>
  <c r="L205" i="11"/>
  <c r="L204" i="11"/>
  <c r="L203" i="11"/>
  <c r="L202" i="11"/>
  <c r="L201" i="11"/>
  <c r="L200" i="11"/>
  <c r="L199" i="11"/>
  <c r="L198" i="11"/>
  <c r="L197" i="11"/>
  <c r="L196" i="11"/>
  <c r="L195" i="11"/>
  <c r="L194" i="11"/>
  <c r="L193" i="11"/>
  <c r="L192" i="11"/>
  <c r="L191" i="11"/>
  <c r="L190" i="11"/>
  <c r="L189" i="11"/>
  <c r="L188" i="11"/>
  <c r="L187" i="11"/>
  <c r="L186" i="11"/>
  <c r="L185" i="11"/>
  <c r="L184" i="11"/>
  <c r="L183" i="11"/>
  <c r="L182" i="11"/>
  <c r="L181" i="11"/>
  <c r="L180" i="11"/>
  <c r="L179" i="11"/>
  <c r="L178" i="11"/>
  <c r="L177" i="11"/>
  <c r="L176" i="11"/>
  <c r="L175" i="11"/>
  <c r="L174" i="11"/>
  <c r="L173" i="11"/>
  <c r="L172" i="11"/>
  <c r="L171" i="11"/>
  <c r="L170" i="11"/>
  <c r="L169" i="11"/>
  <c r="L168" i="11"/>
  <c r="L167" i="11"/>
  <c r="L166" i="11"/>
  <c r="L165" i="11"/>
  <c r="L164" i="11"/>
  <c r="L163" i="11"/>
  <c r="L162" i="11"/>
  <c r="L161" i="11"/>
  <c r="L160" i="11"/>
  <c r="L159" i="11"/>
  <c r="L158" i="11"/>
  <c r="L157" i="11"/>
  <c r="L156" i="11"/>
  <c r="L155" i="11"/>
  <c r="L154" i="11"/>
  <c r="L153" i="11"/>
  <c r="L152" i="11"/>
  <c r="L151" i="11"/>
  <c r="L150" i="11"/>
  <c r="L149" i="11"/>
  <c r="L148" i="11"/>
  <c r="L147" i="11"/>
  <c r="L146" i="11"/>
  <c r="L145" i="11"/>
  <c r="L144" i="11"/>
  <c r="L143" i="11"/>
  <c r="L142" i="11"/>
  <c r="L141" i="11"/>
  <c r="L140" i="11"/>
  <c r="L139" i="11"/>
  <c r="L138" i="11"/>
  <c r="L137" i="11"/>
  <c r="L136" i="11"/>
  <c r="L135" i="11"/>
  <c r="L134" i="11"/>
  <c r="L133" i="11"/>
  <c r="L132" i="11"/>
  <c r="L131" i="11"/>
  <c r="L130" i="11"/>
  <c r="L129" i="11"/>
  <c r="L128" i="11"/>
  <c r="L127" i="11"/>
  <c r="L126" i="11"/>
  <c r="L125" i="11"/>
  <c r="L124" i="11"/>
  <c r="L123" i="11"/>
  <c r="L122" i="11"/>
  <c r="L121" i="11"/>
  <c r="L120" i="11"/>
  <c r="L119" i="11"/>
  <c r="L118" i="11"/>
  <c r="L117" i="11"/>
  <c r="L116" i="11"/>
  <c r="L115" i="11"/>
  <c r="L114" i="11"/>
  <c r="L113" i="11"/>
  <c r="L112" i="11"/>
  <c r="L111" i="11"/>
  <c r="L110" i="11"/>
  <c r="L109" i="11"/>
  <c r="L108" i="11"/>
  <c r="L107" i="11"/>
  <c r="L106" i="11"/>
  <c r="L105" i="11"/>
  <c r="L104" i="11"/>
  <c r="L103" i="11"/>
  <c r="L102" i="11"/>
  <c r="L101" i="11"/>
  <c r="L100" i="11"/>
  <c r="L99" i="11"/>
  <c r="L98" i="11"/>
  <c r="L97" i="11"/>
  <c r="L96" i="11"/>
  <c r="L95" i="11"/>
  <c r="L94" i="11"/>
  <c r="L93" i="11"/>
  <c r="L92" i="11"/>
  <c r="L91" i="11"/>
  <c r="L90" i="11"/>
  <c r="L89" i="11"/>
  <c r="L88" i="11"/>
  <c r="L87" i="11"/>
  <c r="L86" i="11"/>
  <c r="L85" i="11"/>
  <c r="L84" i="11"/>
  <c r="L83" i="11"/>
  <c r="L82" i="11"/>
  <c r="L81" i="11"/>
  <c r="L80" i="11"/>
  <c r="L79" i="11"/>
  <c r="L78" i="11"/>
  <c r="L77" i="11"/>
  <c r="L76" i="11"/>
  <c r="L75" i="11"/>
  <c r="L74" i="11"/>
  <c r="L73" i="11"/>
  <c r="L72" i="11"/>
  <c r="L71" i="11"/>
  <c r="L70" i="11"/>
  <c r="L69" i="11"/>
  <c r="L68" i="11"/>
  <c r="L67" i="11"/>
  <c r="L66" i="11"/>
  <c r="L65" i="11"/>
  <c r="L64" i="11"/>
  <c r="L63" i="11"/>
  <c r="L62" i="11"/>
  <c r="L61" i="11"/>
  <c r="L60" i="11"/>
  <c r="L59" i="11"/>
  <c r="L58" i="11"/>
  <c r="L57" i="11"/>
  <c r="L56" i="11"/>
  <c r="L55" i="11"/>
  <c r="L54" i="11"/>
  <c r="L53" i="11"/>
  <c r="L52" i="11"/>
  <c r="L51" i="11"/>
  <c r="L50" i="11"/>
  <c r="L49" i="11"/>
  <c r="L48" i="11"/>
  <c r="L47" i="11"/>
  <c r="L46" i="11"/>
  <c r="L45" i="11"/>
  <c r="L44" i="11"/>
  <c r="L43" i="11"/>
  <c r="L42" i="11"/>
  <c r="L41" i="11"/>
  <c r="L40" i="11"/>
  <c r="L39" i="11"/>
  <c r="L38" i="11"/>
  <c r="L37" i="11"/>
  <c r="L36" i="11"/>
  <c r="L35" i="11"/>
  <c r="L34" i="11"/>
  <c r="L33" i="11"/>
  <c r="L32" i="11"/>
  <c r="L31" i="11"/>
  <c r="L30" i="11"/>
  <c r="L29" i="11"/>
  <c r="L28" i="11"/>
  <c r="L27" i="11"/>
  <c r="L26" i="11"/>
  <c r="L25" i="11"/>
  <c r="L24" i="11"/>
  <c r="L23" i="11"/>
  <c r="L22" i="11"/>
  <c r="L21" i="11"/>
  <c r="L20" i="11"/>
  <c r="L19" i="11"/>
  <c r="L18" i="11"/>
  <c r="L17" i="11"/>
  <c r="L16" i="11"/>
  <c r="L15" i="11"/>
  <c r="L14" i="11"/>
  <c r="L13" i="11"/>
  <c r="H273" i="11"/>
  <c r="H272" i="11"/>
  <c r="H271" i="11"/>
  <c r="H270" i="11"/>
  <c r="H269" i="11"/>
  <c r="H268" i="11"/>
  <c r="H267" i="11"/>
  <c r="H266" i="11"/>
  <c r="H265" i="11"/>
  <c r="H264" i="11"/>
  <c r="H263" i="11"/>
  <c r="H262" i="11"/>
  <c r="H261" i="11"/>
  <c r="H260" i="11"/>
  <c r="H259" i="11"/>
  <c r="H258" i="11"/>
  <c r="H257" i="11"/>
  <c r="H256" i="11"/>
  <c r="H255" i="11"/>
  <c r="H254" i="11"/>
  <c r="H253" i="11"/>
  <c r="H252" i="11"/>
  <c r="H251" i="11"/>
  <c r="H250" i="11"/>
  <c r="H249" i="11"/>
  <c r="H248" i="11"/>
  <c r="H247" i="11"/>
  <c r="H246" i="11"/>
  <c r="H245" i="11"/>
  <c r="H244" i="11"/>
  <c r="H243" i="11"/>
  <c r="H242" i="11"/>
  <c r="H241" i="11"/>
  <c r="H240" i="11"/>
  <c r="H239" i="11"/>
  <c r="H238" i="11"/>
  <c r="H237" i="11"/>
  <c r="H236" i="11"/>
  <c r="H235" i="11"/>
  <c r="H234" i="11"/>
  <c r="H233" i="11"/>
  <c r="H232" i="11"/>
  <c r="H231" i="11"/>
  <c r="H230" i="11"/>
  <c r="H229" i="11"/>
  <c r="H228" i="11"/>
  <c r="H227" i="11"/>
  <c r="H226" i="11"/>
  <c r="H225" i="11"/>
  <c r="H224" i="11"/>
  <c r="H223" i="11"/>
  <c r="H222" i="11"/>
  <c r="H221" i="11"/>
  <c r="H220" i="11"/>
  <c r="H219" i="11"/>
  <c r="H218" i="11"/>
  <c r="H217" i="11"/>
  <c r="H216" i="11"/>
  <c r="H215" i="11"/>
  <c r="H214" i="11"/>
  <c r="H213" i="11"/>
  <c r="H212" i="11"/>
  <c r="H211" i="11"/>
  <c r="H210" i="11"/>
  <c r="H209" i="11"/>
  <c r="H208" i="11"/>
  <c r="H207" i="11"/>
  <c r="H206" i="11"/>
  <c r="H205" i="11"/>
  <c r="H204" i="11"/>
  <c r="H203" i="11"/>
  <c r="H202" i="11"/>
  <c r="H201" i="11"/>
  <c r="H200" i="11"/>
  <c r="H199" i="11"/>
  <c r="H198" i="11"/>
  <c r="H197" i="11"/>
  <c r="H196" i="11"/>
  <c r="H195" i="11"/>
  <c r="H194" i="11"/>
  <c r="H193" i="11"/>
  <c r="H192" i="11"/>
  <c r="H191" i="11"/>
  <c r="H190" i="11"/>
  <c r="H189" i="11"/>
  <c r="H188" i="11"/>
  <c r="H187" i="11"/>
  <c r="H186" i="11"/>
  <c r="H185" i="11"/>
  <c r="H184" i="11"/>
  <c r="H183" i="11"/>
  <c r="H182" i="11"/>
  <c r="H181" i="11"/>
  <c r="H180" i="11"/>
  <c r="H179" i="11"/>
  <c r="H178" i="11"/>
  <c r="H177" i="11"/>
  <c r="H176" i="11"/>
  <c r="H175" i="11"/>
  <c r="H174" i="11"/>
  <c r="H173" i="11"/>
  <c r="H172" i="11"/>
  <c r="H171" i="11"/>
  <c r="H170" i="11"/>
  <c r="H169" i="11"/>
  <c r="H168" i="11"/>
  <c r="H167" i="11"/>
  <c r="H166" i="11"/>
  <c r="H165" i="11"/>
  <c r="H164" i="11"/>
  <c r="H163" i="11"/>
  <c r="H162" i="11"/>
  <c r="H161" i="11"/>
  <c r="H160" i="11"/>
  <c r="H159" i="11"/>
  <c r="H158" i="11"/>
  <c r="H157" i="11"/>
  <c r="H156" i="11"/>
  <c r="H155" i="11"/>
  <c r="H154" i="11"/>
  <c r="H153" i="11"/>
  <c r="H152" i="11"/>
  <c r="H151" i="11"/>
  <c r="H150" i="11"/>
  <c r="H149" i="11"/>
  <c r="H148" i="11"/>
  <c r="H147" i="11"/>
  <c r="H146" i="11"/>
  <c r="H145" i="11"/>
  <c r="H144" i="11"/>
  <c r="H143" i="11"/>
  <c r="H142" i="11"/>
  <c r="H141" i="11"/>
  <c r="H140" i="11"/>
  <c r="H139" i="11"/>
  <c r="H138" i="11"/>
  <c r="H137" i="11"/>
  <c r="H136" i="11"/>
  <c r="H135" i="11"/>
  <c r="H134" i="11"/>
  <c r="H133" i="11"/>
  <c r="H132" i="11"/>
  <c r="H131" i="11"/>
  <c r="H130" i="11"/>
  <c r="H129" i="11"/>
  <c r="H128" i="11"/>
  <c r="H127" i="11"/>
  <c r="H126" i="11"/>
  <c r="H125" i="11"/>
  <c r="H124" i="11"/>
  <c r="H123" i="11"/>
  <c r="H122" i="11"/>
  <c r="H121" i="11"/>
  <c r="H120" i="11"/>
  <c r="H119" i="11"/>
  <c r="H118" i="11"/>
  <c r="H117" i="11"/>
  <c r="H116" i="11"/>
  <c r="H115" i="11"/>
  <c r="H114" i="11"/>
  <c r="H113" i="11"/>
  <c r="H112" i="11"/>
  <c r="H111" i="11"/>
  <c r="H110" i="11"/>
  <c r="H109" i="11"/>
  <c r="H108" i="11"/>
  <c r="H107" i="11"/>
  <c r="H106" i="11"/>
  <c r="H105" i="11"/>
  <c r="H104" i="11"/>
  <c r="H103" i="11"/>
  <c r="H102" i="11"/>
  <c r="H101" i="11"/>
  <c r="H100" i="11"/>
  <c r="H99" i="11"/>
  <c r="H98" i="11"/>
  <c r="H97" i="11"/>
  <c r="H96" i="11"/>
  <c r="H95" i="11"/>
  <c r="H94" i="11"/>
  <c r="H93" i="11"/>
  <c r="H92" i="11"/>
  <c r="H91" i="11"/>
  <c r="H90" i="11"/>
  <c r="H89" i="11"/>
  <c r="H88" i="11"/>
  <c r="H87" i="11"/>
  <c r="H86" i="11"/>
  <c r="H85" i="11"/>
  <c r="H84" i="11"/>
  <c r="H83" i="11"/>
  <c r="H82" i="11"/>
  <c r="H81" i="11"/>
  <c r="H80" i="11"/>
  <c r="H79" i="11"/>
  <c r="H78" i="11"/>
  <c r="H77" i="11"/>
  <c r="H76" i="11"/>
  <c r="H75" i="11"/>
  <c r="H74" i="11"/>
  <c r="H73" i="11"/>
  <c r="H72" i="11"/>
  <c r="H71" i="11"/>
  <c r="H70" i="11"/>
  <c r="H69" i="11"/>
  <c r="H68" i="11"/>
  <c r="H67" i="11"/>
  <c r="H66" i="11"/>
  <c r="H65" i="11"/>
  <c r="H64" i="11"/>
  <c r="H63" i="11"/>
  <c r="H62" i="11"/>
  <c r="H61" i="11"/>
  <c r="H60" i="11"/>
  <c r="H59" i="11"/>
  <c r="H58" i="11"/>
  <c r="H57" i="11"/>
  <c r="H56" i="11"/>
  <c r="H55" i="11"/>
  <c r="H54" i="11"/>
  <c r="H53" i="11"/>
  <c r="H52" i="11"/>
  <c r="H51" i="11"/>
  <c r="H50" i="11"/>
  <c r="H49" i="11"/>
  <c r="H48" i="11"/>
  <c r="H47" i="11"/>
  <c r="H46" i="11"/>
  <c r="H45" i="11"/>
  <c r="H44" i="11"/>
  <c r="H43" i="11"/>
  <c r="H42" i="11"/>
  <c r="H41" i="11"/>
  <c r="H40" i="11"/>
  <c r="H39" i="11"/>
  <c r="H38" i="11"/>
  <c r="H37" i="11"/>
  <c r="H36" i="11"/>
  <c r="H35" i="11"/>
  <c r="H34" i="11"/>
  <c r="H33" i="11"/>
  <c r="H32" i="11"/>
  <c r="H31" i="11"/>
  <c r="H30" i="11"/>
  <c r="H29" i="11"/>
  <c r="H28" i="11"/>
  <c r="H27" i="11"/>
  <c r="H26" i="11"/>
  <c r="H25" i="11"/>
  <c r="H24" i="11"/>
  <c r="H23" i="11"/>
  <c r="H22" i="11"/>
  <c r="H21" i="11"/>
  <c r="H20" i="11"/>
  <c r="H19" i="11"/>
  <c r="H18" i="11"/>
  <c r="H17" i="11"/>
  <c r="H16" i="11"/>
  <c r="H15" i="11"/>
  <c r="H14" i="11"/>
  <c r="H13" i="11"/>
  <c r="E13" i="10"/>
  <c r="K34" i="10" s="1"/>
  <c r="E11" i="10"/>
  <c r="L20" i="10"/>
  <c r="M20" i="10"/>
  <c r="N20" i="10"/>
  <c r="O20" i="10"/>
  <c r="P20" i="10"/>
  <c r="Q20" i="10"/>
  <c r="R20" i="10"/>
  <c r="S20" i="10"/>
  <c r="T20" i="10"/>
  <c r="K20" i="10"/>
  <c r="J20" i="10"/>
  <c r="U18" i="10"/>
  <c r="L19" i="10"/>
  <c r="M19" i="10" s="1"/>
  <c r="N19" i="10" s="1"/>
  <c r="O19" i="10" s="1"/>
  <c r="P19" i="10" s="1"/>
  <c r="Q19" i="10" s="1"/>
  <c r="R19" i="10" s="1"/>
  <c r="S19" i="10" s="1"/>
  <c r="T19" i="10" s="1"/>
  <c r="G19" i="10"/>
  <c r="H19" i="10" s="1"/>
  <c r="I19" i="10" s="1"/>
  <c r="J19" i="10" s="1"/>
  <c r="G18" i="10"/>
  <c r="H18" i="10" s="1"/>
  <c r="I18" i="10" s="1"/>
  <c r="I20" i="10" s="1"/>
  <c r="G16" i="10"/>
  <c r="H16" i="10" s="1"/>
  <c r="I16" i="10" s="1"/>
  <c r="J16" i="10" s="1"/>
  <c r="K16" i="10" s="1"/>
  <c r="L16" i="10" s="1"/>
  <c r="M16" i="10" s="1"/>
  <c r="N16" i="10" s="1"/>
  <c r="O16" i="10" s="1"/>
  <c r="P16" i="10" s="1"/>
  <c r="Q16" i="10" s="1"/>
  <c r="R16" i="10" s="1"/>
  <c r="S16" i="10" s="1"/>
  <c r="T16" i="10" s="1"/>
  <c r="J12" i="15"/>
  <c r="J14" i="15" s="1"/>
  <c r="E37" i="12" s="1"/>
  <c r="E38" i="12" s="1"/>
  <c r="F7" i="6"/>
  <c r="G7" i="6" s="1"/>
  <c r="H7" i="6" s="1"/>
  <c r="I7" i="6" s="1"/>
  <c r="S15" i="13" l="1"/>
  <c r="F23" i="13" s="1"/>
  <c r="H23" i="13" s="1"/>
  <c r="H12" i="13"/>
  <c r="AB11" i="11"/>
  <c r="AB14" i="11"/>
  <c r="AB13" i="11"/>
  <c r="K11" i="12" s="1"/>
  <c r="AB12" i="11"/>
  <c r="K10" i="12" s="1"/>
  <c r="K12" i="12"/>
  <c r="G20" i="10"/>
  <c r="K17" i="13"/>
  <c r="F17" i="12"/>
  <c r="E26" i="12" s="1"/>
  <c r="E28" i="12" s="1"/>
  <c r="K12" i="13"/>
  <c r="F12" i="12"/>
  <c r="H12" i="12" s="1"/>
  <c r="I12" i="12" s="1"/>
  <c r="I23" i="13"/>
  <c r="K10" i="13"/>
  <c r="F10" i="12"/>
  <c r="H10" i="12" s="1"/>
  <c r="I10" i="12" s="1"/>
  <c r="R14" i="13"/>
  <c r="H21" i="13"/>
  <c r="H22" i="13" s="1"/>
  <c r="H20" i="10"/>
  <c r="F11" i="12"/>
  <c r="K39" i="10"/>
  <c r="P34" i="10" s="1"/>
  <c r="F20" i="10"/>
  <c r="H11" i="12"/>
  <c r="I11" i="12" s="1"/>
  <c r="Q11" i="13"/>
  <c r="J23" i="13"/>
  <c r="J22" i="13"/>
  <c r="E24" i="19"/>
  <c r="F24" i="19"/>
  <c r="G24" i="19"/>
  <c r="H24" i="19"/>
  <c r="I24" i="19"/>
  <c r="E29" i="21"/>
  <c r="E31" i="8" s="1"/>
  <c r="F29" i="21"/>
  <c r="F31" i="8" s="1"/>
  <c r="G29" i="21"/>
  <c r="H29" i="21"/>
  <c r="I29" i="21"/>
  <c r="I31" i="8" s="1"/>
  <c r="E23" i="21"/>
  <c r="F25" i="10" s="1"/>
  <c r="F23" i="21"/>
  <c r="G25" i="10" s="1"/>
  <c r="G23" i="21"/>
  <c r="H25" i="10" s="1"/>
  <c r="H23" i="21"/>
  <c r="I25" i="10" s="1"/>
  <c r="I23" i="21"/>
  <c r="J25" i="10" s="1"/>
  <c r="I37" i="8"/>
  <c r="I36" i="8"/>
  <c r="I35" i="8"/>
  <c r="I32" i="8"/>
  <c r="I28" i="8"/>
  <c r="I27" i="8"/>
  <c r="I21" i="8"/>
  <c r="I20" i="8"/>
  <c r="I19" i="8"/>
  <c r="I18" i="8"/>
  <c r="I14" i="8"/>
  <c r="J14" i="8" s="1"/>
  <c r="K14" i="8" s="1"/>
  <c r="I13" i="8"/>
  <c r="I11" i="8"/>
  <c r="I12" i="8"/>
  <c r="E24" i="21"/>
  <c r="E17" i="8" s="1"/>
  <c r="F24" i="21"/>
  <c r="F17" i="8" s="1"/>
  <c r="G24" i="21"/>
  <c r="G17" i="8" s="1"/>
  <c r="H24" i="21"/>
  <c r="H17" i="8" s="1"/>
  <c r="I24" i="21"/>
  <c r="J21" i="21" s="1"/>
  <c r="E34" i="20"/>
  <c r="E33" i="20"/>
  <c r="F33" i="20"/>
  <c r="G33" i="20"/>
  <c r="H33" i="20"/>
  <c r="I33" i="20"/>
  <c r="E11" i="21"/>
  <c r="F11" i="21"/>
  <c r="G11" i="21"/>
  <c r="H11" i="21"/>
  <c r="I11" i="21"/>
  <c r="E10" i="21"/>
  <c r="F10" i="21"/>
  <c r="G10" i="21"/>
  <c r="H10" i="21"/>
  <c r="I10" i="21"/>
  <c r="E9" i="21"/>
  <c r="F9" i="21"/>
  <c r="G9" i="21"/>
  <c r="H9" i="21"/>
  <c r="I9" i="21"/>
  <c r="E8" i="21"/>
  <c r="F8" i="21"/>
  <c r="G8" i="21"/>
  <c r="G12" i="21" s="1"/>
  <c r="H8" i="21"/>
  <c r="I8" i="21"/>
  <c r="E28" i="20"/>
  <c r="E29" i="19" s="1"/>
  <c r="F28" i="20"/>
  <c r="F29" i="19" s="1"/>
  <c r="G28" i="20"/>
  <c r="G29" i="19" s="1"/>
  <c r="H28" i="20"/>
  <c r="H29" i="19" s="1"/>
  <c r="I28" i="20"/>
  <c r="I29" i="19" s="1"/>
  <c r="E29" i="20"/>
  <c r="F29" i="20"/>
  <c r="G29" i="20"/>
  <c r="H29" i="20"/>
  <c r="I29" i="20"/>
  <c r="E27" i="20"/>
  <c r="F27" i="20"/>
  <c r="G27" i="20"/>
  <c r="H27" i="20"/>
  <c r="I27" i="20"/>
  <c r="E26" i="20"/>
  <c r="F26" i="20"/>
  <c r="G26" i="20"/>
  <c r="G30" i="20" s="1"/>
  <c r="H26" i="20"/>
  <c r="I26" i="20"/>
  <c r="E20" i="20"/>
  <c r="F20" i="20"/>
  <c r="G20" i="20"/>
  <c r="H20" i="20"/>
  <c r="I20" i="20"/>
  <c r="E19" i="20"/>
  <c r="F19" i="20"/>
  <c r="G19" i="20"/>
  <c r="H19" i="20"/>
  <c r="I19" i="20"/>
  <c r="E22" i="20"/>
  <c r="F22" i="20"/>
  <c r="G22" i="20"/>
  <c r="H22" i="20"/>
  <c r="I22" i="20"/>
  <c r="E21" i="20"/>
  <c r="F21" i="20"/>
  <c r="G21" i="20"/>
  <c r="H21" i="20"/>
  <c r="I21" i="20"/>
  <c r="E18" i="20"/>
  <c r="F18" i="20"/>
  <c r="F23" i="20" s="1"/>
  <c r="G18" i="20"/>
  <c r="H18" i="20"/>
  <c r="I18" i="20"/>
  <c r="E17" i="20"/>
  <c r="F17" i="20"/>
  <c r="G17" i="20"/>
  <c r="H17" i="20"/>
  <c r="I17" i="20"/>
  <c r="E16" i="20"/>
  <c r="F16" i="20"/>
  <c r="G16" i="20"/>
  <c r="H16" i="20"/>
  <c r="H23" i="20" s="1"/>
  <c r="I16" i="20"/>
  <c r="E10" i="20"/>
  <c r="F10" i="20"/>
  <c r="G10" i="20"/>
  <c r="H10" i="20"/>
  <c r="I10" i="20"/>
  <c r="J37" i="8"/>
  <c r="J28" i="8"/>
  <c r="K28" i="8" s="1"/>
  <c r="L28" i="8" s="1"/>
  <c r="M28" i="8" s="1"/>
  <c r="N28" i="8" s="1"/>
  <c r="O28" i="8" s="1"/>
  <c r="P28" i="8" s="1"/>
  <c r="Q28" i="8" s="1"/>
  <c r="R28" i="8" s="1"/>
  <c r="S28" i="8" s="1"/>
  <c r="J19" i="8"/>
  <c r="K19" i="8" s="1"/>
  <c r="L19" i="8" s="1"/>
  <c r="M19" i="8" s="1"/>
  <c r="N19" i="8" s="1"/>
  <c r="O19" i="8" s="1"/>
  <c r="P19" i="8" s="1"/>
  <c r="Q19" i="8" s="1"/>
  <c r="R19" i="8" s="1"/>
  <c r="S19" i="8" s="1"/>
  <c r="J11" i="8"/>
  <c r="K11" i="8" s="1"/>
  <c r="L11" i="8" s="1"/>
  <c r="M11" i="8" s="1"/>
  <c r="E32" i="8"/>
  <c r="F32" i="8"/>
  <c r="G32" i="8"/>
  <c r="H32" i="8"/>
  <c r="E28" i="8"/>
  <c r="F28" i="8"/>
  <c r="G28" i="8"/>
  <c r="H28" i="8"/>
  <c r="E27" i="8"/>
  <c r="F27" i="8"/>
  <c r="G27" i="8"/>
  <c r="H27" i="8"/>
  <c r="E37" i="8"/>
  <c r="F37" i="8"/>
  <c r="G37" i="8"/>
  <c r="H37" i="8"/>
  <c r="E36" i="8"/>
  <c r="F36" i="8"/>
  <c r="G36" i="8"/>
  <c r="H36" i="8"/>
  <c r="E35" i="8"/>
  <c r="F35" i="8"/>
  <c r="G35" i="8"/>
  <c r="H35" i="8"/>
  <c r="E19" i="8"/>
  <c r="F19" i="8"/>
  <c r="G19" i="8"/>
  <c r="H19" i="8"/>
  <c r="E21" i="8"/>
  <c r="F21" i="8"/>
  <c r="G21" i="8"/>
  <c r="H21" i="8"/>
  <c r="E20" i="8"/>
  <c r="F20" i="8"/>
  <c r="G20" i="8"/>
  <c r="H20" i="8"/>
  <c r="E18" i="8"/>
  <c r="F18" i="8"/>
  <c r="G18" i="8"/>
  <c r="H18" i="8"/>
  <c r="E14" i="8"/>
  <c r="F14" i="8"/>
  <c r="G14" i="8"/>
  <c r="H14" i="8"/>
  <c r="E13" i="8"/>
  <c r="F13" i="8"/>
  <c r="G13" i="8"/>
  <c r="H13" i="8"/>
  <c r="E12" i="8"/>
  <c r="F12" i="8"/>
  <c r="G12" i="8"/>
  <c r="H12" i="8"/>
  <c r="E11" i="8"/>
  <c r="F11" i="8"/>
  <c r="G11" i="8"/>
  <c r="H11" i="8"/>
  <c r="F14" i="7" l="1"/>
  <c r="E14" i="7"/>
  <c r="G23" i="20"/>
  <c r="L12" i="12"/>
  <c r="K15" i="12"/>
  <c r="E30" i="9"/>
  <c r="H12" i="21"/>
  <c r="H12" i="20" s="1"/>
  <c r="F30" i="9"/>
  <c r="K14" i="12"/>
  <c r="N10" i="13"/>
  <c r="Q10" i="13"/>
  <c r="Q12" i="13"/>
  <c r="N12" i="13"/>
  <c r="E36" i="10"/>
  <c r="K35" i="10" s="1"/>
  <c r="I30" i="9"/>
  <c r="I15" i="12"/>
  <c r="L10" i="12"/>
  <c r="F12" i="21"/>
  <c r="G23" i="13"/>
  <c r="K23" i="13"/>
  <c r="N17" i="13"/>
  <c r="G22" i="13" s="1"/>
  <c r="I22" i="13" s="1"/>
  <c r="K22" i="13" s="1"/>
  <c r="Q17" i="13"/>
  <c r="I12" i="21"/>
  <c r="J27" i="10" s="1"/>
  <c r="E12" i="21"/>
  <c r="E12" i="20" s="1"/>
  <c r="I14" i="7"/>
  <c r="H27" i="10"/>
  <c r="G12" i="20"/>
  <c r="G27" i="10"/>
  <c r="F12" i="20"/>
  <c r="I12" i="20"/>
  <c r="F27" i="10"/>
  <c r="I27" i="10"/>
  <c r="F30" i="20"/>
  <c r="I30" i="20"/>
  <c r="E30" i="20"/>
  <c r="I23" i="20"/>
  <c r="E23" i="20"/>
  <c r="H30" i="20"/>
  <c r="G21" i="21"/>
  <c r="F27" i="21"/>
  <c r="F28" i="21" s="1"/>
  <c r="G31" i="8"/>
  <c r="G30" i="9" s="1"/>
  <c r="F21" i="21"/>
  <c r="I27" i="21"/>
  <c r="I28" i="21" s="1"/>
  <c r="I17" i="8"/>
  <c r="H31" i="8"/>
  <c r="H30" i="9" s="1"/>
  <c r="I21" i="21"/>
  <c r="I22" i="21" s="1"/>
  <c r="J26" i="10" s="1"/>
  <c r="H27" i="21"/>
  <c r="H28" i="21" s="1"/>
  <c r="J27" i="21"/>
  <c r="J29" i="21" s="1"/>
  <c r="H21" i="21"/>
  <c r="G27" i="21"/>
  <c r="G28" i="21" s="1"/>
  <c r="G22" i="21"/>
  <c r="H26" i="10" s="1"/>
  <c r="H14" i="7"/>
  <c r="H22" i="21"/>
  <c r="I26" i="10" s="1"/>
  <c r="J22" i="21"/>
  <c r="K22" i="21" s="1"/>
  <c r="G14" i="7"/>
  <c r="I14" i="12"/>
  <c r="E22" i="12" s="1"/>
  <c r="L11" i="12"/>
  <c r="Q14" i="13"/>
  <c r="Q15" i="13"/>
  <c r="F21" i="13" s="1"/>
  <c r="G21" i="13" s="1"/>
  <c r="I21" i="13" s="1"/>
  <c r="K21" i="13" s="1"/>
  <c r="J20" i="8"/>
  <c r="K20" i="8" s="1"/>
  <c r="L20" i="8" s="1"/>
  <c r="M20" i="8" s="1"/>
  <c r="N20" i="8" s="1"/>
  <c r="O20" i="8" s="1"/>
  <c r="P20" i="8" s="1"/>
  <c r="Q20" i="8" s="1"/>
  <c r="R20" i="8" s="1"/>
  <c r="S20" i="8" s="1"/>
  <c r="J35" i="8"/>
  <c r="K35" i="8" s="1"/>
  <c r="L35" i="8" s="1"/>
  <c r="M35" i="8" s="1"/>
  <c r="N35" i="8" s="1"/>
  <c r="O35" i="8" s="1"/>
  <c r="P35" i="8" s="1"/>
  <c r="Q35" i="8" s="1"/>
  <c r="R35" i="8" s="1"/>
  <c r="S35" i="8" s="1"/>
  <c r="J18" i="8"/>
  <c r="K18" i="8" s="1"/>
  <c r="L18" i="8" s="1"/>
  <c r="M18" i="8" s="1"/>
  <c r="N18" i="8" s="1"/>
  <c r="O18" i="8" s="1"/>
  <c r="P18" i="8" s="1"/>
  <c r="Q18" i="8" s="1"/>
  <c r="R18" i="8" s="1"/>
  <c r="S18" i="8" s="1"/>
  <c r="J32" i="8"/>
  <c r="K32" i="8" s="1"/>
  <c r="L32" i="8" s="1"/>
  <c r="M32" i="8" s="1"/>
  <c r="N32" i="8" s="1"/>
  <c r="O32" i="8" s="1"/>
  <c r="P32" i="8" s="1"/>
  <c r="Q32" i="8" s="1"/>
  <c r="R32" i="8" s="1"/>
  <c r="S32" i="8" s="1"/>
  <c r="J21" i="8"/>
  <c r="K21" i="8" s="1"/>
  <c r="L21" i="8" s="1"/>
  <c r="M21" i="8" s="1"/>
  <c r="N21" i="8" s="1"/>
  <c r="O21" i="8" s="1"/>
  <c r="P21" i="8" s="1"/>
  <c r="Q21" i="8" s="1"/>
  <c r="R21" i="8" s="1"/>
  <c r="S21" i="8" s="1"/>
  <c r="F39" i="8"/>
  <c r="F54" i="6" s="1"/>
  <c r="E39" i="8"/>
  <c r="E46" i="6" s="1"/>
  <c r="I39" i="8"/>
  <c r="I50" i="6" s="1"/>
  <c r="G39" i="8"/>
  <c r="G46" i="6" s="1"/>
  <c r="H39" i="8"/>
  <c r="H52" i="6" s="1"/>
  <c r="L14" i="8"/>
  <c r="M14" i="8" s="1"/>
  <c r="N14" i="8" s="1"/>
  <c r="O14" i="8" s="1"/>
  <c r="P14" i="8" s="1"/>
  <c r="Q14" i="8" s="1"/>
  <c r="R14" i="8" s="1"/>
  <c r="S14" i="8" s="1"/>
  <c r="N11" i="8"/>
  <c r="K37" i="8"/>
  <c r="J12" i="16" l="1"/>
  <c r="J13" i="16" s="1"/>
  <c r="J10" i="16"/>
  <c r="J11" i="16" s="1"/>
  <c r="L15" i="12"/>
  <c r="L14" i="12"/>
  <c r="I53" i="6"/>
  <c r="J31" i="8"/>
  <c r="K27" i="21"/>
  <c r="K29" i="21" s="1"/>
  <c r="G26" i="10"/>
  <c r="E23" i="12"/>
  <c r="H46" i="6"/>
  <c r="E50" i="6"/>
  <c r="E54" i="6"/>
  <c r="F49" i="6"/>
  <c r="H49" i="6"/>
  <c r="F52" i="6"/>
  <c r="E53" i="6"/>
  <c r="F53" i="6"/>
  <c r="H54" i="6"/>
  <c r="F50" i="6"/>
  <c r="F46" i="6"/>
  <c r="G53" i="6"/>
  <c r="I46" i="6"/>
  <c r="I52" i="6"/>
  <c r="I54" i="6"/>
  <c r="H50" i="6"/>
  <c r="H53" i="6"/>
  <c r="F47" i="6"/>
  <c r="G54" i="6"/>
  <c r="E49" i="6"/>
  <c r="E47" i="6"/>
  <c r="E52" i="6"/>
  <c r="G49" i="6"/>
  <c r="G50" i="6"/>
  <c r="G47" i="6"/>
  <c r="I49" i="6"/>
  <c r="I47" i="6"/>
  <c r="H47" i="6"/>
  <c r="G52" i="6"/>
  <c r="O11" i="8"/>
  <c r="L37" i="8"/>
  <c r="K31" i="8" l="1"/>
  <c r="L27" i="21"/>
  <c r="L29" i="21" s="1"/>
  <c r="K26" i="10"/>
  <c r="J16" i="20"/>
  <c r="F56" i="6"/>
  <c r="G56" i="6"/>
  <c r="H56" i="6"/>
  <c r="E56" i="6"/>
  <c r="I56" i="6"/>
  <c r="P11" i="8"/>
  <c r="M37" i="8"/>
  <c r="L31" i="8" l="1"/>
  <c r="M27" i="21"/>
  <c r="M29" i="21" s="1"/>
  <c r="L26" i="10"/>
  <c r="L22" i="21"/>
  <c r="K16" i="20"/>
  <c r="Q11" i="8"/>
  <c r="N37" i="8"/>
  <c r="M31" i="8" l="1"/>
  <c r="N27" i="21"/>
  <c r="N29" i="21" s="1"/>
  <c r="M26" i="10"/>
  <c r="L16" i="20"/>
  <c r="M22" i="21"/>
  <c r="R11" i="8"/>
  <c r="O37" i="8"/>
  <c r="N31" i="8" l="1"/>
  <c r="O27" i="21"/>
  <c r="O29" i="21" s="1"/>
  <c r="M16" i="20"/>
  <c r="N26" i="10"/>
  <c r="N22" i="21"/>
  <c r="S11" i="8"/>
  <c r="P37" i="8"/>
  <c r="O31" i="8" l="1"/>
  <c r="P27" i="21"/>
  <c r="P29" i="21" s="1"/>
  <c r="O26" i="10"/>
  <c r="O22" i="21"/>
  <c r="N16" i="20"/>
  <c r="Q37" i="8"/>
  <c r="P31" i="8" l="1"/>
  <c r="Q27" i="21"/>
  <c r="Q29" i="21" s="1"/>
  <c r="O16" i="20"/>
  <c r="P26" i="10"/>
  <c r="P22" i="21"/>
  <c r="R37" i="8"/>
  <c r="Q31" i="8" l="1"/>
  <c r="R27" i="21"/>
  <c r="R29" i="21" s="1"/>
  <c r="Q26" i="10"/>
  <c r="Q22" i="21"/>
  <c r="P16" i="20"/>
  <c r="S37" i="8"/>
  <c r="R31" i="8" l="1"/>
  <c r="S27" i="21"/>
  <c r="S29" i="21" s="1"/>
  <c r="S31" i="8" s="1"/>
  <c r="R26" i="10"/>
  <c r="R22" i="21"/>
  <c r="Q16" i="20"/>
  <c r="S26" i="10" l="1"/>
  <c r="S22" i="21"/>
  <c r="R16" i="20"/>
  <c r="F5" i="9"/>
  <c r="G5" i="9" s="1"/>
  <c r="H5" i="9" s="1"/>
  <c r="I5" i="9" s="1"/>
  <c r="J5" i="9" s="1"/>
  <c r="K5" i="9" s="1"/>
  <c r="L5" i="9" s="1"/>
  <c r="M5" i="9" s="1"/>
  <c r="N5" i="9" s="1"/>
  <c r="O5" i="9" s="1"/>
  <c r="P5" i="9" s="1"/>
  <c r="Q5" i="9" s="1"/>
  <c r="R5" i="9" s="1"/>
  <c r="S5" i="9" s="1"/>
  <c r="F5" i="21"/>
  <c r="G5" i="21" s="1"/>
  <c r="H5" i="21" s="1"/>
  <c r="I5" i="21" s="1"/>
  <c r="J5" i="21" s="1"/>
  <c r="K5" i="21" s="1"/>
  <c r="L5" i="21" s="1"/>
  <c r="M5" i="21" s="1"/>
  <c r="N5" i="21" s="1"/>
  <c r="O5" i="21" s="1"/>
  <c r="P5" i="21" s="1"/>
  <c r="Q5" i="21" s="1"/>
  <c r="R5" i="21" s="1"/>
  <c r="S5" i="21" s="1"/>
  <c r="F5" i="20"/>
  <c r="G5" i="20" s="1"/>
  <c r="H5" i="20" s="1"/>
  <c r="I5" i="20" s="1"/>
  <c r="J5" i="20" s="1"/>
  <c r="K5" i="20" s="1"/>
  <c r="L5" i="20" s="1"/>
  <c r="M5" i="20" s="1"/>
  <c r="N5" i="20" s="1"/>
  <c r="O5" i="20" s="1"/>
  <c r="P5" i="20" s="1"/>
  <c r="Q5" i="20" s="1"/>
  <c r="R5" i="20" s="1"/>
  <c r="S5" i="20" s="1"/>
  <c r="F5" i="8"/>
  <c r="G5" i="8" s="1"/>
  <c r="H5" i="8" s="1"/>
  <c r="I5" i="8" s="1"/>
  <c r="J5" i="8" s="1"/>
  <c r="K5" i="8" s="1"/>
  <c r="L5" i="8" s="1"/>
  <c r="M5" i="8" s="1"/>
  <c r="N5" i="8" s="1"/>
  <c r="O5" i="8" s="1"/>
  <c r="P5" i="8" s="1"/>
  <c r="Q5" i="8" s="1"/>
  <c r="R5" i="8" s="1"/>
  <c r="S5" i="8" s="1"/>
  <c r="E17" i="7"/>
  <c r="E21" i="19"/>
  <c r="E22" i="19" s="1"/>
  <c r="F21" i="19"/>
  <c r="F22" i="19" s="1"/>
  <c r="G21" i="19"/>
  <c r="G22" i="19" s="1"/>
  <c r="H21" i="19"/>
  <c r="H22" i="19" s="1"/>
  <c r="I21" i="19"/>
  <c r="I22" i="19" s="1"/>
  <c r="S16" i="20" l="1"/>
  <c r="T26" i="10"/>
  <c r="K22" i="19"/>
  <c r="L22" i="19" s="1"/>
  <c r="M22" i="19" s="1"/>
  <c r="N22" i="19" s="1"/>
  <c r="O22" i="19" s="1"/>
  <c r="P22" i="19" s="1"/>
  <c r="Q22" i="19" s="1"/>
  <c r="R22" i="19" s="1"/>
  <c r="S22" i="19" s="1"/>
  <c r="J23" i="21"/>
  <c r="J21" i="19" s="1"/>
  <c r="F5" i="7"/>
  <c r="G5" i="7" s="1"/>
  <c r="H5" i="7" s="1"/>
  <c r="I5" i="7" s="1"/>
  <c r="J5" i="7" s="1"/>
  <c r="K5" i="7" s="1"/>
  <c r="L5" i="7" s="1"/>
  <c r="M5" i="7" s="1"/>
  <c r="N5" i="7" s="1"/>
  <c r="O5" i="7" s="1"/>
  <c r="P5" i="7" s="1"/>
  <c r="Q5" i="7" s="1"/>
  <c r="R5" i="7" s="1"/>
  <c r="S5" i="7" s="1"/>
  <c r="I23" i="17"/>
  <c r="E18" i="19"/>
  <c r="E12" i="7" s="1"/>
  <c r="F18" i="19"/>
  <c r="F12" i="7" s="1"/>
  <c r="G18" i="19"/>
  <c r="G12" i="7" s="1"/>
  <c r="H18" i="19"/>
  <c r="H12" i="7" s="1"/>
  <c r="I18" i="19"/>
  <c r="I12" i="7" s="1"/>
  <c r="E15" i="19"/>
  <c r="E11" i="7" s="1"/>
  <c r="F15" i="19"/>
  <c r="F11" i="7" s="1"/>
  <c r="G15" i="19"/>
  <c r="G11" i="7" s="1"/>
  <c r="H15" i="19"/>
  <c r="I15" i="19"/>
  <c r="I11" i="7" s="1"/>
  <c r="F10" i="19"/>
  <c r="G10" i="19"/>
  <c r="G9" i="7" s="1"/>
  <c r="H10" i="19"/>
  <c r="I10" i="19"/>
  <c r="F5" i="19"/>
  <c r="G5" i="19" s="1"/>
  <c r="H5" i="19" s="1"/>
  <c r="I5" i="19" s="1"/>
  <c r="J5" i="19" s="1"/>
  <c r="K5" i="19" s="1"/>
  <c r="L5" i="19" s="1"/>
  <c r="M5" i="19" s="1"/>
  <c r="N5" i="19" s="1"/>
  <c r="O5" i="19" s="1"/>
  <c r="P5" i="19" s="1"/>
  <c r="Q5" i="19" s="1"/>
  <c r="R5" i="19" s="1"/>
  <c r="S5" i="19" s="1"/>
  <c r="H15" i="17"/>
  <c r="I15" i="17" s="1"/>
  <c r="E24" i="4"/>
  <c r="F24" i="4"/>
  <c r="F26" i="4" s="1"/>
  <c r="G24" i="4"/>
  <c r="G26" i="4" s="1"/>
  <c r="H24" i="4"/>
  <c r="H26" i="4" s="1"/>
  <c r="I24" i="4"/>
  <c r="F18" i="4"/>
  <c r="G18" i="4"/>
  <c r="G17" i="7" s="1"/>
  <c r="H18" i="4"/>
  <c r="I18" i="4"/>
  <c r="E15" i="4"/>
  <c r="F15" i="4"/>
  <c r="G15" i="4"/>
  <c r="H15" i="4"/>
  <c r="I15" i="4"/>
  <c r="I18" i="7" s="1"/>
  <c r="E10" i="4"/>
  <c r="F10" i="4"/>
  <c r="G10" i="4"/>
  <c r="H10" i="4"/>
  <c r="I10" i="4"/>
  <c r="E12" i="4"/>
  <c r="E8" i="19" s="1"/>
  <c r="F12" i="4"/>
  <c r="G12" i="4"/>
  <c r="H12" i="4"/>
  <c r="I12" i="4"/>
  <c r="F5" i="4"/>
  <c r="G5" i="4"/>
  <c r="H5" i="4" s="1"/>
  <c r="I5" i="4" s="1"/>
  <c r="J5" i="4" s="1"/>
  <c r="K5" i="4" s="1"/>
  <c r="L5" i="4" s="1"/>
  <c r="M5" i="4" s="1"/>
  <c r="N5" i="4" s="1"/>
  <c r="O5" i="4" s="1"/>
  <c r="P5" i="4" s="1"/>
  <c r="Q5" i="4" s="1"/>
  <c r="R5" i="4" s="1"/>
  <c r="S5" i="4" s="1"/>
  <c r="I8" i="19" l="1"/>
  <c r="I13" i="4"/>
  <c r="J10" i="4"/>
  <c r="K10" i="4" s="1"/>
  <c r="L10" i="4" s="1"/>
  <c r="M10" i="4" s="1"/>
  <c r="N10" i="4" s="1"/>
  <c r="O10" i="4" s="1"/>
  <c r="P10" i="4" s="1"/>
  <c r="Q10" i="4" s="1"/>
  <c r="R10" i="4" s="1"/>
  <c r="S10" i="4" s="1"/>
  <c r="G8" i="19"/>
  <c r="G8" i="7" s="1"/>
  <c r="G13" i="4"/>
  <c r="F8" i="19"/>
  <c r="F8" i="7" s="1"/>
  <c r="F10" i="6" s="1"/>
  <c r="F13" i="4"/>
  <c r="E8" i="7"/>
  <c r="E13" i="19"/>
  <c r="H8" i="19"/>
  <c r="H8" i="7" s="1"/>
  <c r="H33" i="9" s="1"/>
  <c r="H13" i="4"/>
  <c r="G13" i="6"/>
  <c r="G19" i="6"/>
  <c r="E14" i="21"/>
  <c r="E10" i="6"/>
  <c r="E16" i="6"/>
  <c r="E19" i="6"/>
  <c r="F14" i="21"/>
  <c r="F33" i="9"/>
  <c r="F16" i="6"/>
  <c r="I13" i="19"/>
  <c r="I9" i="9" s="1"/>
  <c r="I8" i="7"/>
  <c r="I13" i="6" s="1"/>
  <c r="H10" i="6"/>
  <c r="H16" i="6"/>
  <c r="I26" i="4"/>
  <c r="J29" i="4" s="1"/>
  <c r="J28" i="4" s="1"/>
  <c r="F13" i="6"/>
  <c r="G14" i="6"/>
  <c r="I20" i="6"/>
  <c r="E13" i="6"/>
  <c r="F14" i="6"/>
  <c r="H14" i="6"/>
  <c r="G14" i="21"/>
  <c r="G33" i="9"/>
  <c r="G10" i="6"/>
  <c r="G16" i="6"/>
  <c r="G11" i="6"/>
  <c r="G35" i="9"/>
  <c r="G34" i="9"/>
  <c r="I14" i="6"/>
  <c r="E14" i="6"/>
  <c r="F16" i="4"/>
  <c r="F18" i="7"/>
  <c r="F20" i="6" s="1"/>
  <c r="H19" i="4"/>
  <c r="H17" i="7"/>
  <c r="H19" i="6" s="1"/>
  <c r="J24" i="21"/>
  <c r="K25" i="10"/>
  <c r="J14" i="7"/>
  <c r="J10" i="20"/>
  <c r="H16" i="4"/>
  <c r="H18" i="7"/>
  <c r="H20" i="6" s="1"/>
  <c r="I16" i="4"/>
  <c r="F19" i="4"/>
  <c r="F17" i="7"/>
  <c r="F19" i="6" s="1"/>
  <c r="E16" i="4"/>
  <c r="E18" i="7"/>
  <c r="E20" i="6" s="1"/>
  <c r="G16" i="4"/>
  <c r="G18" i="7"/>
  <c r="G20" i="6" s="1"/>
  <c r="I19" i="4"/>
  <c r="I17" i="7"/>
  <c r="I19" i="6" s="1"/>
  <c r="G19" i="4"/>
  <c r="H19" i="19"/>
  <c r="G10" i="7"/>
  <c r="G12" i="6" s="1"/>
  <c r="G16" i="21"/>
  <c r="G15" i="21"/>
  <c r="H11" i="19"/>
  <c r="F11" i="19"/>
  <c r="H16" i="19"/>
  <c r="I19" i="19"/>
  <c r="E19" i="19"/>
  <c r="H9" i="7"/>
  <c r="I11" i="19"/>
  <c r="F9" i="7"/>
  <c r="I9" i="7"/>
  <c r="H11" i="7"/>
  <c r="H13" i="6" s="1"/>
  <c r="G16" i="19"/>
  <c r="G11" i="19"/>
  <c r="F16" i="19"/>
  <c r="G19" i="19"/>
  <c r="I16" i="19"/>
  <c r="E16" i="19"/>
  <c r="F19" i="19"/>
  <c r="H13" i="19"/>
  <c r="H9" i="9" s="1"/>
  <c r="G13" i="19"/>
  <c r="G9" i="9" s="1"/>
  <c r="F13" i="19"/>
  <c r="F9" i="9" s="1"/>
  <c r="H14" i="21" l="1"/>
  <c r="J16" i="4"/>
  <c r="K16" i="4" s="1" a="1"/>
  <c r="J13" i="19"/>
  <c r="K29" i="4"/>
  <c r="L29" i="4" s="1"/>
  <c r="M29" i="4" s="1"/>
  <c r="N29" i="4" s="1"/>
  <c r="O29" i="4" s="1"/>
  <c r="P29" i="4" s="1"/>
  <c r="Q29" i="4" s="1"/>
  <c r="R29" i="4" s="1"/>
  <c r="S29" i="4" s="1"/>
  <c r="J30" i="4"/>
  <c r="K30" i="4" s="1"/>
  <c r="L30" i="4" s="1"/>
  <c r="M30" i="4" s="1"/>
  <c r="N30" i="4" s="1"/>
  <c r="O30" i="4" s="1"/>
  <c r="P30" i="4" s="1"/>
  <c r="Q30" i="4" s="1"/>
  <c r="R30" i="4" s="1"/>
  <c r="S30" i="4" s="1"/>
  <c r="K28" i="4"/>
  <c r="K19" i="19"/>
  <c r="L19" i="19" s="1"/>
  <c r="M19" i="19" s="1"/>
  <c r="N19" i="19" s="1"/>
  <c r="O19" i="19" s="1"/>
  <c r="P19" i="19" s="1"/>
  <c r="Q19" i="19" s="1"/>
  <c r="R19" i="19" s="1"/>
  <c r="S19" i="19" s="1"/>
  <c r="F11" i="6"/>
  <c r="F35" i="9"/>
  <c r="F34" i="9"/>
  <c r="G13" i="7"/>
  <c r="G10" i="9" s="1"/>
  <c r="J19" i="4"/>
  <c r="K19" i="4" s="1"/>
  <c r="I14" i="21"/>
  <c r="I33" i="9"/>
  <c r="I10" i="6"/>
  <c r="I16" i="6"/>
  <c r="I11" i="6"/>
  <c r="I34" i="9"/>
  <c r="I35" i="9"/>
  <c r="H11" i="6"/>
  <c r="H34" i="9"/>
  <c r="H35" i="9"/>
  <c r="G15" i="6"/>
  <c r="J17" i="8"/>
  <c r="K21" i="21"/>
  <c r="J26" i="4"/>
  <c r="J24" i="4" s="1"/>
  <c r="F10" i="7"/>
  <c r="F15" i="21"/>
  <c r="F16" i="21"/>
  <c r="I10" i="7"/>
  <c r="I16" i="21"/>
  <c r="I15" i="21"/>
  <c r="H10" i="7"/>
  <c r="H12" i="6" s="1"/>
  <c r="H16" i="21"/>
  <c r="H15" i="21"/>
  <c r="G18" i="21"/>
  <c r="G26" i="9" s="1"/>
  <c r="H13" i="7"/>
  <c r="H10" i="9" s="1"/>
  <c r="J16" i="19"/>
  <c r="K16" i="19" s="1"/>
  <c r="L16" i="19" s="1"/>
  <c r="L19" i="4"/>
  <c r="O16" i="4" l="1"/>
  <c r="L16" i="4"/>
  <c r="N16" i="4"/>
  <c r="Q16" i="4"/>
  <c r="M16" i="4"/>
  <c r="K16" i="4"/>
  <c r="S16" i="4"/>
  <c r="P16" i="4"/>
  <c r="R16" i="4"/>
  <c r="K14" i="21"/>
  <c r="L14" i="21" s="1"/>
  <c r="M14" i="21" s="1"/>
  <c r="J22" i="4"/>
  <c r="J23" i="4" s="1"/>
  <c r="J8" i="4"/>
  <c r="J15" i="4" s="1"/>
  <c r="G15" i="7"/>
  <c r="G11" i="9" s="1"/>
  <c r="L28" i="4"/>
  <c r="K26" i="4"/>
  <c r="K24" i="4" s="1"/>
  <c r="K8" i="4" s="1"/>
  <c r="K23" i="21"/>
  <c r="F13" i="7"/>
  <c r="F10" i="9" s="1"/>
  <c r="F12" i="6"/>
  <c r="I13" i="7"/>
  <c r="I10" i="9" s="1"/>
  <c r="I12" i="6"/>
  <c r="H15" i="7"/>
  <c r="H11" i="9" s="1"/>
  <c r="H15" i="6"/>
  <c r="F18" i="21"/>
  <c r="F26" i="9" s="1"/>
  <c r="I18" i="21"/>
  <c r="I26" i="9" s="1"/>
  <c r="H18" i="21"/>
  <c r="H26" i="9" s="1"/>
  <c r="M16" i="19"/>
  <c r="M19" i="4"/>
  <c r="G17" i="6" l="1"/>
  <c r="H22" i="10"/>
  <c r="K24" i="21"/>
  <c r="K21" i="19"/>
  <c r="M28" i="4"/>
  <c r="L26" i="4"/>
  <c r="L24" i="4" s="1"/>
  <c r="J18" i="4"/>
  <c r="J17" i="7" s="1"/>
  <c r="J9" i="4"/>
  <c r="J12" i="4" s="1"/>
  <c r="F15" i="7"/>
  <c r="F11" i="9" s="1"/>
  <c r="F15" i="6"/>
  <c r="K17" i="8"/>
  <c r="L21" i="21"/>
  <c r="I22" i="10"/>
  <c r="H17" i="6"/>
  <c r="I15" i="7"/>
  <c r="I11" i="9" s="1"/>
  <c r="I15" i="6"/>
  <c r="K14" i="7"/>
  <c r="L25" i="10"/>
  <c r="K10" i="20"/>
  <c r="K22" i="4"/>
  <c r="K23" i="4" s="1"/>
  <c r="J21" i="20"/>
  <c r="J23" i="20" s="1"/>
  <c r="N14" i="21"/>
  <c r="K9" i="4"/>
  <c r="K12" i="4" s="1"/>
  <c r="K15" i="4"/>
  <c r="K18" i="4"/>
  <c r="K17" i="7" s="1"/>
  <c r="N16" i="19"/>
  <c r="N19" i="4"/>
  <c r="J8" i="19" l="1"/>
  <c r="J13" i="4"/>
  <c r="K8" i="19"/>
  <c r="K13" i="4"/>
  <c r="J8" i="7"/>
  <c r="J12" i="8" s="1"/>
  <c r="N28" i="4"/>
  <c r="M26" i="4"/>
  <c r="M24" i="4" s="1"/>
  <c r="G22" i="10"/>
  <c r="F17" i="6"/>
  <c r="J22" i="10"/>
  <c r="I17" i="6"/>
  <c r="L23" i="21"/>
  <c r="L21" i="19" s="1"/>
  <c r="L22" i="4"/>
  <c r="L23" i="4" s="1"/>
  <c r="L8" i="4"/>
  <c r="L18" i="4" s="1"/>
  <c r="L17" i="7" s="1"/>
  <c r="K21" i="20"/>
  <c r="K23" i="20" s="1"/>
  <c r="O14" i="21"/>
  <c r="O16" i="19"/>
  <c r="O19" i="4"/>
  <c r="J8" i="21" l="1"/>
  <c r="J15" i="19"/>
  <c r="J11" i="7" s="1"/>
  <c r="K8" i="7"/>
  <c r="K12" i="8" s="1"/>
  <c r="J18" i="19"/>
  <c r="J12" i="7" s="1"/>
  <c r="K18" i="19"/>
  <c r="K12" i="7" s="1"/>
  <c r="K15" i="19"/>
  <c r="K11" i="7" s="1"/>
  <c r="L24" i="21"/>
  <c r="L17" i="8" s="1"/>
  <c r="L15" i="4"/>
  <c r="L21" i="20" s="1"/>
  <c r="L23" i="20" s="1"/>
  <c r="J33" i="9"/>
  <c r="M22" i="4"/>
  <c r="M23" i="4" s="1"/>
  <c r="M8" i="4"/>
  <c r="M9" i="4" s="1"/>
  <c r="M12" i="4" s="1"/>
  <c r="L9" i="4"/>
  <c r="L12" i="4" s="1"/>
  <c r="O28" i="4"/>
  <c r="N26" i="4"/>
  <c r="N24" i="4" s="1"/>
  <c r="K33" i="9"/>
  <c r="L14" i="7"/>
  <c r="M25" i="10"/>
  <c r="L10" i="20"/>
  <c r="P14" i="21"/>
  <c r="P16" i="19"/>
  <c r="P19" i="4"/>
  <c r="K8" i="21" l="1"/>
  <c r="M21" i="21"/>
  <c r="L8" i="19"/>
  <c r="L15" i="19" s="1"/>
  <c r="L11" i="7" s="1"/>
  <c r="L13" i="4"/>
  <c r="M8" i="19"/>
  <c r="M13" i="4"/>
  <c r="M18" i="4"/>
  <c r="M17" i="7" s="1"/>
  <c r="M15" i="4"/>
  <c r="M21" i="20" s="1"/>
  <c r="M23" i="20" s="1"/>
  <c r="N22" i="4"/>
  <c r="N23" i="4" s="1"/>
  <c r="N8" i="4"/>
  <c r="N15" i="4" s="1"/>
  <c r="L18" i="19"/>
  <c r="L12" i="7" s="1"/>
  <c r="P28" i="4"/>
  <c r="O26" i="4"/>
  <c r="O24" i="4" s="1"/>
  <c r="M23" i="21"/>
  <c r="M21" i="19" s="1"/>
  <c r="Q14" i="21"/>
  <c r="Q16" i="19"/>
  <c r="Q19" i="4"/>
  <c r="M8" i="7" l="1"/>
  <c r="M12" i="8" s="1"/>
  <c r="L8" i="7"/>
  <c r="M15" i="19"/>
  <c r="M11" i="7" s="1"/>
  <c r="M18" i="19"/>
  <c r="M12" i="7" s="1"/>
  <c r="N9" i="4"/>
  <c r="N12" i="4" s="1"/>
  <c r="N18" i="4"/>
  <c r="N17" i="7" s="1"/>
  <c r="M24" i="21"/>
  <c r="M17" i="8" s="1"/>
  <c r="O8" i="4"/>
  <c r="O9" i="4" s="1"/>
  <c r="O12" i="4" s="1"/>
  <c r="O22" i="4"/>
  <c r="O23" i="4" s="1"/>
  <c r="Q28" i="4"/>
  <c r="P26" i="4"/>
  <c r="P24" i="4" s="1"/>
  <c r="N21" i="21"/>
  <c r="M14" i="7"/>
  <c r="N25" i="10"/>
  <c r="M10" i="20"/>
  <c r="N21" i="20"/>
  <c r="N23" i="20" s="1"/>
  <c r="R14" i="21"/>
  <c r="R16" i="19"/>
  <c r="R19" i="4"/>
  <c r="L12" i="8" l="1"/>
  <c r="O18" i="4"/>
  <c r="O17" i="7" s="1"/>
  <c r="O15" i="4"/>
  <c r="O21" i="20" s="1"/>
  <c r="O23" i="20" s="1"/>
  <c r="N8" i="19"/>
  <c r="N13" i="4"/>
  <c r="O8" i="19"/>
  <c r="O13" i="4"/>
  <c r="P22" i="4"/>
  <c r="P23" i="4" s="1"/>
  <c r="P8" i="4"/>
  <c r="P15" i="4" s="1"/>
  <c r="R28" i="4"/>
  <c r="Q26" i="4"/>
  <c r="Q24" i="4" s="1"/>
  <c r="N23" i="21"/>
  <c r="S14" i="21"/>
  <c r="S16" i="19"/>
  <c r="S19" i="4"/>
  <c r="L33" i="9" l="1"/>
  <c r="M8" i="21"/>
  <c r="L8" i="21"/>
  <c r="O8" i="7"/>
  <c r="O12" i="8" s="1"/>
  <c r="M33" i="9"/>
  <c r="O15" i="19"/>
  <c r="O11" i="7" s="1"/>
  <c r="O18" i="19"/>
  <c r="O12" i="7" s="1"/>
  <c r="N8" i="7"/>
  <c r="N18" i="19"/>
  <c r="N12" i="7" s="1"/>
  <c r="N15" i="19"/>
  <c r="N11" i="7" s="1"/>
  <c r="P18" i="4"/>
  <c r="P17" i="7" s="1"/>
  <c r="P9" i="4"/>
  <c r="P12" i="4" s="1"/>
  <c r="Q22" i="4"/>
  <c r="Q23" i="4" s="1"/>
  <c r="Q8" i="4"/>
  <c r="Q9" i="4" s="1"/>
  <c r="Q12" i="4" s="1"/>
  <c r="S28" i="4"/>
  <c r="S26" i="4" s="1"/>
  <c r="R26" i="4"/>
  <c r="R24" i="4" s="1"/>
  <c r="R8" i="4" s="1"/>
  <c r="N24" i="21"/>
  <c r="N17" i="8" s="1"/>
  <c r="N21" i="19"/>
  <c r="N14" i="7"/>
  <c r="O25" i="10"/>
  <c r="N10" i="20"/>
  <c r="P21" i="20"/>
  <c r="P23" i="20" s="1"/>
  <c r="O21" i="21" l="1"/>
  <c r="Q8" i="19"/>
  <c r="Q18" i="19" s="1"/>
  <c r="Q12" i="7" s="1"/>
  <c r="Q13" i="4"/>
  <c r="P8" i="19"/>
  <c r="P13" i="4"/>
  <c r="N12" i="8"/>
  <c r="S24" i="4"/>
  <c r="S8" i="4" s="1"/>
  <c r="S9" i="4" s="1"/>
  <c r="S12" i="4" s="1"/>
  <c r="Q18" i="4"/>
  <c r="Q17" i="7" s="1"/>
  <c r="Q15" i="4"/>
  <c r="Q21" i="20" s="1"/>
  <c r="Q23" i="20" s="1"/>
  <c r="R22" i="4"/>
  <c r="R23" i="4" s="1"/>
  <c r="O23" i="21"/>
  <c r="O21" i="19" s="1"/>
  <c r="Q15" i="19"/>
  <c r="Q11" i="7" s="1"/>
  <c r="R9" i="4"/>
  <c r="R12" i="4" s="1"/>
  <c r="R15" i="4"/>
  <c r="R18" i="4"/>
  <c r="R17" i="7" s="1"/>
  <c r="N33" i="9" l="1"/>
  <c r="O8" i="21"/>
  <c r="N8" i="21"/>
  <c r="S18" i="4"/>
  <c r="S17" i="7" s="1"/>
  <c r="O24" i="21"/>
  <c r="Q8" i="7"/>
  <c r="Q12" i="8" s="1"/>
  <c r="R8" i="19"/>
  <c r="R13" i="4"/>
  <c r="O33" i="9"/>
  <c r="S8" i="19"/>
  <c r="S13" i="4"/>
  <c r="P8" i="7"/>
  <c r="P12" i="8" s="1"/>
  <c r="P18" i="19"/>
  <c r="P12" i="7" s="1"/>
  <c r="P15" i="19"/>
  <c r="P11" i="7" s="1"/>
  <c r="S15" i="4"/>
  <c r="S21" i="20" s="1"/>
  <c r="S23" i="20" s="1"/>
  <c r="S22" i="4"/>
  <c r="S23" i="4" s="1"/>
  <c r="O14" i="7"/>
  <c r="P25" i="10"/>
  <c r="O10" i="20"/>
  <c r="O17" i="8"/>
  <c r="P21" i="21"/>
  <c r="R21" i="20"/>
  <c r="R23" i="20" s="1"/>
  <c r="Q8" i="21" l="1"/>
  <c r="P8" i="21"/>
  <c r="R8" i="21"/>
  <c r="S18" i="19"/>
  <c r="S12" i="7" s="1"/>
  <c r="R8" i="7"/>
  <c r="R12" i="8" s="1"/>
  <c r="Q33" i="9"/>
  <c r="S15" i="19"/>
  <c r="S11" i="7" s="1"/>
  <c r="S8" i="7"/>
  <c r="S12" i="8" s="1"/>
  <c r="S33" i="9" s="1"/>
  <c r="R18" i="19"/>
  <c r="R12" i="7" s="1"/>
  <c r="R15" i="19"/>
  <c r="R11" i="7" s="1"/>
  <c r="P33" i="9"/>
  <c r="P23" i="21"/>
  <c r="H50" i="3"/>
  <c r="I50" i="3"/>
  <c r="G50" i="3"/>
  <c r="H57" i="3"/>
  <c r="E21" i="2"/>
  <c r="F21" i="2"/>
  <c r="G21" i="2"/>
  <c r="E43" i="2"/>
  <c r="F43" i="2"/>
  <c r="G43" i="2"/>
  <c r="E52" i="2"/>
  <c r="F52" i="2"/>
  <c r="G52" i="2"/>
  <c r="E64" i="2"/>
  <c r="F64" i="2"/>
  <c r="G64" i="2"/>
  <c r="E57" i="3"/>
  <c r="F57" i="3"/>
  <c r="G57" i="3"/>
  <c r="I57" i="3"/>
  <c r="E50" i="3"/>
  <c r="F50" i="3"/>
  <c r="E34" i="3"/>
  <c r="F34" i="3"/>
  <c r="G34" i="3"/>
  <c r="H34" i="3"/>
  <c r="I34" i="3"/>
  <c r="E23" i="3"/>
  <c r="E11" i="20" s="1"/>
  <c r="F23" i="3"/>
  <c r="G23" i="3"/>
  <c r="G11" i="20" s="1"/>
  <c r="H23" i="3"/>
  <c r="I23" i="3"/>
  <c r="I11" i="20" s="1"/>
  <c r="H64" i="2"/>
  <c r="I64" i="2"/>
  <c r="H52" i="2"/>
  <c r="I52" i="2"/>
  <c r="H43" i="2"/>
  <c r="I43" i="2"/>
  <c r="H21" i="2"/>
  <c r="I21" i="2"/>
  <c r="F32" i="1"/>
  <c r="F20" i="7" s="1"/>
  <c r="I32" i="1"/>
  <c r="I20" i="7" s="1"/>
  <c r="H32" i="1"/>
  <c r="H20" i="7" s="1"/>
  <c r="G32" i="1"/>
  <c r="G20" i="7" s="1"/>
  <c r="E32" i="1"/>
  <c r="E20" i="7" s="1"/>
  <c r="E20" i="1"/>
  <c r="F20" i="1"/>
  <c r="G20" i="1"/>
  <c r="H20" i="1"/>
  <c r="I20" i="1"/>
  <c r="E10" i="1"/>
  <c r="F10" i="1"/>
  <c r="G10" i="1"/>
  <c r="H10" i="1"/>
  <c r="I10" i="1"/>
  <c r="F5" i="3"/>
  <c r="G5" i="3" s="1"/>
  <c r="H5" i="3" s="1"/>
  <c r="I5" i="3" s="1"/>
  <c r="F5" i="2"/>
  <c r="G5" i="2" s="1"/>
  <c r="H5" i="2" s="1"/>
  <c r="I5" i="2" s="1"/>
  <c r="F5" i="1"/>
  <c r="G5" i="1" s="1"/>
  <c r="H5" i="1" s="1"/>
  <c r="I5" i="1" s="1"/>
  <c r="S8" i="21" l="1"/>
  <c r="H22" i="6"/>
  <c r="I22" i="6"/>
  <c r="I66" i="2"/>
  <c r="G22" i="6"/>
  <c r="E22" i="6"/>
  <c r="F22" i="6"/>
  <c r="R33" i="9"/>
  <c r="P24" i="21"/>
  <c r="P21" i="19"/>
  <c r="H36" i="3"/>
  <c r="H11" i="20"/>
  <c r="F36" i="3"/>
  <c r="F11" i="20"/>
  <c r="P17" i="8"/>
  <c r="Q21" i="21"/>
  <c r="P14" i="7"/>
  <c r="Q25" i="10"/>
  <c r="P10" i="20"/>
  <c r="I36" i="3"/>
  <c r="E36" i="3"/>
  <c r="G36" i="3"/>
  <c r="F66" i="2"/>
  <c r="H66" i="2"/>
  <c r="G66" i="2"/>
  <c r="E66" i="2"/>
  <c r="H22" i="1"/>
  <c r="I22" i="1"/>
  <c r="E22" i="1"/>
  <c r="E24" i="1" s="1"/>
  <c r="E26" i="1" s="1"/>
  <c r="F22" i="1"/>
  <c r="G22" i="1"/>
  <c r="F24" i="1" l="1"/>
  <c r="F26" i="1" s="1"/>
  <c r="Q23" i="21"/>
  <c r="Q21" i="19" s="1"/>
  <c r="E34" i="1"/>
  <c r="I24" i="1"/>
  <c r="I26" i="1" s="1"/>
  <c r="I34" i="1" s="1"/>
  <c r="H24" i="1"/>
  <c r="G24" i="1"/>
  <c r="F34" i="1" l="1"/>
  <c r="F8" i="3"/>
  <c r="F37" i="3" s="1"/>
  <c r="F39" i="3" s="1"/>
  <c r="F59" i="3" s="1"/>
  <c r="F62" i="3" s="1"/>
  <c r="F28" i="2" s="1"/>
  <c r="Q14" i="7"/>
  <c r="R25" i="10"/>
  <c r="Q10" i="20"/>
  <c r="Q24" i="21"/>
  <c r="F9" i="20"/>
  <c r="F13" i="20" s="1"/>
  <c r="F32" i="20" s="1"/>
  <c r="E8" i="3"/>
  <c r="I8" i="3"/>
  <c r="G26" i="1"/>
  <c r="G34" i="1" s="1"/>
  <c r="H26" i="1"/>
  <c r="H34" i="1" s="1"/>
  <c r="Q17" i="8" l="1"/>
  <c r="R21" i="21"/>
  <c r="I37" i="3"/>
  <c r="I39" i="3" s="1"/>
  <c r="I59" i="3" s="1"/>
  <c r="I9" i="20"/>
  <c r="I13" i="20" s="1"/>
  <c r="I32" i="20" s="1"/>
  <c r="F33" i="2"/>
  <c r="F35" i="2" s="1"/>
  <c r="F68" i="2" s="1"/>
  <c r="F10" i="8"/>
  <c r="E37" i="3"/>
  <c r="E39" i="3" s="1"/>
  <c r="E59" i="3" s="1"/>
  <c r="E62" i="3" s="1"/>
  <c r="E28" i="2" s="1"/>
  <c r="E9" i="20"/>
  <c r="E13" i="20" s="1"/>
  <c r="E32" i="20" s="1"/>
  <c r="E35" i="20" s="1"/>
  <c r="F34" i="20" s="1"/>
  <c r="F35" i="20" s="1"/>
  <c r="G34" i="20" s="1"/>
  <c r="H8" i="3"/>
  <c r="G8" i="3"/>
  <c r="F25" i="9" l="1"/>
  <c r="F24" i="9"/>
  <c r="R23" i="21"/>
  <c r="H37" i="3"/>
  <c r="H39" i="3" s="1"/>
  <c r="H59" i="3" s="1"/>
  <c r="H9" i="20"/>
  <c r="H13" i="20" s="1"/>
  <c r="H32" i="20" s="1"/>
  <c r="G37" i="3"/>
  <c r="G39" i="3" s="1"/>
  <c r="G59" i="3" s="1"/>
  <c r="G62" i="3" s="1"/>
  <c r="H61" i="3" s="1"/>
  <c r="G9" i="20"/>
  <c r="G13" i="20" s="1"/>
  <c r="G32" i="20" s="1"/>
  <c r="G35" i="20" s="1"/>
  <c r="H34" i="20" s="1"/>
  <c r="F23" i="8"/>
  <c r="F29" i="9" s="1"/>
  <c r="E33" i="2"/>
  <c r="E35" i="2" s="1"/>
  <c r="E68" i="2" s="1"/>
  <c r="E10" i="8"/>
  <c r="H62" i="3" l="1"/>
  <c r="E25" i="9"/>
  <c r="E24" i="9"/>
  <c r="R24" i="21"/>
  <c r="R21" i="19"/>
  <c r="G28" i="2"/>
  <c r="G33" i="2" s="1"/>
  <c r="G35" i="2" s="1"/>
  <c r="G68" i="2" s="1"/>
  <c r="H35" i="20"/>
  <c r="I34" i="20" s="1"/>
  <c r="I35" i="20" s="1"/>
  <c r="J34" i="20" s="1"/>
  <c r="R17" i="8"/>
  <c r="S21" i="21"/>
  <c r="R14" i="7"/>
  <c r="S25" i="10"/>
  <c r="R10" i="20"/>
  <c r="G10" i="8"/>
  <c r="F41" i="8"/>
  <c r="F37" i="6"/>
  <c r="F34" i="6"/>
  <c r="F31" i="6"/>
  <c r="F40" i="6"/>
  <c r="F38" i="6"/>
  <c r="F36" i="6"/>
  <c r="F39" i="6"/>
  <c r="F33" i="6"/>
  <c r="F32" i="6"/>
  <c r="F30" i="6"/>
  <c r="E23" i="8"/>
  <c r="I61" i="3"/>
  <c r="I62" i="3" s="1"/>
  <c r="I28" i="2" s="1"/>
  <c r="H28" i="2"/>
  <c r="E30" i="6" l="1"/>
  <c r="E29" i="9"/>
  <c r="G24" i="9"/>
  <c r="G25" i="9"/>
  <c r="I33" i="2"/>
  <c r="I35" i="2" s="1"/>
  <c r="I68" i="2" s="1"/>
  <c r="I10" i="8"/>
  <c r="H33" i="2"/>
  <c r="H35" i="2" s="1"/>
  <c r="H68" i="2" s="1"/>
  <c r="H10" i="8"/>
  <c r="G23" i="8"/>
  <c r="S23" i="21"/>
  <c r="F42" i="6"/>
  <c r="E41" i="8"/>
  <c r="E36" i="6"/>
  <c r="E34" i="6"/>
  <c r="E38" i="6"/>
  <c r="E32" i="6"/>
  <c r="E40" i="6"/>
  <c r="E31" i="6"/>
  <c r="E37" i="6"/>
  <c r="E39" i="6"/>
  <c r="E33" i="6"/>
  <c r="G25" i="19"/>
  <c r="G30" i="21"/>
  <c r="G16" i="7" s="1"/>
  <c r="G18" i="6" s="1"/>
  <c r="E30" i="21"/>
  <c r="E16" i="7" s="1"/>
  <c r="E18" i="6" s="1"/>
  <c r="E25" i="19"/>
  <c r="F30" i="21"/>
  <c r="F16" i="7" s="1"/>
  <c r="F18" i="6" s="1"/>
  <c r="F25" i="19"/>
  <c r="H25" i="19"/>
  <c r="H30" i="21"/>
  <c r="H16" i="7" s="1"/>
  <c r="H18" i="6" s="1"/>
  <c r="I30" i="21"/>
  <c r="I16" i="7" s="1"/>
  <c r="I18" i="6" s="1"/>
  <c r="I25" i="19"/>
  <c r="I30" i="17" l="1"/>
  <c r="H25" i="9"/>
  <c r="H24" i="9"/>
  <c r="S24" i="21"/>
  <c r="S17" i="8" s="1"/>
  <c r="S21" i="19"/>
  <c r="I25" i="9"/>
  <c r="I24" i="9"/>
  <c r="G30" i="6"/>
  <c r="G29" i="9"/>
  <c r="K25" i="19"/>
  <c r="I19" i="7"/>
  <c r="I27" i="19" s="1"/>
  <c r="H19" i="7"/>
  <c r="H27" i="19" s="1"/>
  <c r="H13" i="9" s="1"/>
  <c r="H23" i="8"/>
  <c r="H29" i="9" s="1"/>
  <c r="S14" i="7"/>
  <c r="T25" i="10"/>
  <c r="S10" i="20"/>
  <c r="F19" i="7"/>
  <c r="F27" i="19" s="1"/>
  <c r="F13" i="9" s="1"/>
  <c r="G19" i="7"/>
  <c r="G27" i="19" s="1"/>
  <c r="G13" i="9" s="1"/>
  <c r="E35" i="10"/>
  <c r="K36" i="10" s="1"/>
  <c r="K37" i="10" s="1"/>
  <c r="I23" i="8"/>
  <c r="G32" i="6"/>
  <c r="G33" i="6"/>
  <c r="G40" i="6"/>
  <c r="G31" i="6"/>
  <c r="G36" i="6"/>
  <c r="G37" i="6"/>
  <c r="G39" i="6"/>
  <c r="G34" i="6"/>
  <c r="G38" i="6"/>
  <c r="G41" i="8"/>
  <c r="E42" i="6"/>
  <c r="L25" i="19"/>
  <c r="K30" i="21"/>
  <c r="K16" i="7" s="1"/>
  <c r="K11" i="20" s="1"/>
  <c r="J30" i="21"/>
  <c r="J16" i="7" s="1"/>
  <c r="J11" i="20" s="1"/>
  <c r="J27" i="19" l="1"/>
  <c r="E9" i="10"/>
  <c r="E32" i="12"/>
  <c r="E33" i="12" s="1"/>
  <c r="E39" i="12" s="1"/>
  <c r="E40" i="12" s="1"/>
  <c r="E42" i="12" s="1"/>
  <c r="E12" i="10" s="1"/>
  <c r="I13" i="9"/>
  <c r="G12" i="9"/>
  <c r="G17" i="9"/>
  <c r="G18" i="9"/>
  <c r="I18" i="9"/>
  <c r="I17" i="9"/>
  <c r="I12" i="9"/>
  <c r="F17" i="9"/>
  <c r="F18" i="9"/>
  <c r="F12" i="9"/>
  <c r="I30" i="6"/>
  <c r="I29" i="9"/>
  <c r="H12" i="9"/>
  <c r="H18" i="9"/>
  <c r="H17" i="9"/>
  <c r="G42" i="6"/>
  <c r="H36" i="6"/>
  <c r="H39" i="6"/>
  <c r="H37" i="6"/>
  <c r="H34" i="6"/>
  <c r="H41" i="8"/>
  <c r="H40" i="6"/>
  <c r="H31" i="6"/>
  <c r="H38" i="6"/>
  <c r="H32" i="6"/>
  <c r="H33" i="6"/>
  <c r="G21" i="7"/>
  <c r="G21" i="6"/>
  <c r="H21" i="7"/>
  <c r="H19" i="9" s="1"/>
  <c r="H21" i="6"/>
  <c r="F21" i="7"/>
  <c r="F21" i="6"/>
  <c r="I21" i="7"/>
  <c r="I19" i="9" s="1"/>
  <c r="I21" i="6"/>
  <c r="I39" i="6"/>
  <c r="I37" i="6"/>
  <c r="I31" i="6"/>
  <c r="I41" i="8"/>
  <c r="I32" i="6"/>
  <c r="I33" i="6"/>
  <c r="I34" i="6"/>
  <c r="I40" i="6"/>
  <c r="I38" i="6"/>
  <c r="I36" i="6"/>
  <c r="H30" i="6"/>
  <c r="J29" i="20"/>
  <c r="J24" i="19"/>
  <c r="K29" i="20"/>
  <c r="K24" i="19"/>
  <c r="L30" i="21"/>
  <c r="L16" i="7" s="1"/>
  <c r="L11" i="20" s="1"/>
  <c r="M25" i="19"/>
  <c r="G23" i="10" l="1"/>
  <c r="G24" i="10" s="1"/>
  <c r="G28" i="10" s="1"/>
  <c r="G30" i="10" s="1"/>
  <c r="J23" i="10"/>
  <c r="J24" i="10" s="1"/>
  <c r="J28" i="10" s="1"/>
  <c r="J30" i="10" s="1"/>
  <c r="H23" i="10"/>
  <c r="H24" i="10" s="1"/>
  <c r="H28" i="10" s="1"/>
  <c r="H30" i="10" s="1"/>
  <c r="I23" i="10"/>
  <c r="I24" i="10" s="1"/>
  <c r="I28" i="10" s="1"/>
  <c r="I30" i="10" s="1"/>
  <c r="J13" i="9"/>
  <c r="K27" i="19"/>
  <c r="H20" i="9"/>
  <c r="G14" i="9"/>
  <c r="G21" i="9"/>
  <c r="G19" i="9"/>
  <c r="F14" i="9"/>
  <c r="G20" i="9"/>
  <c r="F21" i="9"/>
  <c r="H42" i="6"/>
  <c r="I14" i="9"/>
  <c r="I21" i="9"/>
  <c r="I20" i="9"/>
  <c r="H14" i="9"/>
  <c r="H21" i="9"/>
  <c r="F19" i="9"/>
  <c r="I42" i="6"/>
  <c r="I30" i="19"/>
  <c r="I23" i="6"/>
  <c r="H30" i="19"/>
  <c r="H23" i="6"/>
  <c r="G30" i="19"/>
  <c r="G23" i="6"/>
  <c r="F30" i="19"/>
  <c r="F23" i="6"/>
  <c r="L29" i="20"/>
  <c r="L24" i="19"/>
  <c r="N25" i="19"/>
  <c r="M30" i="21"/>
  <c r="M16" i="7" s="1"/>
  <c r="M11" i="20" s="1"/>
  <c r="K13" i="9" l="1"/>
  <c r="L27" i="19"/>
  <c r="M29" i="20"/>
  <c r="M24" i="19"/>
  <c r="N30" i="21"/>
  <c r="N16" i="7" s="1"/>
  <c r="N11" i="20" s="1"/>
  <c r="O25" i="19"/>
  <c r="L13" i="9" l="1"/>
  <c r="M27" i="19"/>
  <c r="N24" i="19"/>
  <c r="N29" i="20"/>
  <c r="P25" i="19"/>
  <c r="O30" i="21"/>
  <c r="O16" i="7" s="1"/>
  <c r="O11" i="20" s="1"/>
  <c r="N27" i="19" l="1"/>
  <c r="M13" i="9"/>
  <c r="O29" i="20"/>
  <c r="O24" i="19"/>
  <c r="P30" i="21"/>
  <c r="P16" i="7" s="1"/>
  <c r="P11" i="20" s="1"/>
  <c r="Q25" i="19"/>
  <c r="O27" i="19" l="1"/>
  <c r="N13" i="9"/>
  <c r="P24" i="19"/>
  <c r="P29" i="20"/>
  <c r="R25" i="19"/>
  <c r="Q30" i="21"/>
  <c r="Q16" i="7" s="1"/>
  <c r="Q11" i="20" s="1"/>
  <c r="P27" i="19" l="1"/>
  <c r="O13" i="9"/>
  <c r="Q29" i="20"/>
  <c r="Q24" i="19"/>
  <c r="S25" i="19"/>
  <c r="S30" i="21" s="1"/>
  <c r="S16" i="7" s="1"/>
  <c r="S11" i="20" s="1"/>
  <c r="R30" i="21"/>
  <c r="R16" i="7" s="1"/>
  <c r="R11" i="20" s="1"/>
  <c r="P13" i="9" l="1"/>
  <c r="Q27" i="19"/>
  <c r="S29" i="20"/>
  <c r="S24" i="19"/>
  <c r="R29" i="20"/>
  <c r="R24" i="19"/>
  <c r="Q13" i="9" l="1"/>
  <c r="R27" i="19"/>
  <c r="E11" i="19"/>
  <c r="E15" i="21"/>
  <c r="E18" i="21" s="1"/>
  <c r="E26" i="9" s="1"/>
  <c r="E9" i="9"/>
  <c r="E9" i="7"/>
  <c r="E11" i="6" s="1"/>
  <c r="E16" i="21"/>
  <c r="K16" i="21" s="1"/>
  <c r="L16" i="21" s="1"/>
  <c r="M16" i="21" s="1"/>
  <c r="N16" i="21" s="1"/>
  <c r="O16" i="21" s="1"/>
  <c r="P16" i="21" s="1"/>
  <c r="Q16" i="21" s="1"/>
  <c r="R16" i="21" s="1"/>
  <c r="S16" i="21" s="1"/>
  <c r="K11" i="19" l="1"/>
  <c r="S27" i="19"/>
  <c r="S13" i="9" s="1"/>
  <c r="R13" i="9"/>
  <c r="E10" i="7"/>
  <c r="L11" i="19" l="1"/>
  <c r="K10" i="19"/>
  <c r="E13" i="7"/>
  <c r="E12" i="6"/>
  <c r="J18" i="21"/>
  <c r="J26" i="9" s="1"/>
  <c r="K15" i="21"/>
  <c r="K13" i="19"/>
  <c r="J9" i="9"/>
  <c r="M11" i="19" l="1"/>
  <c r="L10" i="19"/>
  <c r="K18" i="21"/>
  <c r="K26" i="9" s="1"/>
  <c r="L15" i="21"/>
  <c r="K9" i="9"/>
  <c r="L13" i="19"/>
  <c r="E10" i="9"/>
  <c r="E15" i="7"/>
  <c r="E15" i="6"/>
  <c r="N11" i="19" l="1"/>
  <c r="M10" i="19"/>
  <c r="L9" i="9"/>
  <c r="M13" i="19"/>
  <c r="L18" i="21"/>
  <c r="L26" i="9" s="1"/>
  <c r="M15" i="21"/>
  <c r="F22" i="10"/>
  <c r="E19" i="7"/>
  <c r="E27" i="19" s="1"/>
  <c r="E13" i="9" s="1"/>
  <c r="E11" i="9"/>
  <c r="E17" i="6"/>
  <c r="K9" i="7"/>
  <c r="O11" i="19" l="1"/>
  <c r="N10" i="19"/>
  <c r="K10" i="7"/>
  <c r="K13" i="7" s="1"/>
  <c r="K27" i="8"/>
  <c r="K13" i="8"/>
  <c r="E21" i="7"/>
  <c r="E19" i="9" s="1"/>
  <c r="E21" i="6"/>
  <c r="E12" i="9"/>
  <c r="M9" i="9"/>
  <c r="N13" i="19"/>
  <c r="L9" i="7"/>
  <c r="F23" i="10"/>
  <c r="F24" i="10" s="1"/>
  <c r="F28" i="10" s="1"/>
  <c r="F30" i="10" s="1"/>
  <c r="M18" i="21"/>
  <c r="M26" i="9" s="1"/>
  <c r="N15" i="21"/>
  <c r="P11" i="19" l="1"/>
  <c r="O10" i="19"/>
  <c r="M9" i="7"/>
  <c r="L10" i="7"/>
  <c r="L13" i="7" s="1"/>
  <c r="L34" i="9"/>
  <c r="L13" i="8"/>
  <c r="L27" i="8"/>
  <c r="O15" i="21"/>
  <c r="N18" i="21"/>
  <c r="N26" i="9" s="1"/>
  <c r="O13" i="19"/>
  <c r="N9" i="9"/>
  <c r="E30" i="19"/>
  <c r="K30" i="19" s="1"/>
  <c r="L30" i="19" s="1"/>
  <c r="M30" i="19" s="1"/>
  <c r="N30" i="19" s="1"/>
  <c r="O30" i="19" s="1"/>
  <c r="P30" i="19" s="1"/>
  <c r="Q30" i="19" s="1"/>
  <c r="R30" i="19" s="1"/>
  <c r="S30" i="19" s="1"/>
  <c r="E23" i="6"/>
  <c r="E21" i="9"/>
  <c r="E14" i="9"/>
  <c r="F20" i="9"/>
  <c r="K10" i="9"/>
  <c r="K15" i="7"/>
  <c r="L9" i="21" l="1"/>
  <c r="Q11" i="19"/>
  <c r="P10" i="19"/>
  <c r="K19" i="7"/>
  <c r="K11" i="9"/>
  <c r="L22" i="10"/>
  <c r="P13" i="19"/>
  <c r="O9" i="9"/>
  <c r="L12" i="21"/>
  <c r="L10" i="9"/>
  <c r="L15" i="7"/>
  <c r="O18" i="21"/>
  <c r="O26" i="9" s="1"/>
  <c r="P15" i="21"/>
  <c r="L35" i="9"/>
  <c r="N9" i="7"/>
  <c r="M13" i="8"/>
  <c r="M10" i="7"/>
  <c r="M13" i="7" s="1"/>
  <c r="M27" i="8"/>
  <c r="M9" i="21" l="1"/>
  <c r="R11" i="19"/>
  <c r="Q10" i="19"/>
  <c r="M34" i="9"/>
  <c r="M12" i="21"/>
  <c r="P18" i="21"/>
  <c r="P26" i="9" s="1"/>
  <c r="Q15" i="21"/>
  <c r="L19" i="7"/>
  <c r="L11" i="9"/>
  <c r="M22" i="10"/>
  <c r="O9" i="7"/>
  <c r="L23" i="10"/>
  <c r="L24" i="10" s="1"/>
  <c r="M35" i="9"/>
  <c r="N27" i="8"/>
  <c r="N35" i="9" s="1"/>
  <c r="N13" i="8"/>
  <c r="N10" i="7"/>
  <c r="N13" i="7" s="1"/>
  <c r="L12" i="20"/>
  <c r="M27" i="10"/>
  <c r="M15" i="7"/>
  <c r="M10" i="9"/>
  <c r="Q13" i="19"/>
  <c r="P9" i="9"/>
  <c r="K20" i="7"/>
  <c r="K21" i="7" s="1"/>
  <c r="K12" i="9"/>
  <c r="N9" i="21" l="1"/>
  <c r="S11" i="19"/>
  <c r="S10" i="19" s="1"/>
  <c r="R10" i="19"/>
  <c r="N34" i="9"/>
  <c r="K9" i="20"/>
  <c r="K14" i="9"/>
  <c r="K29" i="19"/>
  <c r="K28" i="20" s="1"/>
  <c r="K30" i="20" s="1"/>
  <c r="K19" i="9"/>
  <c r="P9" i="7"/>
  <c r="M19" i="7"/>
  <c r="M11" i="9"/>
  <c r="N22" i="10"/>
  <c r="N12" i="21"/>
  <c r="M23" i="10"/>
  <c r="M24" i="10" s="1"/>
  <c r="M28" i="10" s="1"/>
  <c r="M30" i="10" s="1"/>
  <c r="Q9" i="9"/>
  <c r="R13" i="19"/>
  <c r="N27" i="10"/>
  <c r="M12" i="20"/>
  <c r="O13" i="8"/>
  <c r="O10" i="7"/>
  <c r="O13" i="7" s="1"/>
  <c r="O27" i="8"/>
  <c r="O10" i="21" s="1"/>
  <c r="L20" i="7"/>
  <c r="L21" i="7" s="1"/>
  <c r="L19" i="9" s="1"/>
  <c r="L12" i="9"/>
  <c r="N10" i="9"/>
  <c r="N15" i="7"/>
  <c r="Q18" i="21"/>
  <c r="Q26" i="9" s="1"/>
  <c r="R15" i="21"/>
  <c r="O9" i="21" l="1"/>
  <c r="O34" i="9"/>
  <c r="N12" i="20"/>
  <c r="O27" i="10"/>
  <c r="O10" i="9"/>
  <c r="O15" i="7"/>
  <c r="O22" i="10"/>
  <c r="N11" i="9"/>
  <c r="N19" i="7"/>
  <c r="R9" i="9"/>
  <c r="S13" i="19"/>
  <c r="Q9" i="7"/>
  <c r="M12" i="9"/>
  <c r="M20" i="7"/>
  <c r="M21" i="7" s="1"/>
  <c r="R18" i="21"/>
  <c r="R26" i="9" s="1"/>
  <c r="S15" i="21"/>
  <c r="S18" i="21" s="1"/>
  <c r="S26" i="9" s="1"/>
  <c r="O12" i="21"/>
  <c r="L9" i="20"/>
  <c r="L13" i="20" s="1"/>
  <c r="L14" i="9"/>
  <c r="L29" i="19"/>
  <c r="L28" i="20" s="1"/>
  <c r="L30" i="20" s="1"/>
  <c r="O35" i="9"/>
  <c r="P13" i="8"/>
  <c r="P27" i="8"/>
  <c r="P10" i="7"/>
  <c r="P13" i="7" s="1"/>
  <c r="N23" i="10"/>
  <c r="N24" i="10" s="1"/>
  <c r="N28" i="10" s="1"/>
  <c r="N30" i="10" s="1"/>
  <c r="P35" i="9" l="1"/>
  <c r="P10" i="21"/>
  <c r="P9" i="21"/>
  <c r="P34" i="9"/>
  <c r="P27" i="10"/>
  <c r="O12" i="20"/>
  <c r="P12" i="21"/>
  <c r="O19" i="7"/>
  <c r="P22" i="10"/>
  <c r="O11" i="9"/>
  <c r="M9" i="20"/>
  <c r="M13" i="20" s="1"/>
  <c r="M14" i="9"/>
  <c r="M29" i="19"/>
  <c r="M28" i="20" s="1"/>
  <c r="M30" i="20" s="1"/>
  <c r="S9" i="9"/>
  <c r="N12" i="9"/>
  <c r="N20" i="7"/>
  <c r="N21" i="7" s="1"/>
  <c r="N19" i="9" s="1"/>
  <c r="M19" i="9"/>
  <c r="R9" i="7"/>
  <c r="P10" i="9"/>
  <c r="P15" i="7"/>
  <c r="L32" i="20"/>
  <c r="Q27" i="8"/>
  <c r="Q10" i="7"/>
  <c r="Q13" i="7" s="1"/>
  <c r="Q13" i="8"/>
  <c r="O23" i="10"/>
  <c r="O24" i="10" s="1"/>
  <c r="O28" i="10" s="1"/>
  <c r="O30" i="10" s="1"/>
  <c r="Q35" i="9" l="1"/>
  <c r="Q10" i="21"/>
  <c r="Q12" i="21" s="1"/>
  <c r="Q9" i="21"/>
  <c r="Q27" i="10"/>
  <c r="P12" i="20"/>
  <c r="Q15" i="7"/>
  <c r="Q10" i="9"/>
  <c r="Q34" i="9"/>
  <c r="R13" i="8"/>
  <c r="R27" i="8"/>
  <c r="R10" i="21" s="1"/>
  <c r="R10" i="7"/>
  <c r="R13" i="7" s="1"/>
  <c r="S9" i="7"/>
  <c r="M32" i="20"/>
  <c r="P23" i="10"/>
  <c r="P24" i="10" s="1"/>
  <c r="P28" i="10" s="1"/>
  <c r="P30" i="10" s="1"/>
  <c r="P19" i="7"/>
  <c r="P11" i="9"/>
  <c r="Q22" i="10"/>
  <c r="N9" i="20"/>
  <c r="N13" i="20" s="1"/>
  <c r="N29" i="19"/>
  <c r="N28" i="20" s="1"/>
  <c r="N30" i="20" s="1"/>
  <c r="N14" i="9"/>
  <c r="O20" i="7"/>
  <c r="O21" i="7" s="1"/>
  <c r="O12" i="9"/>
  <c r="R35" i="9" l="1"/>
  <c r="R34" i="9"/>
  <c r="R9" i="21"/>
  <c r="N32" i="20"/>
  <c r="R27" i="10"/>
  <c r="Q12" i="20"/>
  <c r="O14" i="9"/>
  <c r="O29" i="19"/>
  <c r="O28" i="20" s="1"/>
  <c r="O30" i="20" s="1"/>
  <c r="O9" i="20"/>
  <c r="O13" i="20" s="1"/>
  <c r="O19" i="9"/>
  <c r="R12" i="21"/>
  <c r="Q11" i="9"/>
  <c r="R22" i="10"/>
  <c r="Q19" i="7"/>
  <c r="P20" i="7"/>
  <c r="P21" i="7" s="1"/>
  <c r="P19" i="9" s="1"/>
  <c r="P12" i="9"/>
  <c r="S10" i="7"/>
  <c r="S13" i="7" s="1"/>
  <c r="S13" i="8"/>
  <c r="S34" i="9" s="1"/>
  <c r="S27" i="8"/>
  <c r="S10" i="21" s="1"/>
  <c r="Q23" i="10"/>
  <c r="Q24" i="10" s="1"/>
  <c r="Q28" i="10" s="1"/>
  <c r="Q30" i="10" s="1"/>
  <c r="R15" i="7"/>
  <c r="R10" i="9"/>
  <c r="S9" i="21" l="1"/>
  <c r="R12" i="20"/>
  <c r="S27" i="10"/>
  <c r="S10" i="9"/>
  <c r="S15" i="7"/>
  <c r="P14" i="9"/>
  <c r="P29" i="19"/>
  <c r="P28" i="20" s="1"/>
  <c r="P30" i="20" s="1"/>
  <c r="P9" i="20"/>
  <c r="P13" i="20" s="1"/>
  <c r="R19" i="7"/>
  <c r="R11" i="9"/>
  <c r="S22" i="10"/>
  <c r="Q20" i="7"/>
  <c r="Q21" i="7" s="1"/>
  <c r="Q19" i="9" s="1"/>
  <c r="Q12" i="9"/>
  <c r="S12" i="21"/>
  <c r="S35" i="9"/>
  <c r="R24" i="10"/>
  <c r="R28" i="10" s="1"/>
  <c r="R30" i="10" s="1"/>
  <c r="R23" i="10"/>
  <c r="O32" i="20"/>
  <c r="T27" i="10" l="1"/>
  <c r="S12" i="20"/>
  <c r="S23" i="10"/>
  <c r="S24" i="10" s="1"/>
  <c r="S28" i="10" s="1"/>
  <c r="S30" i="10" s="1"/>
  <c r="Q14" i="9"/>
  <c r="Q9" i="20"/>
  <c r="Q13" i="20" s="1"/>
  <c r="Q29" i="19"/>
  <c r="Q28" i="20" s="1"/>
  <c r="Q30" i="20" s="1"/>
  <c r="R20" i="7"/>
  <c r="R21" i="7" s="1"/>
  <c r="R12" i="9"/>
  <c r="P32" i="20"/>
  <c r="S19" i="7"/>
  <c r="S11" i="9"/>
  <c r="T22" i="10"/>
  <c r="Q32" i="20" l="1"/>
  <c r="T23" i="10"/>
  <c r="T24" i="10" s="1"/>
  <c r="R9" i="20"/>
  <c r="R13" i="20" s="1"/>
  <c r="R29" i="19"/>
  <c r="R28" i="20" s="1"/>
  <c r="R30" i="20" s="1"/>
  <c r="R14" i="9"/>
  <c r="S12" i="9"/>
  <c r="S20" i="7"/>
  <c r="S21" i="7" s="1"/>
  <c r="R19" i="9"/>
  <c r="T28" i="10" l="1"/>
  <c r="U34" i="10"/>
  <c r="S29" i="19"/>
  <c r="S28" i="20" s="1"/>
  <c r="S30" i="20" s="1"/>
  <c r="S14" i="9"/>
  <c r="S9" i="20"/>
  <c r="S13" i="20" s="1"/>
  <c r="S19" i="9"/>
  <c r="R32" i="20"/>
  <c r="S32" i="20" l="1"/>
  <c r="U35" i="10"/>
  <c r="U36" i="10" s="1"/>
  <c r="T30" i="10"/>
  <c r="U30" i="10" l="1"/>
  <c r="U28" i="10"/>
  <c r="J9" i="7"/>
  <c r="J27" i="8" s="1"/>
  <c r="J10" i="7" l="1"/>
  <c r="J13" i="7" s="1"/>
  <c r="J10" i="9" s="1"/>
  <c r="J13" i="8"/>
  <c r="J10" i="21"/>
  <c r="K35" i="9"/>
  <c r="J35" i="9"/>
  <c r="J9" i="21"/>
  <c r="J34" i="9" l="1"/>
  <c r="K9" i="21"/>
  <c r="K12" i="21" s="1"/>
  <c r="J15" i="7"/>
  <c r="K34" i="9"/>
  <c r="J12" i="21"/>
  <c r="J11" i="9"/>
  <c r="J19" i="7"/>
  <c r="K22" i="10"/>
  <c r="L27" i="10" l="1"/>
  <c r="L28" i="10" s="1"/>
  <c r="L30" i="10" s="1"/>
  <c r="K12" i="20"/>
  <c r="K13" i="20" s="1"/>
  <c r="K32" i="20" s="1"/>
  <c r="K23" i="10"/>
  <c r="K24" i="10" s="1"/>
  <c r="J12" i="20"/>
  <c r="K27" i="10"/>
  <c r="J12" i="9"/>
  <c r="J20" i="7"/>
  <c r="J21" i="7" s="1"/>
  <c r="J29" i="19" l="1"/>
  <c r="J28" i="20" s="1"/>
  <c r="J30" i="20" s="1"/>
  <c r="J9" i="20"/>
  <c r="J13" i="20" s="1"/>
  <c r="J36" i="8"/>
  <c r="J14" i="9"/>
  <c r="K28" i="10"/>
  <c r="K30" i="10" s="1"/>
  <c r="E34" i="10" s="1"/>
  <c r="E37" i="10" s="1"/>
  <c r="E39" i="10" s="1"/>
  <c r="J19" i="9"/>
  <c r="J32" i="20" l="1"/>
  <c r="J35" i="20" s="1"/>
  <c r="J21" i="9"/>
  <c r="J20" i="9"/>
  <c r="K36" i="8"/>
  <c r="K18" i="9" s="1"/>
  <c r="J30" i="9"/>
  <c r="J39" i="8"/>
  <c r="J18" i="9"/>
  <c r="J10" i="8"/>
  <c r="K34" i="20"/>
  <c r="K35" i="20" s="1"/>
  <c r="G59" i="10"/>
  <c r="P35" i="10"/>
  <c r="P36" i="10" s="1"/>
  <c r="G49" i="10"/>
  <c r="L36" i="8" l="1"/>
  <c r="K39" i="8"/>
  <c r="K21" i="9"/>
  <c r="K30" i="9"/>
  <c r="L18" i="9"/>
  <c r="K20" i="9"/>
  <c r="J24" i="9"/>
  <c r="J25" i="9"/>
  <c r="J23" i="8"/>
  <c r="L34" i="20"/>
  <c r="L35" i="20" s="1"/>
  <c r="K10" i="8"/>
  <c r="K23" i="8" l="1"/>
  <c r="K24" i="9"/>
  <c r="K25" i="9"/>
  <c r="M34" i="20"/>
  <c r="M35" i="20" s="1"/>
  <c r="L10" i="8"/>
  <c r="L21" i="9"/>
  <c r="L30" i="9"/>
  <c r="M36" i="8"/>
  <c r="L39" i="8"/>
  <c r="J29" i="9"/>
  <c r="K17" i="9"/>
  <c r="J41" i="8"/>
  <c r="J17" i="9"/>
  <c r="L20" i="9"/>
  <c r="N36" i="8" l="1"/>
  <c r="N20" i="9" s="1"/>
  <c r="M30" i="9"/>
  <c r="M39" i="8"/>
  <c r="M21" i="9"/>
  <c r="M20" i="9"/>
  <c r="M10" i="8"/>
  <c r="N34" i="20"/>
  <c r="N35" i="20" s="1"/>
  <c r="M18" i="9"/>
  <c r="L24" i="9"/>
  <c r="L23" i="8"/>
  <c r="L17" i="9" s="1"/>
  <c r="L25" i="9"/>
  <c r="K29" i="9"/>
  <c r="K41" i="8"/>
  <c r="N18" i="9" l="1"/>
  <c r="L29" i="9"/>
  <c r="L41" i="8"/>
  <c r="M23" i="8"/>
  <c r="M24" i="9"/>
  <c r="M25" i="9"/>
  <c r="N10" i="8"/>
  <c r="O34" i="20"/>
  <c r="O35" i="20" s="1"/>
  <c r="N21" i="9"/>
  <c r="N30" i="9"/>
  <c r="O36" i="8"/>
  <c r="O18" i="9" s="1"/>
  <c r="N39" i="8"/>
  <c r="O20" i="9" l="1"/>
  <c r="O10" i="8"/>
  <c r="P34" i="20"/>
  <c r="P35" i="20" s="1"/>
  <c r="M41" i="8"/>
  <c r="M29" i="9"/>
  <c r="N24" i="9"/>
  <c r="N23" i="8"/>
  <c r="N25" i="9"/>
  <c r="M17" i="9"/>
  <c r="P36" i="8"/>
  <c r="P18" i="9" s="1"/>
  <c r="O21" i="9"/>
  <c r="O39" i="8"/>
  <c r="O30" i="9"/>
  <c r="N41" i="8" l="1"/>
  <c r="N29" i="9"/>
  <c r="P21" i="9"/>
  <c r="P39" i="8"/>
  <c r="Q36" i="8"/>
  <c r="P30" i="9"/>
  <c r="P10" i="8"/>
  <c r="Q34" i="20"/>
  <c r="Q35" i="20" s="1"/>
  <c r="P20" i="9"/>
  <c r="N17" i="9"/>
  <c r="O25" i="9"/>
  <c r="O23" i="8"/>
  <c r="O24" i="9"/>
  <c r="R36" i="8" l="1"/>
  <c r="R20" i="9" s="1"/>
  <c r="Q39" i="8"/>
  <c r="Q21" i="9"/>
  <c r="Q30" i="9"/>
  <c r="O29" i="9"/>
  <c r="O41" i="8"/>
  <c r="P24" i="9"/>
  <c r="P23" i="8"/>
  <c r="P25" i="9"/>
  <c r="Q18" i="9"/>
  <c r="Q10" i="8"/>
  <c r="R34" i="20"/>
  <c r="R35" i="20" s="1"/>
  <c r="Q20" i="9"/>
  <c r="O17" i="9"/>
  <c r="R18" i="9" l="1"/>
  <c r="P29" i="9"/>
  <c r="P41" i="8"/>
  <c r="P17" i="9"/>
  <c r="R10" i="8"/>
  <c r="S34" i="20"/>
  <c r="S35" i="20" s="1"/>
  <c r="S10" i="8" s="1"/>
  <c r="Q24" i="9"/>
  <c r="Q23" i="8"/>
  <c r="Q25" i="9"/>
  <c r="R39" i="8"/>
  <c r="R30" i="9"/>
  <c r="S36" i="8"/>
  <c r="S20" i="9" s="1"/>
  <c r="R21" i="9"/>
  <c r="Q41" i="8" l="1"/>
  <c r="Q29" i="9"/>
  <c r="S25" i="9"/>
  <c r="S24" i="9"/>
  <c r="S23" i="8"/>
  <c r="Q17" i="9"/>
  <c r="S39" i="8"/>
  <c r="S21" i="9"/>
  <c r="S30" i="9"/>
  <c r="S18" i="9"/>
  <c r="R24" i="9"/>
  <c r="R23" i="8"/>
  <c r="R17" i="9" s="1"/>
  <c r="R25" i="9"/>
  <c r="S41" i="8" l="1"/>
  <c r="S29" i="9"/>
  <c r="R29" i="9"/>
  <c r="R41" i="8"/>
  <c r="S17" i="9"/>
</calcChain>
</file>

<file path=xl/sharedStrings.xml><?xml version="1.0" encoding="utf-8"?>
<sst xmlns="http://schemas.openxmlformats.org/spreadsheetml/2006/main" count="803" uniqueCount="473">
  <si>
    <t>Revenue</t>
  </si>
  <si>
    <t>Particulars</t>
  </si>
  <si>
    <t>Revenue from operations</t>
  </si>
  <si>
    <t>Other income</t>
  </si>
  <si>
    <t>Total income</t>
  </si>
  <si>
    <t>Expenses:</t>
  </si>
  <si>
    <t>Cost of materials consumed</t>
  </si>
  <si>
    <t>Purchases of traded goods</t>
  </si>
  <si>
    <t>Change in inventories of finished goods, work-in-progress and traded goods</t>
  </si>
  <si>
    <t>Employee benefits expense</t>
  </si>
  <si>
    <t>Finance costs</t>
  </si>
  <si>
    <t>Depreciation and amortisation expense</t>
  </si>
  <si>
    <t>Other expenses</t>
  </si>
  <si>
    <t>Total expenses</t>
  </si>
  <si>
    <t>Profit before exceptional items, share of profit of joint ventures and associate and tax</t>
  </si>
  <si>
    <t>Exceptional items (expense) / income</t>
  </si>
  <si>
    <t>Profit before tax</t>
  </si>
  <si>
    <t>Tax expense</t>
  </si>
  <si>
    <t>Current tax</t>
  </si>
  <si>
    <t>Deferred tax</t>
  </si>
  <si>
    <t>Tax for earlier years</t>
  </si>
  <si>
    <t>Total tax expense</t>
  </si>
  <si>
    <t>Profit after tax</t>
  </si>
  <si>
    <t xml:space="preserve">Share in joint ventures' and associate's OCI after tax </t>
  </si>
  <si>
    <t>Assets</t>
  </si>
  <si>
    <t>Non-Current Assets</t>
  </si>
  <si>
    <t>Property, plant and equipment</t>
  </si>
  <si>
    <t>Right-of-use assets</t>
  </si>
  <si>
    <t>Investment properties</t>
  </si>
  <si>
    <t>Intangible assets</t>
  </si>
  <si>
    <t>Intangible assets under development</t>
  </si>
  <si>
    <t>Financial assets</t>
  </si>
  <si>
    <t>Investments in joint ventures and an associate</t>
  </si>
  <si>
    <t>Other non-current financial assets</t>
  </si>
  <si>
    <t>Income tax assets (net)</t>
  </si>
  <si>
    <t>Other non-current assets</t>
  </si>
  <si>
    <t>Current Assets</t>
  </si>
  <si>
    <t>Inventories</t>
  </si>
  <si>
    <t>Investments</t>
  </si>
  <si>
    <t>Trade receivables</t>
  </si>
  <si>
    <t>Cash and cash equivalents</t>
  </si>
  <si>
    <t>Other bank balances</t>
  </si>
  <si>
    <t>Other current financial assets</t>
  </si>
  <si>
    <t>Other current assets</t>
  </si>
  <si>
    <t>Assets classified as held for sale</t>
  </si>
  <si>
    <t>EQUITY AND LIABILITIES</t>
  </si>
  <si>
    <t>Equity</t>
  </si>
  <si>
    <t>Equity share capital</t>
  </si>
  <si>
    <t>Other equity</t>
  </si>
  <si>
    <t>Retained earnings</t>
  </si>
  <si>
    <t>Other reserves</t>
  </si>
  <si>
    <t>Non-current liabilities</t>
  </si>
  <si>
    <t>Financial liabilities</t>
  </si>
  <si>
    <t>Lease liabilities</t>
  </si>
  <si>
    <t>Other non-current financial liabilities</t>
  </si>
  <si>
    <t>Provisions</t>
  </si>
  <si>
    <t>Deferred tax liabilities (net)</t>
  </si>
  <si>
    <t>Other non-current liabilities</t>
  </si>
  <si>
    <t>Current liabilities</t>
  </si>
  <si>
    <t>Borrowings</t>
  </si>
  <si>
    <t>Trade payables</t>
  </si>
  <si>
    <t>Total outstanding dues of micro and small enterprises</t>
  </si>
  <si>
    <t>Other current financial liabilities</t>
  </si>
  <si>
    <t>Other current liabilities</t>
  </si>
  <si>
    <t>TOTAL</t>
  </si>
  <si>
    <t>Total</t>
  </si>
  <si>
    <t xml:space="preserve">Capital work-in-progress </t>
  </si>
  <si>
    <t>Cash generated from operating activities</t>
  </si>
  <si>
    <t>Interest income</t>
  </si>
  <si>
    <t>Loss/(gain) on assets sold, discarded, etc.</t>
  </si>
  <si>
    <t>(Gain)/loss on redemption /sale of investments (net)</t>
  </si>
  <si>
    <t>Equity contribution from Holding company</t>
  </si>
  <si>
    <t>Unrealised foreign exchange fluctuation (net)</t>
  </si>
  <si>
    <t>Mark to market ('MTM') of financial instruments</t>
  </si>
  <si>
    <t>Provision for doubtful debts and advances (net)</t>
  </si>
  <si>
    <t>Share of profit of joint ventures and associate</t>
  </si>
  <si>
    <t>Exceptional Items (Note 51)</t>
  </si>
  <si>
    <t>Current and non-current financial assets</t>
  </si>
  <si>
    <t>Other current and non-current assets</t>
  </si>
  <si>
    <t>Current and non-current financial liabilities</t>
  </si>
  <si>
    <t>Other current and non-current liabilities</t>
  </si>
  <si>
    <t>Current and non-current provisions</t>
  </si>
  <si>
    <t>Total adjustments (a+b)</t>
  </si>
  <si>
    <t>Tax paid (net of refunds and interest thereon)</t>
  </si>
  <si>
    <t>Net cash generated from operating activities</t>
  </si>
  <si>
    <t>Proceeds from sale of property, plant and equipment</t>
  </si>
  <si>
    <t>Interest received</t>
  </si>
  <si>
    <t>Sale/(Purchase) of short term investments (net)</t>
  </si>
  <si>
    <t>Term deposits with banks</t>
  </si>
  <si>
    <t>Cash Flows from investing activities</t>
  </si>
  <si>
    <t>Net cash from investing activities</t>
  </si>
  <si>
    <t>Cash Flows from financing activities</t>
  </si>
  <si>
    <t>Proceeds From borrowing/Repayment</t>
  </si>
  <si>
    <t>Payment of principal portion of lease liabilities</t>
  </si>
  <si>
    <t>Dividend paid (including tax on dividend)</t>
  </si>
  <si>
    <t>Net cash (used in)/from financing activities</t>
  </si>
  <si>
    <t>Net change in cash and cash equivalents</t>
  </si>
  <si>
    <t xml:space="preserve">Cash and cash equivalents at the end of the year </t>
  </si>
  <si>
    <t>Cash and cash equivalents at the beginning of the year</t>
  </si>
  <si>
    <t>Net foreign exchange difference</t>
  </si>
  <si>
    <t>Other Investments</t>
  </si>
  <si>
    <t>Master Check</t>
  </si>
  <si>
    <t>Total outstanding dues of creditors micro and small enterprises</t>
  </si>
  <si>
    <t>Profit after exceptional items before share of profit of</t>
  </si>
  <si>
    <t>Dividend Income</t>
  </si>
  <si>
    <t>Rent concession received from lessor</t>
  </si>
  <si>
    <t>A. Cash generated from operating activities</t>
  </si>
  <si>
    <t>B. Working capital adjustments</t>
  </si>
  <si>
    <t>Purchase of PP&amp;E, intangible assets and investment property</t>
  </si>
  <si>
    <t>Revenue Buildup</t>
  </si>
  <si>
    <t>Audited</t>
  </si>
  <si>
    <t>Projected</t>
  </si>
  <si>
    <t>Sale of Products</t>
  </si>
  <si>
    <t>Other Operating Revenue</t>
  </si>
  <si>
    <t>(% on Sale of Products)</t>
  </si>
  <si>
    <t>Revenue from Operations</t>
  </si>
  <si>
    <t>Y-O-Y Growth</t>
  </si>
  <si>
    <t>Other Income</t>
  </si>
  <si>
    <t>Company Sales</t>
  </si>
  <si>
    <t>Within India</t>
  </si>
  <si>
    <t>Outside India</t>
  </si>
  <si>
    <t>Scenario:</t>
  </si>
  <si>
    <t>Best case</t>
  </si>
  <si>
    <t>Base case</t>
  </si>
  <si>
    <t>Worst case</t>
  </si>
  <si>
    <t>Share of JV Associate's profits</t>
  </si>
  <si>
    <t>Scenario</t>
  </si>
  <si>
    <t>Case</t>
  </si>
  <si>
    <t>Company data</t>
  </si>
  <si>
    <t>Amount</t>
  </si>
  <si>
    <t>No of Outstanding shares</t>
  </si>
  <si>
    <t>Nos</t>
  </si>
  <si>
    <t>Face Value per share</t>
  </si>
  <si>
    <t>Rs.</t>
  </si>
  <si>
    <t>Current Market Price</t>
  </si>
  <si>
    <t>Market Capitalisation</t>
  </si>
  <si>
    <t>INR in crs</t>
  </si>
  <si>
    <t>Assumptions</t>
  </si>
  <si>
    <t>Increase in Industry  Growth rate</t>
  </si>
  <si>
    <t>%</t>
  </si>
  <si>
    <t>Perpetual Growth rate</t>
  </si>
  <si>
    <t>India 10-year Rupee Bond YTM</t>
  </si>
  <si>
    <t>Interest rate on borrowings</t>
  </si>
  <si>
    <t>Annual growth tapering</t>
  </si>
  <si>
    <t>Company Name</t>
  </si>
  <si>
    <t>ISIN Code</t>
  </si>
  <si>
    <t>Sector Name</t>
  </si>
  <si>
    <t>Industry</t>
  </si>
  <si>
    <t>Exchange Name</t>
  </si>
  <si>
    <t>Website</t>
  </si>
  <si>
    <t>Company Description</t>
  </si>
  <si>
    <t>Cost Buildup</t>
  </si>
  <si>
    <t>Revenue From Operations</t>
  </si>
  <si>
    <t>COGS</t>
  </si>
  <si>
    <t>(% on Revenue)</t>
  </si>
  <si>
    <t>Total COGS</t>
  </si>
  <si>
    <t>Gross Profit Margin</t>
  </si>
  <si>
    <t>Employee Benefit Expenses</t>
  </si>
  <si>
    <t>Finance Costs</t>
  </si>
  <si>
    <t>(on PY end borrowings)</t>
  </si>
  <si>
    <t>Tax rate</t>
  </si>
  <si>
    <t>Cummins India Ltd</t>
  </si>
  <si>
    <t>INE298A01020</t>
  </si>
  <si>
    <t>Compressors Pumps &amp; Diesel Engines</t>
  </si>
  <si>
    <t>Capitals Goods</t>
  </si>
  <si>
    <t xml:space="preserve">BSE: 500480 , NSE: Cummins India Ltd.	</t>
  </si>
  <si>
    <t>Cummins India Ltd is a part of the Cummins Inc. Group USA. It designs, manufactures, distributes and services diesel and alternative fuel engines from 2.8 to 100 liters, diesel and alternative-fueled power generator sets of up to 3000 kW (3750 kVA), as well as related components and technology.</t>
  </si>
  <si>
    <t>Income Statement</t>
  </si>
  <si>
    <t>Revenue from Operation</t>
  </si>
  <si>
    <t>Gross Profit</t>
  </si>
  <si>
    <t>Salaries &amp; Benefits Expenses</t>
  </si>
  <si>
    <t>Other SG&amp;A Expenses</t>
  </si>
  <si>
    <t>EBITDA</t>
  </si>
  <si>
    <t>Depreciation</t>
  </si>
  <si>
    <t>EBIT</t>
  </si>
  <si>
    <t>Share In Joint Ventures</t>
  </si>
  <si>
    <t>Earning Before Profit Tax</t>
  </si>
  <si>
    <t>Tax</t>
  </si>
  <si>
    <t>Net Profit</t>
  </si>
  <si>
    <t>(% on PP&amp;E)</t>
  </si>
  <si>
    <t>Balance Sheet</t>
  </si>
  <si>
    <t>Cash</t>
  </si>
  <si>
    <t>Bank Balance</t>
  </si>
  <si>
    <t>Trade Receivable</t>
  </si>
  <si>
    <t>Inventory</t>
  </si>
  <si>
    <t>Other Current Assets</t>
  </si>
  <si>
    <t>Property Plant &amp; Equipment</t>
  </si>
  <si>
    <t>Goodwill</t>
  </si>
  <si>
    <t>Financial Assets</t>
  </si>
  <si>
    <t>Investment In Associates</t>
  </si>
  <si>
    <t>Other Non-Current Assets</t>
  </si>
  <si>
    <t>Total Assets</t>
  </si>
  <si>
    <t>Liabilities</t>
  </si>
  <si>
    <t>Current Liabilities</t>
  </si>
  <si>
    <t>Account Payable</t>
  </si>
  <si>
    <t>Other Current liabilities</t>
  </si>
  <si>
    <t>Non-Current Liabilities</t>
  </si>
  <si>
    <t>Debt</t>
  </si>
  <si>
    <t>Other Non Current liabilities</t>
  </si>
  <si>
    <t>Shareholder's Equity</t>
  </si>
  <si>
    <t>Equity Capital</t>
  </si>
  <si>
    <t>Retained Earnings</t>
  </si>
  <si>
    <t>Total Equity &amp; liabilities</t>
  </si>
  <si>
    <t>Cash Flow Statement</t>
  </si>
  <si>
    <t>Supporting Schedules</t>
  </si>
  <si>
    <t>Ratio Analysis</t>
  </si>
  <si>
    <t>Cash From Operating</t>
  </si>
  <si>
    <t>Plus. Depreciation</t>
  </si>
  <si>
    <t>Plus/Add. Other Adjustment</t>
  </si>
  <si>
    <t>Plus/Add. Other Assets and libialities</t>
  </si>
  <si>
    <t>Net Cash From Operating</t>
  </si>
  <si>
    <t>Investing Cash Flow</t>
  </si>
  <si>
    <t>Investment In PP&amp;E</t>
  </si>
  <si>
    <t>Sale of PP&amp;E</t>
  </si>
  <si>
    <t>Purchase and Sale of Investment</t>
  </si>
  <si>
    <t>Interest Received</t>
  </si>
  <si>
    <t>Dividend Received</t>
  </si>
  <si>
    <t>Financing Cash Flow</t>
  </si>
  <si>
    <t>Issuance/Repayment of Debt</t>
  </si>
  <si>
    <t>Dividend and Dividend Related Payment</t>
  </si>
  <si>
    <t>Interest Paid</t>
  </si>
  <si>
    <t>Cash From Financing</t>
  </si>
  <si>
    <t>Net Increase/Decrease in Cash</t>
  </si>
  <si>
    <t>Opening Cash Balance</t>
  </si>
  <si>
    <t>Closing Cash Balance</t>
  </si>
  <si>
    <t>Account Receivable</t>
  </si>
  <si>
    <t>Accounts Payable</t>
  </si>
  <si>
    <t>Others</t>
  </si>
  <si>
    <t>DSO</t>
  </si>
  <si>
    <t>DIO</t>
  </si>
  <si>
    <t>DPO</t>
  </si>
  <si>
    <t>Net Trade Cycle</t>
  </si>
  <si>
    <t>Depeciation Schedules</t>
  </si>
  <si>
    <t>Opening PP&amp;E</t>
  </si>
  <si>
    <t>Add. Capex</t>
  </si>
  <si>
    <t>less. Depreciation</t>
  </si>
  <si>
    <t>Closing PP&amp;E</t>
  </si>
  <si>
    <t>Interest Schedule</t>
  </si>
  <si>
    <t>Debt Opening</t>
  </si>
  <si>
    <t>Issuance / Repayment</t>
  </si>
  <si>
    <t>Debt Closing</t>
  </si>
  <si>
    <t>Interest Expenses</t>
  </si>
  <si>
    <t>Other Reserves</t>
  </si>
  <si>
    <t>Master Check.</t>
  </si>
  <si>
    <t>Payment of principal portion of lease liab.</t>
  </si>
  <si>
    <t>Net Exchange Difference</t>
  </si>
  <si>
    <t>Dividend Payout Ratio</t>
  </si>
  <si>
    <t>(% on Net Profit)</t>
  </si>
  <si>
    <t>Interest (Expenses)</t>
  </si>
  <si>
    <t>Common Sizing Statement</t>
  </si>
  <si>
    <t>Market Returns</t>
  </si>
  <si>
    <t>Date</t>
  </si>
  <si>
    <t>Closing</t>
  </si>
  <si>
    <t>Index Price</t>
  </si>
  <si>
    <t>Index</t>
  </si>
  <si>
    <t>NIFTY 50 TRI</t>
  </si>
  <si>
    <t>Yearfrac</t>
  </si>
  <si>
    <t>Comps Data</t>
  </si>
  <si>
    <t>(INR in Crs)</t>
  </si>
  <si>
    <t>Profitability Ratios</t>
  </si>
  <si>
    <t>Gross Margin</t>
  </si>
  <si>
    <t>EBITDA Margin</t>
  </si>
  <si>
    <t>Operating Margin</t>
  </si>
  <si>
    <t>Pretax Margin</t>
  </si>
  <si>
    <t>Effective Tax rate</t>
  </si>
  <si>
    <t>Net Margin</t>
  </si>
  <si>
    <t>DuPont/Earning Power</t>
  </si>
  <si>
    <t>Pre tax ROA</t>
  </si>
  <si>
    <t>Pre Tax ROE</t>
  </si>
  <si>
    <t>Tax Complement</t>
  </si>
  <si>
    <t>ROE</t>
  </si>
  <si>
    <t>Equity Retention</t>
  </si>
  <si>
    <t>Liquidity Ratio</t>
  </si>
  <si>
    <t>Quick ratio</t>
  </si>
  <si>
    <t>Current ratio</t>
  </si>
  <si>
    <t>Cash Cycle (Days)</t>
  </si>
  <si>
    <t>Asset/Equity</t>
  </si>
  <si>
    <t>Debt/Equity</t>
  </si>
  <si>
    <t>A/R Turnover</t>
  </si>
  <si>
    <t>Inventory Turnover</t>
  </si>
  <si>
    <t>A/P Turnover</t>
  </si>
  <si>
    <t>Leverage Ratio</t>
  </si>
  <si>
    <t>Operating Ratio</t>
  </si>
  <si>
    <t>Trends</t>
  </si>
  <si>
    <t>DCF Valuation</t>
  </si>
  <si>
    <t>Transaction Date</t>
  </si>
  <si>
    <t>Fiscal Year End</t>
  </si>
  <si>
    <t>Tax Rate</t>
  </si>
  <si>
    <t>EV/EBITDA Multiple</t>
  </si>
  <si>
    <t>Perpetual Growth Rate</t>
  </si>
  <si>
    <t>Discount Rate</t>
  </si>
  <si>
    <t>Shares Outstanding</t>
  </si>
  <si>
    <t>Current Price</t>
  </si>
  <si>
    <t>Discounted Cash Flow</t>
  </si>
  <si>
    <t>Time Periods</t>
  </si>
  <si>
    <t>Year Frac.</t>
  </si>
  <si>
    <t>Less. Cash Taxes</t>
  </si>
  <si>
    <t>Plus: Depreciation &amp; Amortization</t>
  </si>
  <si>
    <t>Less. Capex</t>
  </si>
  <si>
    <t>Less. Changes in Working Capital</t>
  </si>
  <si>
    <t>Unlevered FCFF</t>
  </si>
  <si>
    <t>Transaction FCFF</t>
  </si>
  <si>
    <t>Net Operating Profit After Tax</t>
  </si>
  <si>
    <t>Exit</t>
  </si>
  <si>
    <t>Intrinsic Value</t>
  </si>
  <si>
    <t>Market Value</t>
  </si>
  <si>
    <t>Rate of Return</t>
  </si>
  <si>
    <t>Enterprise Value</t>
  </si>
  <si>
    <t>Market Cap</t>
  </si>
  <si>
    <t>Plus: Cash &amp; Equivalents</t>
  </si>
  <si>
    <t>Plus: Debt</t>
  </si>
  <si>
    <t>Target Price</t>
  </si>
  <si>
    <t>Less: Debt</t>
  </si>
  <si>
    <t>TP Upside</t>
  </si>
  <si>
    <t>Less: Cash &amp; Equivalents</t>
  </si>
  <si>
    <t>Equity Value</t>
  </si>
  <si>
    <t>Equity Value/Share</t>
  </si>
  <si>
    <t>Sensitivity Analysis</t>
  </si>
  <si>
    <t>Sensitivities - Intrinsic Value (Rs./Shares)</t>
  </si>
  <si>
    <t>Beta</t>
  </si>
  <si>
    <t>Equity Beta</t>
  </si>
  <si>
    <t>Weekly Returns of Nifty &amp; Stocks</t>
  </si>
  <si>
    <t>Weighted Average Cost of Capital (WACC)</t>
  </si>
  <si>
    <t>Companies Comparable</t>
  </si>
  <si>
    <t>Debt/</t>
  </si>
  <si>
    <t>Levered</t>
  </si>
  <si>
    <t>Unlevered</t>
  </si>
  <si>
    <t>Value</t>
  </si>
  <si>
    <t>Capital</t>
  </si>
  <si>
    <t>Rate %</t>
  </si>
  <si>
    <t>Price</t>
  </si>
  <si>
    <t>Returns</t>
  </si>
  <si>
    <t>Kirloskar</t>
  </si>
  <si>
    <t>Swaraj</t>
  </si>
  <si>
    <t>Greaves</t>
  </si>
  <si>
    <t>Cummins</t>
  </si>
  <si>
    <t>Companies</t>
  </si>
  <si>
    <t>Cummins India</t>
  </si>
  <si>
    <t>Kirloskar Engines</t>
  </si>
  <si>
    <t>Swaraj Engines</t>
  </si>
  <si>
    <t>Greaves Cotton</t>
  </si>
  <si>
    <t>Name</t>
  </si>
  <si>
    <t>P/E</t>
  </si>
  <si>
    <t>CMP Rs.</t>
  </si>
  <si>
    <t>Debt Rs.Cr.</t>
  </si>
  <si>
    <t>Mar Cap Rs.Cr.</t>
  </si>
  <si>
    <t>No. Eq. Shares Cr.</t>
  </si>
  <si>
    <t>Cash End Rs.Cr.</t>
  </si>
  <si>
    <t>Sales Rs.Cr.</t>
  </si>
  <si>
    <t>NP Rs.Cr.</t>
  </si>
  <si>
    <t>Market Data</t>
  </si>
  <si>
    <t>Financial   Data</t>
  </si>
  <si>
    <t>Valuation</t>
  </si>
  <si>
    <t>Shares</t>
  </si>
  <si>
    <t>EV</t>
  </si>
  <si>
    <t>Sales</t>
  </si>
  <si>
    <t>Earnings</t>
  </si>
  <si>
    <t>EV/Sales</t>
  </si>
  <si>
    <t>EV/EBITDA</t>
  </si>
  <si>
    <t>Ticker</t>
  </si>
  <si>
    <t>&amp; Equivalents</t>
  </si>
  <si>
    <t>x</t>
  </si>
  <si>
    <t>Comps Valuation - Cummins India</t>
  </si>
  <si>
    <t>₹/Shares</t>
  </si>
  <si>
    <t>₹Cr</t>
  </si>
  <si>
    <t>Cr</t>
  </si>
  <si>
    <t>Average</t>
  </si>
  <si>
    <t>Median</t>
  </si>
  <si>
    <t>Metrics</t>
  </si>
  <si>
    <t>Comps</t>
  </si>
  <si>
    <t>Net Debt</t>
  </si>
  <si>
    <t>Shares Price</t>
  </si>
  <si>
    <t>EV/Revenue</t>
  </si>
  <si>
    <t>WACC Calculation</t>
  </si>
  <si>
    <t>Target Capital Structure</t>
  </si>
  <si>
    <t>Proportion of Debt</t>
  </si>
  <si>
    <t>Propertion of Equity</t>
  </si>
  <si>
    <t>Current Capital Structure</t>
  </si>
  <si>
    <t>Total Debt</t>
  </si>
  <si>
    <t>Debt / Equity</t>
  </si>
  <si>
    <t>Cost of Debt</t>
  </si>
  <si>
    <t>Pre-Tax Cost of Debt</t>
  </si>
  <si>
    <t>After-Tax Cost of Debt</t>
  </si>
  <si>
    <t>Cost of Equity</t>
  </si>
  <si>
    <t>Risk Free Rate</t>
  </si>
  <si>
    <t>Equity Market Return</t>
  </si>
  <si>
    <t>Equity Risk Premium</t>
  </si>
  <si>
    <t>Levered Equity Beta</t>
  </si>
  <si>
    <t>WACC</t>
  </si>
  <si>
    <t>(India 10-Year Bond Yield Historical Data)</t>
  </si>
  <si>
    <t>Cash Flow Statement Inputs</t>
  </si>
  <si>
    <t>Balance Sheet Inputs</t>
  </si>
  <si>
    <t>Profit &amp; loss Statement Inputs</t>
  </si>
  <si>
    <t>Adjustments to reconcile PBT to net cash flows</t>
  </si>
  <si>
    <t>Terminal Value</t>
  </si>
  <si>
    <t>Perp. Growth</t>
  </si>
  <si>
    <t>P&amp;L Inputs</t>
  </si>
  <si>
    <t>BS Inputs</t>
  </si>
  <si>
    <t>CF Inputs</t>
  </si>
  <si>
    <t>Market Return</t>
  </si>
  <si>
    <t>Summary</t>
  </si>
  <si>
    <t>Sheets</t>
  </si>
  <si>
    <t>References</t>
  </si>
  <si>
    <t>The average of the audited years is used to forecast DSO, DIO, and DPO.</t>
  </si>
  <si>
    <t>Trade Receivables, Inventory and Trade Payables are forecasted by using DSO, DIO,DPO method</t>
  </si>
  <si>
    <t>Common size analysis assumes that expressing all line items as a percentage of a base figure (like revenue or total assets) enables easy comparison across companies and time periods. It also assumes consistency in accounting methods for meaningful insights.</t>
  </si>
  <si>
    <t>Retained earnings are projected by cumulatively adding net profit after tax and subtracting dividends each year, reflecting the company's reinvested profits.</t>
  </si>
  <si>
    <t>Scenarios is projected as taking average year as base case and adjusted by 5% for best and bear cases</t>
  </si>
  <si>
    <t>All the costs are projected as a % revenue from operations except for finance costs which are calculated on PY end borrowings and latest years's % rates are used for projections.</t>
  </si>
  <si>
    <t>Dividend received (including recvd. from associate and JV )</t>
  </si>
  <si>
    <t>(As Per RBI Data)</t>
  </si>
  <si>
    <t>Interpretations</t>
  </si>
  <si>
    <t>The Debt/Equity Ratio shows a significant decrease from 0.12 in 2020 to 0.02 in 2024, reflecting a sharp reduction in the company's reliance on debt for financing. From 2025 to 2034, the ratio remains extremely low, consistently at 0.01, indicating that Cummins India will continue to operate with minimal debt, relying almost entirely on equity for financing.</t>
  </si>
  <si>
    <t>(As Per Company Data)</t>
  </si>
  <si>
    <t>(As Per IBEF Data)</t>
  </si>
  <si>
    <t>J15.S15,J18.S18</t>
  </si>
  <si>
    <t>D28:S30</t>
  </si>
  <si>
    <t xml:space="preserve">Valuation Summary - Football Field </t>
  </si>
  <si>
    <t>Footabll Field Data</t>
  </si>
  <si>
    <t>DCF</t>
  </si>
  <si>
    <t>52-week hi/lo</t>
  </si>
  <si>
    <t>High</t>
  </si>
  <si>
    <t>Low</t>
  </si>
  <si>
    <t>Valuation Summary</t>
  </si>
  <si>
    <t>Market Consensus</t>
  </si>
  <si>
    <t>J27:S30</t>
  </si>
  <si>
    <t>J29:S29</t>
  </si>
  <si>
    <t>D10:I56</t>
  </si>
  <si>
    <t>J10:S39</t>
  </si>
  <si>
    <t>J11:S11</t>
  </si>
  <si>
    <t>J36:S36</t>
  </si>
  <si>
    <t>J14:S16</t>
  </si>
  <si>
    <t>J22:S22</t>
  </si>
  <si>
    <t>D11:S272</t>
  </si>
  <si>
    <t>D10:K23</t>
  </si>
  <si>
    <t>D8:F535</t>
  </si>
  <si>
    <t>J15:S15,J18:S18</t>
  </si>
  <si>
    <t>Common-Sizing Statement</t>
  </si>
  <si>
    <t xml:space="preserve">From 2020 to 2024, Gross Margin fluctuated, peaking at 36.62% in 2021 before decreasing to 32.80% in 2023. However, it stabilized back at around 34.76 % from 2025 to 2034. This trend suggests that while Cummins India faced some variability in profitability, it has managed to stabilize its margins in recent years. The fluctuations earlier indicate possible cost pressures or changes in product mix, but the consistent margin in the forecast period implies better cost control and stability in operations going forward.
</t>
  </si>
  <si>
    <t>From 2020 to 2024, EBITDA Margin showed a steady increase, rising from 11.35% in 2020 to 19.66% in 2024. This indicates that Cummins India significantly improved its operating profitability over these years. However, from 2025 onwards, the margin is expected to stabilize at 16.48%, suggesting a more consistent and sustainable level of profitability moving forward.</t>
  </si>
  <si>
    <t>From 2020 to 2024, Pretax Margin showed a consistent increase, from 15.55% to 24.50%, reflecting a significant improvement in profitability before taxes. After 2024, the margin increased between 21.56% to  22.65%, indicating a steady level of pretax profitability.</t>
  </si>
  <si>
    <t>From 2020 to 2024, the Effective Tax Rate fluctuated between 12.62% and 21.96%, with a noticeable increase after 2020. The rate increased to 21.96% in 2024, but then increased to around 22.46% to 23.96% in the forecast period (2025-2034).</t>
  </si>
  <si>
    <t>From 2020 to 2024, Net Margin showed a steady increase from 13.59% to 19.12%, indicating improving overall profitability. After 2024, the margin stabilizes between 16.72% and 17.23%, reflecting a consistent and sustainable level of net profitability.</t>
  </si>
  <si>
    <t>The Pre-tax ROE (Return on Equity) shows a strong improvement from 2021 to 2024, increasing from 9.11% to 17.82%, reflecting enhanced profitability to shareholder equity. After 2024, the ROE decreased around 16.28% to 13.60%, suggesting a consistent return on equity, though with a gradual decline from the peak.</t>
  </si>
  <si>
    <t>The Pre-tax ROA (Return on Assets) shows a strong increase from 2021 to 2024, rising from 13.58% to 26.11%, indicating that Cummins India significantly improved its ability to generate pre-tax earnings from its assets. After 2024, the ROA decrease around 24.36% to 22.22%, suggesting a slight decrease from the peak but still a healthy return on assets.</t>
  </si>
  <si>
    <t>The Tax Complement shows a consistent increase from 1.14 in 2020 to 1.32 in 2034. This indicates that the company’s effective tax rate is slightly increasing over time, meaning that the taxes paid are becoming a larger proportion of the pre-tax earnings.</t>
  </si>
  <si>
    <t>The ROE (Return on Equity) shows a gradual increase from 7.79% in 2021 to 9.93% in 2024, reflecting improved profitability and more effective use of shareholders' equity. After 2024, the ROE decreases by around 12.18% to 9.78%, with slight fluctuations, suggesting a steady but modest return on equity going forward.</t>
  </si>
  <si>
    <t>The Equity Retention shows a declining trend from 2020 to 2024, decreasing from 4.53 in 2020 to 3.13 in 2024, indicating that Cummins India retained less of its profits for reinvestment over these years. From 2025 onwards, the retention rate gradually increases around 3.53 to 4.81</t>
  </si>
  <si>
    <t>The Quick Ratio shows a significant increase from 2.51 in 2020 to 9.24 in 2024, indicating a strong improvement in the company’s liquidity position and its ability to cover short-term liabilities with its most liquid assets. From 2025 onwards, the ratio continues to rise steadily, reaching 50.56 by 2034.</t>
  </si>
  <si>
    <t>The Current Ratio shows a gradual increase from 2.21 in 2020 to 2.42 in 2024, indicating a moderate improvement in Cummins India’s ability to cover its short-term liabilities with its current assets. From 2025 onwards, the ratio continues to rise steadily, reaching 5.28 by 2034.</t>
  </si>
  <si>
    <t>The Asset/Equity Ratio shows a decrease from 1.41 in 2020 to 1.36 in 2024, indicating a slight reduction in leverage and a more conservative financial approach during the historical period. From 2025 to 2034, the ratio continues to decline, reaching 1.22, suggesting that Cummins India will rely even more on equity than debt for financing, reflecting improved financial stability and reduced risk. This trend indicates a shift towards a stronger, more conservative capital structure in the forecasted period.</t>
  </si>
  <si>
    <t>The Accounts Receivable (A/R) Turnover shows an increasing trend from 3.90 in 2021 to 4.89 in 2024, indicating that Cummins India improved its efficiency in collecting receivables over the first few years. From 2025 onwards, the turnover is decreasing at around 4.79 to 4.64 , suggesting that the company will maintain a consistent and efficient approach to managing receivables in the forecasted period.</t>
  </si>
  <si>
    <t>The Inventory Turnover shows an increasing trend from 4.84 in 2021 to 6.23 in 2024, indicating that Cummins India became more efficient in managing its inventory and turning it over into sales. After 2024, the ratio decreased around 6.35 to 5.78 in 2034, suggesting that the company will maintain a steady level of inventory management efficiency in the forecasted period.</t>
  </si>
  <si>
    <t>The Accounts Payable (A/P) Turnover shows an increasing trend from 3.87 in 2021 to 4.51 in 2024, indicating that Cummins India improved its efficiency in paying off its suppliers. From 2025 onwards, the turnover fluctuates slightly but decreased around 4.89 to 4.37, suggesting that the company is expected to maintain a consistent approach to managing its payables in the forecasted period.</t>
  </si>
  <si>
    <t>I10:N32</t>
  </si>
  <si>
    <t>Market return is estimated using 10 years of weekly closing data from the Nifty 50 Index, representing long-term market performance.</t>
  </si>
  <si>
    <t>The Football Field Chart illustrates DLF’s valuation spectrum using methods such as DCF, trading comparables, 52-week price range, and analyst estimates. It offers a visual comparison of intrinsic and market-based valuation metrics across various scenarios.</t>
  </si>
  <si>
    <t>Comparable companies are chosen based on alignment in industry, scale, geographic presence, and business model to ensure meaningful financial comparisons.</t>
  </si>
  <si>
    <t>Equity return has been calculated using the SLOPE function, based on the company's stock prices and market index data over the past 5 years.</t>
  </si>
  <si>
    <t>E18:S18</t>
  </si>
  <si>
    <t>Other expenses as a percentage of revenue have been calculated using the average of the latest 3 years</t>
  </si>
  <si>
    <t>E29:S29</t>
  </si>
  <si>
    <t>Capex of the year 2025 has been forecasted by increasing 0.5% every year to the latest audited year i.e 2024, and depreciation rate is projected year's rate and increased by 1% every 3 years</t>
  </si>
  <si>
    <t>Nifty 50</t>
  </si>
  <si>
    <t>From 2020 to 2024, Operating Margin steadily increased from 9.03% to 17.89%, indicating improving operational efficiency and profitability. However from, 2025 onwards, the margin increased around 14.78% to 15.73%, reflecting a more consistent and sustainable level of profitability.</t>
  </si>
  <si>
    <t>The Cash Cycle shows an initial increase from 67.55 days in 2020 to 69.06 days in 2021, indicating a slight delay in converting its investments back into cash. From 2022, it has decreased by around 55.53 days in 2024, and after 2025 onwards, the cash cycle improves and stabilizes around 60.22 days, suggesting more efficient management of working capital and quicker cash conversion.</t>
  </si>
  <si>
    <t>Cost of good sold, Other Income, and Share of associates' profits are projected using 5-year average of the sale of Products.</t>
  </si>
  <si>
    <t>Changes %</t>
  </si>
  <si>
    <t>The tax rate is anticipated to escalate by 0.5% at three-year intervals.</t>
  </si>
  <si>
    <t>The dividend payout ratio has been determined by calculating the average of the lastest 3 years'</t>
  </si>
  <si>
    <t>A uniform dividend payout ratio of 58% has been assumed throughout the projection period indicating a stable and consistent dividend distribution policy.</t>
  </si>
  <si>
    <r>
      <rPr>
        <b/>
        <sz val="11"/>
        <color theme="1"/>
        <rFont val="Cambria"/>
        <family val="1"/>
      </rPr>
      <t>Balance sheet items</t>
    </r>
    <r>
      <rPr>
        <sz val="11"/>
        <color theme="1"/>
        <rFont val="Cambria"/>
        <family val="1"/>
      </rPr>
      <t xml:space="preserve"> are projected as a percentage of revenue, using the latest year’s ratios. Borrowings are adjusted based on available cash, while investments in joint ventures and associates are projected using the average percentage of revenue.</t>
    </r>
  </si>
  <si>
    <t>Bank and bank balance remain constrained throughout the projected years from 2025 to 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</si>
</sst>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quot;₹&quot;\-#,##0"/>
    <numFmt numFmtId="43" formatCode="_ * #,##0.00_ ;_ * \-#,##0.00_ ;_ * &quot;-&quot;??_ ;_ @_ "/>
    <numFmt numFmtId="164" formatCode="#,##0.0"/>
    <numFmt numFmtId="165" formatCode="\-\-"/>
    <numFmt numFmtId="166" formatCode="0.0%"/>
    <numFmt numFmtId="167" formatCode="_ * #,##0.0_ ;_ * \-#,##0.0_ ;_ * &quot;-&quot;??_ ;_ @_ "/>
    <numFmt numFmtId="168" formatCode="0.00_ "/>
    <numFmt numFmtId="169" formatCode="0.0"/>
    <numFmt numFmtId="170" formatCode="0.0_ "/>
    <numFmt numFmtId="171" formatCode="0.0&quot;x&quot;"/>
    <numFmt numFmtId="172" formatCode="0.000%"/>
    <numFmt numFmtId="173" formatCode="0.0000%"/>
    <numFmt numFmtId="174" formatCode="0.00&quot;x&quot;"/>
    <numFmt numFmtId="175" formatCode="&quot;-&quot;"/>
    <numFmt numFmtId="176" formatCode="0.00000%"/>
  </numFmts>
  <fonts count="57" x14ac:knownFonts="1">
    <font>
      <sz val="11"/>
      <color theme="1"/>
      <name val="Calibri"/>
      <family val="2"/>
      <charset val="1"/>
    </font>
    <font>
      <sz val="11"/>
      <color theme="1"/>
      <name val="Cambria"/>
      <family val="1"/>
    </font>
    <font>
      <sz val="12"/>
      <color theme="1"/>
      <name val="Cambria"/>
      <family val="1"/>
    </font>
    <font>
      <i/>
      <sz val="12"/>
      <color theme="1"/>
      <name val="Cambria"/>
      <family val="1"/>
    </font>
    <font>
      <b/>
      <sz val="12"/>
      <color theme="1"/>
      <name val="Cambria"/>
      <family val="1"/>
    </font>
    <font>
      <b/>
      <sz val="13"/>
      <color theme="0"/>
      <name val="Cambria"/>
      <family val="1"/>
    </font>
    <font>
      <i/>
      <sz val="11"/>
      <color theme="1"/>
      <name val="Cambria"/>
      <family val="1"/>
    </font>
    <font>
      <b/>
      <sz val="11"/>
      <color theme="1"/>
      <name val="Cambria"/>
      <family val="1"/>
    </font>
    <font>
      <sz val="11"/>
      <color rgb="FF0070C0"/>
      <name val="Cambria"/>
      <family val="1"/>
    </font>
    <font>
      <sz val="11"/>
      <color rgb="FF0070C0"/>
      <name val="Cambria"/>
      <family val="1"/>
      <charset val="1"/>
    </font>
    <font>
      <sz val="11"/>
      <color rgb="FF00B050"/>
      <name val="Cambria"/>
      <family val="1"/>
    </font>
    <font>
      <sz val="11"/>
      <color indexed="8"/>
      <name val="Cambria"/>
      <family val="1"/>
    </font>
    <font>
      <b/>
      <sz val="13"/>
      <color indexed="9"/>
      <name val="Cambria"/>
      <family val="1"/>
    </font>
    <font>
      <sz val="11"/>
      <name val="Cambria"/>
      <family val="1"/>
    </font>
    <font>
      <i/>
      <sz val="11"/>
      <name val="Cambria"/>
      <family val="1"/>
    </font>
    <font>
      <b/>
      <sz val="11"/>
      <name val="Cambria"/>
      <family val="1"/>
    </font>
    <font>
      <i/>
      <u/>
      <sz val="11"/>
      <color theme="1"/>
      <name val="Cambria"/>
      <family val="1"/>
    </font>
    <font>
      <sz val="10"/>
      <name val="Cambria"/>
      <family val="1"/>
    </font>
    <font>
      <b/>
      <sz val="11"/>
      <color indexed="9"/>
      <name val="Cambria"/>
      <family val="1"/>
    </font>
    <font>
      <b/>
      <sz val="11"/>
      <color indexed="8"/>
      <name val="Cambria"/>
      <family val="1"/>
    </font>
    <font>
      <i/>
      <sz val="11"/>
      <color theme="0" tint="-0.14999847407452621"/>
      <name val="Cambria"/>
      <family val="1"/>
    </font>
    <font>
      <sz val="11"/>
      <color rgb="FF22222F"/>
      <name val="Cambria"/>
      <family val="1"/>
    </font>
    <font>
      <sz val="11"/>
      <color rgb="FF00B0F0"/>
      <name val="Cambria"/>
      <family val="1"/>
    </font>
    <font>
      <b/>
      <sz val="11"/>
      <color theme="1"/>
      <name val="Cambria"/>
      <family val="1"/>
      <charset val="1"/>
    </font>
    <font>
      <b/>
      <i/>
      <sz val="11"/>
      <color theme="1"/>
      <name val="Cambria"/>
      <family val="1"/>
    </font>
    <font>
      <b/>
      <sz val="11"/>
      <color theme="0"/>
      <name val="Cambria"/>
      <family val="1"/>
    </font>
    <font>
      <sz val="11"/>
      <color rgb="FF000000"/>
      <name val="Book Antiqua"/>
      <family val="1"/>
    </font>
    <font>
      <b/>
      <sz val="12"/>
      <color rgb="FF000000"/>
      <name val="Book Antiqua"/>
      <family val="1"/>
    </font>
    <font>
      <b/>
      <sz val="12"/>
      <color theme="0"/>
      <name val="Book Antiqua"/>
      <family val="1"/>
    </font>
    <font>
      <sz val="9"/>
      <color theme="1"/>
      <name val="Cambria"/>
      <family val="1"/>
    </font>
    <font>
      <b/>
      <sz val="11"/>
      <color theme="1"/>
      <name val="Book Antiqua"/>
      <family val="1"/>
    </font>
    <font>
      <sz val="11"/>
      <color theme="1"/>
      <name val="Book Antiqua"/>
      <family val="1"/>
    </font>
    <font>
      <i/>
      <sz val="11"/>
      <color rgb="FF0070C0"/>
      <name val="Cambria"/>
      <family val="1"/>
    </font>
    <font>
      <b/>
      <sz val="11"/>
      <color theme="0"/>
      <name val="Book Antiqua"/>
      <family val="1"/>
    </font>
    <font>
      <b/>
      <sz val="12"/>
      <color theme="0"/>
      <name val="Cambria"/>
      <family val="1"/>
    </font>
    <font>
      <sz val="11"/>
      <color indexed="8"/>
      <name val="Book Antiqua"/>
      <family val="1"/>
    </font>
    <font>
      <sz val="11"/>
      <name val="Book Antiqua"/>
      <family val="1"/>
    </font>
    <font>
      <sz val="11"/>
      <color theme="0"/>
      <name val="Cambria"/>
      <family val="1"/>
    </font>
    <font>
      <b/>
      <sz val="11"/>
      <color rgb="FF000000"/>
      <name val="Book Antiqua"/>
      <family val="1"/>
    </font>
    <font>
      <sz val="11"/>
      <color rgb="FF22222F"/>
      <name val="Cambria"/>
      <family val="1"/>
    </font>
    <font>
      <sz val="11"/>
      <name val="Cambria"/>
      <family val="1"/>
    </font>
    <font>
      <sz val="11"/>
      <color rgb="FF0070C0"/>
      <name val="Cambria"/>
      <family val="1"/>
    </font>
    <font>
      <b/>
      <sz val="11"/>
      <color rgb="FFFFFFFF"/>
      <name val="Cambria"/>
      <family val="1"/>
    </font>
    <font>
      <b/>
      <u/>
      <sz val="11"/>
      <color rgb="FFFFFFFF"/>
      <name val="Cambria"/>
      <family val="1"/>
    </font>
    <font>
      <sz val="11"/>
      <color rgb="FF000000"/>
      <name val="Cambria"/>
      <family val="1"/>
    </font>
    <font>
      <b/>
      <i/>
      <sz val="11"/>
      <color rgb="FFFFFFFF"/>
      <name val="Cambria"/>
      <family val="1"/>
    </font>
    <font>
      <i/>
      <sz val="11"/>
      <color rgb="FFFFFFFF"/>
      <name val="Cambria"/>
      <family val="1"/>
    </font>
    <font>
      <sz val="11"/>
      <color theme="0"/>
      <name val="Calibri"/>
      <family val="2"/>
      <charset val="1"/>
    </font>
    <font>
      <b/>
      <sz val="11"/>
      <color rgb="FF0070C0"/>
      <name val="Cambria"/>
      <family val="1"/>
    </font>
    <font>
      <b/>
      <sz val="11"/>
      <color rgb="FF00B050"/>
      <name val="Cambria"/>
      <family val="1"/>
    </font>
    <font>
      <b/>
      <sz val="12"/>
      <color rgb="FFFFFFFF"/>
      <name val="Cambria"/>
      <family val="1"/>
    </font>
    <font>
      <i/>
      <sz val="11"/>
      <color rgb="FF232526"/>
      <name val="Cambria"/>
      <family val="1"/>
    </font>
    <font>
      <u/>
      <sz val="11"/>
      <color theme="10"/>
      <name val="Calibri"/>
      <family val="2"/>
      <charset val="1"/>
    </font>
    <font>
      <b/>
      <sz val="11"/>
      <color theme="1"/>
      <name val="Calibri"/>
      <family val="2"/>
      <charset val="1"/>
    </font>
    <font>
      <sz val="9"/>
      <name val="Book Antiqua"/>
      <family val="1"/>
    </font>
    <font>
      <b/>
      <sz val="11"/>
      <color rgb="FF000000"/>
      <name val="Cambria"/>
      <family val="1"/>
    </font>
    <font>
      <b/>
      <sz val="12"/>
      <color indexed="9"/>
      <name val="Cambria"/>
      <family val="1"/>
    </font>
  </fonts>
  <fills count="14">
    <fill>
      <patternFill patternType="none"/>
    </fill>
    <fill>
      <patternFill patternType="gray125"/>
    </fill>
    <fill>
      <patternFill patternType="solid">
        <fgColor theme="4" tint="-0.499984740745262"/>
        <bgColor indexed="64"/>
      </patternFill>
    </fill>
    <fill>
      <patternFill patternType="solid">
        <fgColor theme="0" tint="-4.9989318521683403E-2"/>
        <bgColor indexed="64"/>
      </patternFill>
    </fill>
    <fill>
      <patternFill patternType="lightGray">
        <fgColor rgb="FF000000"/>
        <bgColor rgb="FFFFFFFF"/>
      </patternFill>
    </fill>
    <fill>
      <patternFill patternType="solid">
        <fgColor theme="7" tint="0.79998168889431442"/>
        <bgColor indexed="64"/>
      </patternFill>
    </fill>
    <fill>
      <patternFill patternType="solid">
        <fgColor rgb="FFD6DCE4"/>
        <bgColor indexed="64"/>
      </patternFill>
    </fill>
    <fill>
      <patternFill patternType="solid">
        <fgColor theme="8" tint="-0.499984740745262"/>
        <bgColor indexed="64"/>
      </patternFill>
    </fill>
    <fill>
      <patternFill patternType="solid">
        <fgColor theme="0" tint="-0.14996795556505021"/>
        <bgColor indexed="64"/>
      </patternFill>
    </fill>
    <fill>
      <patternFill patternType="solid">
        <fgColor theme="0" tint="-0.1499374370555742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74">
    <border>
      <left/>
      <right/>
      <top/>
      <bottom/>
      <diagonal/>
    </border>
    <border>
      <left/>
      <right/>
      <top/>
      <bottom style="thin">
        <color theme="4" tint="-0.499984740745262"/>
      </bottom>
      <diagonal/>
    </border>
    <border>
      <left/>
      <right/>
      <top style="thin">
        <color theme="4" tint="-0.499984740745262"/>
      </top>
      <bottom style="double">
        <color theme="4" tint="-0.499984740745262"/>
      </bottom>
      <diagonal/>
    </border>
    <border>
      <left/>
      <right/>
      <top style="thin">
        <color theme="4" tint="-0.499984740745262"/>
      </top>
      <bottom/>
      <diagonal/>
    </border>
    <border>
      <left/>
      <right/>
      <top style="thin">
        <color theme="4" tint="-0.499984740745262"/>
      </top>
      <bottom style="thin">
        <color theme="4" tint="-0.499984740745262"/>
      </bottom>
      <diagonal/>
    </border>
    <border>
      <left/>
      <right/>
      <top style="double">
        <color theme="4" tint="-0.499984740745262"/>
      </top>
      <bottom style="double">
        <color theme="4" tint="-0.499984740745262"/>
      </bottom>
      <diagonal/>
    </border>
    <border>
      <left/>
      <right/>
      <top style="thin">
        <color theme="4" tint="-0.499984740745262"/>
      </top>
      <bottom style="hair">
        <color theme="4" tint="-0.499984740745262"/>
      </bottom>
      <diagonal/>
    </border>
    <border>
      <left/>
      <right/>
      <top style="hair">
        <color auto="1"/>
      </top>
      <bottom/>
      <diagonal/>
    </border>
    <border>
      <left style="thin">
        <color theme="4" tint="-0.499984740745262"/>
      </left>
      <right/>
      <top/>
      <bottom/>
      <diagonal/>
    </border>
    <border>
      <left style="thin">
        <color theme="4" tint="-0.499984740745262"/>
      </left>
      <right/>
      <top/>
      <bottom style="thin">
        <color theme="4" tint="-0.499984740745262"/>
      </bottom>
      <diagonal/>
    </border>
    <border>
      <left style="thin">
        <color theme="4" tint="-0.499984740745262"/>
      </left>
      <right/>
      <top style="thin">
        <color theme="4" tint="-0.499984740745262"/>
      </top>
      <bottom/>
      <diagonal/>
    </border>
    <border>
      <left style="thin">
        <color theme="4" tint="-0.499984740745262"/>
      </left>
      <right/>
      <top style="thin">
        <color theme="4" tint="-0.499984740745262"/>
      </top>
      <bottom style="double">
        <color theme="4" tint="-0.499984740745262"/>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hair">
        <color theme="4" tint="-0.499984740745262"/>
      </left>
      <right style="hair">
        <color theme="4" tint="-0.499984740745262"/>
      </right>
      <top style="hair">
        <color theme="4" tint="-0.499984740745262"/>
      </top>
      <bottom style="hair">
        <color theme="4" tint="-0.499984740745262"/>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theme="4" tint="-0.499984740745262"/>
      </left>
      <right/>
      <top style="thin">
        <color theme="4" tint="-0.499984740745262"/>
      </top>
      <bottom style="thin">
        <color theme="4" tint="-0.49998474074526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theme="4" tint="-0.499984740745262"/>
      </left>
      <right/>
      <top style="double">
        <color theme="4" tint="-0.499984740745262"/>
      </top>
      <bottom style="double">
        <color theme="4" tint="-0.499984740745262"/>
      </bottom>
      <diagonal/>
    </border>
    <border>
      <left style="thin">
        <color theme="4" tint="-0.499984740745262"/>
      </left>
      <right/>
      <top style="double">
        <color theme="4" tint="-0.499984740745262"/>
      </top>
      <bottom/>
      <diagonal/>
    </border>
    <border>
      <left/>
      <right/>
      <top style="double">
        <color theme="4" tint="-0.499984740745262"/>
      </top>
      <bottom/>
      <diagonal/>
    </border>
    <border>
      <left style="medium">
        <color auto="1"/>
      </left>
      <right style="medium">
        <color auto="1"/>
      </right>
      <top style="medium">
        <color auto="1"/>
      </top>
      <bottom style="medium">
        <color auto="1"/>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style="thin">
        <color theme="4" tint="-0.499984740745262"/>
      </top>
      <bottom/>
      <diagonal/>
    </border>
    <border>
      <left/>
      <right/>
      <top/>
      <bottom style="medium">
        <color theme="4" tint="-0.249977111117893"/>
      </bottom>
      <diagonal/>
    </border>
    <border>
      <left style="thin">
        <color theme="4" tint="-0.499984740745262"/>
      </left>
      <right/>
      <top style="thin">
        <color auto="1"/>
      </top>
      <bottom/>
      <diagonal/>
    </border>
    <border>
      <left/>
      <right/>
      <top/>
      <bottom style="thin">
        <color rgb="FF376092"/>
      </bottom>
      <diagonal/>
    </border>
    <border>
      <left/>
      <right/>
      <top style="hair">
        <color theme="4" tint="-0.499984740745262"/>
      </top>
      <bottom style="hair">
        <color theme="4" tint="-0.499984740745262"/>
      </bottom>
      <diagonal/>
    </border>
    <border>
      <left/>
      <right/>
      <top style="hair">
        <color theme="4" tint="-0.499984740745262"/>
      </top>
      <bottom style="thin">
        <color theme="4" tint="-0.499984740745262"/>
      </bottom>
      <diagonal/>
    </border>
    <border>
      <left style="thin">
        <color theme="4" tint="-0.499984740745262"/>
      </left>
      <right style="hair">
        <color theme="4" tint="-0.499984740745262"/>
      </right>
      <top style="thin">
        <color theme="4" tint="-0.499984740745262"/>
      </top>
      <bottom style="hair">
        <color theme="4" tint="-0.499984740745262"/>
      </bottom>
      <diagonal/>
    </border>
    <border>
      <left style="hair">
        <color theme="4" tint="-0.499984740745262"/>
      </left>
      <right style="hair">
        <color theme="4" tint="-0.499984740745262"/>
      </right>
      <top style="thin">
        <color theme="4" tint="-0.499984740745262"/>
      </top>
      <bottom style="hair">
        <color theme="4" tint="-0.499984740745262"/>
      </bottom>
      <diagonal/>
    </border>
    <border>
      <left style="hair">
        <color theme="4" tint="-0.499984740745262"/>
      </left>
      <right style="thin">
        <color theme="4" tint="-0.499984740745262"/>
      </right>
      <top style="thin">
        <color theme="4" tint="-0.499984740745262"/>
      </top>
      <bottom style="hair">
        <color theme="4" tint="-0.499984740745262"/>
      </bottom>
      <diagonal/>
    </border>
    <border>
      <left style="thin">
        <color theme="4" tint="-0.499984740745262"/>
      </left>
      <right style="hair">
        <color theme="4" tint="-0.499984740745262"/>
      </right>
      <top style="hair">
        <color theme="4" tint="-0.499984740745262"/>
      </top>
      <bottom style="hair">
        <color theme="4" tint="-0.499984740745262"/>
      </bottom>
      <diagonal/>
    </border>
    <border>
      <left style="hair">
        <color theme="4" tint="-0.499984740745262"/>
      </left>
      <right style="thin">
        <color theme="4" tint="-0.499984740745262"/>
      </right>
      <top style="hair">
        <color theme="4" tint="-0.499984740745262"/>
      </top>
      <bottom style="hair">
        <color theme="4" tint="-0.499984740745262"/>
      </bottom>
      <diagonal/>
    </border>
    <border>
      <left style="thin">
        <color theme="4" tint="-0.499984740745262"/>
      </left>
      <right style="hair">
        <color theme="4" tint="-0.499984740745262"/>
      </right>
      <top style="hair">
        <color theme="4" tint="-0.499984740745262"/>
      </top>
      <bottom style="thin">
        <color theme="4" tint="-0.499984740745262"/>
      </bottom>
      <diagonal/>
    </border>
    <border>
      <left style="hair">
        <color theme="4" tint="-0.499984740745262"/>
      </left>
      <right style="hair">
        <color theme="4" tint="-0.499984740745262"/>
      </right>
      <top style="hair">
        <color theme="4" tint="-0.499984740745262"/>
      </top>
      <bottom style="thin">
        <color theme="4" tint="-0.499984740745262"/>
      </bottom>
      <diagonal/>
    </border>
    <border>
      <left style="hair">
        <color theme="4" tint="-0.499984740745262"/>
      </left>
      <right style="thin">
        <color theme="4" tint="-0.499984740745262"/>
      </right>
      <top style="hair">
        <color theme="4" tint="-0.499984740745262"/>
      </top>
      <bottom style="thin">
        <color theme="4" tint="-0.499984740745262"/>
      </bottom>
      <diagonal/>
    </border>
    <border>
      <left/>
      <right/>
      <top/>
      <bottom style="thin">
        <color rgb="FFFFFFFF"/>
      </bottom>
      <diagonal/>
    </border>
    <border>
      <left/>
      <right/>
      <top style="thin">
        <color rgb="FFFFFFFF"/>
      </top>
      <bottom/>
      <diagonal/>
    </border>
    <border>
      <left style="hair">
        <color theme="4" tint="-0.499984740745262"/>
      </left>
      <right/>
      <top style="thin">
        <color theme="4" tint="-0.499984740745262"/>
      </top>
      <bottom style="hair">
        <color theme="4" tint="-0.499984740745262"/>
      </bottom>
      <diagonal/>
    </border>
    <border>
      <left style="hair">
        <color theme="4" tint="-0.499984740745262"/>
      </left>
      <right/>
      <top style="hair">
        <color theme="4" tint="-0.499984740745262"/>
      </top>
      <bottom style="hair">
        <color theme="4" tint="-0.499984740745262"/>
      </bottom>
      <diagonal/>
    </border>
    <border>
      <left style="hair">
        <color theme="4" tint="-0.499984740745262"/>
      </left>
      <right/>
      <top style="hair">
        <color theme="4" tint="-0.499984740745262"/>
      </top>
      <bottom style="thin">
        <color theme="4" tint="-0.499984740745262"/>
      </bottom>
      <diagonal/>
    </border>
    <border>
      <left style="thin">
        <color theme="4" tint="-0.499984740745262"/>
      </left>
      <right/>
      <top style="thin">
        <color theme="4" tint="-0.499984740745262"/>
      </top>
      <bottom style="hair">
        <color theme="4" tint="-0.499984740745262"/>
      </bottom>
      <diagonal/>
    </border>
    <border>
      <left style="thin">
        <color theme="4" tint="-0.499984740745262"/>
      </left>
      <right/>
      <top style="hair">
        <color auto="1"/>
      </top>
      <bottom/>
      <diagonal/>
    </border>
    <border>
      <left/>
      <right/>
      <top/>
      <bottom style="hair">
        <color theme="4" tint="-0.499984740745262"/>
      </bottom>
      <diagonal/>
    </border>
    <border>
      <left style="hair">
        <color theme="4" tint="-0.499984740745262"/>
      </left>
      <right/>
      <top/>
      <bottom style="hair">
        <color theme="4" tint="-0.499984740745262"/>
      </bottom>
      <diagonal/>
    </border>
    <border>
      <left/>
      <right style="thin">
        <color theme="4" tint="-0.499984740745262"/>
      </right>
      <top/>
      <bottom style="thin">
        <color theme="4" tint="-0.499984740745262"/>
      </bottom>
      <diagonal/>
    </border>
    <border>
      <left/>
      <right/>
      <top style="thin">
        <color theme="4" tint="-0.24994659260841701"/>
      </top>
      <bottom style="thin">
        <color theme="4" tint="-0.24994659260841701"/>
      </bottom>
      <diagonal/>
    </border>
    <border>
      <left/>
      <right style="thin">
        <color theme="4" tint="-0.499984740745262"/>
      </right>
      <top style="thin">
        <color theme="4" tint="-0.24994659260841701"/>
      </top>
      <bottom style="thin">
        <color theme="4" tint="-0.24994659260841701"/>
      </bottom>
      <diagonal/>
    </border>
    <border>
      <left/>
      <right/>
      <top style="thin">
        <color theme="4" tint="-0.499984740745262"/>
      </top>
      <bottom style="thin">
        <color theme="4" tint="-0.24994659260841701"/>
      </bottom>
      <diagonal/>
    </border>
    <border>
      <left/>
      <right style="thin">
        <color theme="4" tint="-0.499984740745262"/>
      </right>
      <top style="thin">
        <color theme="4" tint="-0.499984740745262"/>
      </top>
      <bottom style="thin">
        <color theme="4" tint="-0.24994659260841701"/>
      </bottom>
      <diagonal/>
    </border>
    <border>
      <left style="thin">
        <color theme="4" tint="-0.499984740745262"/>
      </left>
      <right style="thin">
        <color theme="4" tint="-0.499984740745262"/>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thin">
        <color auto="1"/>
      </left>
      <right style="thin">
        <color theme="4" tint="-0.499984740745262"/>
      </right>
      <top style="thin">
        <color theme="4" tint="-0.499984740745262"/>
      </top>
      <bottom style="thin">
        <color auto="1"/>
      </bottom>
      <diagonal/>
    </border>
    <border>
      <left style="thin">
        <color auto="1"/>
      </left>
      <right style="thin">
        <color theme="4" tint="-0.499984740745262"/>
      </right>
      <top style="thin">
        <color theme="4" tint="-0.499984740745262"/>
      </top>
      <bottom style="thin">
        <color theme="4" tint="-0.499984740745262"/>
      </bottom>
      <diagonal/>
    </border>
    <border>
      <left style="thin">
        <color theme="4" tint="-0.499984740745262"/>
      </left>
      <right style="thin">
        <color auto="1"/>
      </right>
      <top style="thin">
        <color theme="4" tint="-0.499984740745262"/>
      </top>
      <bottom style="thin">
        <color theme="4" tint="-0.499984740745262"/>
      </bottom>
      <diagonal/>
    </border>
    <border>
      <left style="thin">
        <color auto="1"/>
      </left>
      <right style="thin">
        <color auto="1"/>
      </right>
      <top style="thin">
        <color theme="4" tint="-0.499984740745262"/>
      </top>
      <bottom style="thin">
        <color theme="4" tint="-0.499984740745262"/>
      </bottom>
      <diagonal/>
    </border>
    <border>
      <left style="thin">
        <color auto="1"/>
      </left>
      <right style="thin">
        <color theme="4" tint="-0.499984740745262"/>
      </right>
      <top style="thin">
        <color theme="4" tint="-0.499984740745262"/>
      </top>
      <bottom/>
      <diagonal/>
    </border>
    <border>
      <left style="thin">
        <color auto="1"/>
      </left>
      <right style="thin">
        <color theme="4" tint="-0.499984740745262"/>
      </right>
      <top/>
      <bottom/>
      <diagonal/>
    </border>
    <border>
      <left style="thin">
        <color auto="1"/>
      </left>
      <right style="thin">
        <color theme="4" tint="-0.499984740745262"/>
      </right>
      <top/>
      <bottom style="thin">
        <color theme="4" tint="-0.499984740745262"/>
      </bottom>
      <diagonal/>
    </border>
  </borders>
  <cellStyleXfs count="2">
    <xf numFmtId="0" fontId="0" fillId="0" borderId="0"/>
    <xf numFmtId="0" fontId="52" fillId="0" borderId="0" applyNumberFormat="0" applyFill="0" applyBorder="0" applyAlignment="0" applyProtection="0"/>
  </cellStyleXfs>
  <cellXfs count="448">
    <xf numFmtId="0" fontId="0" fillId="0" borderId="0" xfId="0"/>
    <xf numFmtId="0" fontId="1" fillId="0" borderId="0" xfId="0" applyFont="1"/>
    <xf numFmtId="0" fontId="2" fillId="0" borderId="0" xfId="0" applyFont="1"/>
    <xf numFmtId="0" fontId="3" fillId="0" borderId="1" xfId="0" applyFont="1" applyBorder="1" applyAlignment="1">
      <alignment horizontal="right"/>
    </xf>
    <xf numFmtId="0" fontId="4" fillId="0" borderId="0" xfId="0" applyFont="1"/>
    <xf numFmtId="0" fontId="7" fillId="0" borderId="0" xfId="0" applyFont="1"/>
    <xf numFmtId="0" fontId="7" fillId="0" borderId="4" xfId="0" applyFont="1" applyBorder="1"/>
    <xf numFmtId="0" fontId="7" fillId="0" borderId="5" xfId="0" applyFont="1" applyBorder="1"/>
    <xf numFmtId="0" fontId="7" fillId="0" borderId="1" xfId="0" applyFont="1" applyBorder="1"/>
    <xf numFmtId="0" fontId="1" fillId="0" borderId="1" xfId="0" applyFont="1" applyBorder="1"/>
    <xf numFmtId="0" fontId="6" fillId="0" borderId="1" xfId="0" applyFont="1" applyBorder="1" applyAlignment="1">
      <alignment horizontal="right"/>
    </xf>
    <xf numFmtId="0" fontId="7" fillId="0" borderId="3" xfId="0" applyFont="1" applyBorder="1"/>
    <xf numFmtId="0" fontId="1" fillId="0" borderId="0" xfId="0" applyFont="1" applyAlignment="1">
      <alignment wrapText="1"/>
    </xf>
    <xf numFmtId="0" fontId="7" fillId="0" borderId="0" xfId="0" applyFont="1" applyAlignment="1">
      <alignment wrapText="1"/>
    </xf>
    <xf numFmtId="0" fontId="4" fillId="0" borderId="1" xfId="0" applyFont="1" applyBorder="1"/>
    <xf numFmtId="3" fontId="7" fillId="0" borderId="3" xfId="0" applyNumberFormat="1" applyFont="1" applyBorder="1"/>
    <xf numFmtId="3" fontId="1" fillId="0" borderId="0" xfId="0" applyNumberFormat="1" applyFont="1"/>
    <xf numFmtId="3" fontId="7" fillId="0" borderId="0" xfId="0" applyNumberFormat="1" applyFont="1"/>
    <xf numFmtId="3" fontId="2" fillId="0" borderId="0" xfId="0" applyNumberFormat="1" applyFont="1"/>
    <xf numFmtId="0" fontId="1" fillId="0" borderId="6" xfId="0" applyFont="1" applyBorder="1"/>
    <xf numFmtId="3" fontId="7" fillId="0" borderId="6" xfId="0" applyNumberFormat="1" applyFont="1" applyBorder="1"/>
    <xf numFmtId="0" fontId="7" fillId="0" borderId="6" xfId="0" applyFont="1" applyBorder="1"/>
    <xf numFmtId="3" fontId="7" fillId="0" borderId="4" xfId="0" applyNumberFormat="1" applyFont="1" applyBorder="1"/>
    <xf numFmtId="3" fontId="7" fillId="0" borderId="5" xfId="0" applyNumberFormat="1" applyFont="1" applyBorder="1"/>
    <xf numFmtId="0" fontId="6" fillId="0" borderId="0" xfId="0" applyFont="1"/>
    <xf numFmtId="165" fontId="6" fillId="0" borderId="0" xfId="0" applyNumberFormat="1" applyFont="1"/>
    <xf numFmtId="1" fontId="1" fillId="0" borderId="0" xfId="0" applyNumberFormat="1" applyFont="1"/>
    <xf numFmtId="3" fontId="1" fillId="0" borderId="4" xfId="0" applyNumberFormat="1" applyFont="1" applyBorder="1"/>
    <xf numFmtId="0" fontId="7" fillId="0" borderId="7" xfId="0" applyFont="1" applyBorder="1"/>
    <xf numFmtId="3" fontId="7" fillId="0" borderId="7" xfId="0" applyNumberFormat="1" applyFont="1" applyBorder="1"/>
    <xf numFmtId="3" fontId="7" fillId="0" borderId="1" xfId="0" applyNumberFormat="1" applyFont="1" applyBorder="1"/>
    <xf numFmtId="0" fontId="7" fillId="0" borderId="1" xfId="0" applyFont="1" applyBorder="1" applyAlignment="1">
      <alignment horizontal="left"/>
    </xf>
    <xf numFmtId="1" fontId="7" fillId="0" borderId="0" xfId="0" applyNumberFormat="1" applyFont="1"/>
    <xf numFmtId="0" fontId="7" fillId="0" borderId="8" xfId="0" applyFont="1" applyBorder="1"/>
    <xf numFmtId="0" fontId="6" fillId="0" borderId="9" xfId="0" applyFont="1" applyBorder="1" applyAlignment="1">
      <alignment horizontal="right"/>
    </xf>
    <xf numFmtId="0" fontId="1" fillId="0" borderId="8" xfId="0" applyFont="1" applyBorder="1"/>
    <xf numFmtId="3" fontId="1" fillId="0" borderId="8" xfId="0" applyNumberFormat="1" applyFont="1" applyBorder="1"/>
    <xf numFmtId="3" fontId="7" fillId="0" borderId="10" xfId="0" applyNumberFormat="1" applyFont="1" applyBorder="1"/>
    <xf numFmtId="1" fontId="7" fillId="0" borderId="4" xfId="0" applyNumberFormat="1" applyFont="1" applyBorder="1"/>
    <xf numFmtId="3" fontId="8" fillId="0" borderId="0" xfId="0" applyNumberFormat="1" applyFont="1"/>
    <xf numFmtId="1" fontId="8" fillId="0" borderId="0" xfId="0" applyNumberFormat="1" applyFont="1"/>
    <xf numFmtId="1" fontId="9" fillId="0" borderId="0" xfId="0" applyNumberFormat="1" applyFont="1"/>
    <xf numFmtId="1" fontId="10" fillId="0" borderId="0" xfId="0" applyNumberFormat="1" applyFont="1"/>
    <xf numFmtId="3" fontId="10" fillId="0" borderId="0" xfId="0" applyNumberFormat="1" applyFont="1"/>
    <xf numFmtId="0" fontId="11" fillId="0" borderId="0" xfId="0" applyFont="1"/>
    <xf numFmtId="43" fontId="11" fillId="0" borderId="0" xfId="0" applyNumberFormat="1" applyFont="1"/>
    <xf numFmtId="0" fontId="15" fillId="0" borderId="0" xfId="0" applyFont="1"/>
    <xf numFmtId="0" fontId="16" fillId="0" borderId="0" xfId="0" applyFont="1"/>
    <xf numFmtId="0" fontId="6" fillId="0" borderId="0" xfId="0" applyFont="1" applyAlignment="1">
      <alignment horizontal="right"/>
    </xf>
    <xf numFmtId="0" fontId="1" fillId="3" borderId="0" xfId="0" applyFont="1" applyFill="1"/>
    <xf numFmtId="166" fontId="1" fillId="0" borderId="0" xfId="0" applyNumberFormat="1" applyFont="1"/>
    <xf numFmtId="166" fontId="6" fillId="0" borderId="0" xfId="0" applyNumberFormat="1" applyFont="1"/>
    <xf numFmtId="166" fontId="17" fillId="4" borderId="0" xfId="0" applyNumberFormat="1" applyFont="1" applyFill="1" applyAlignment="1">
      <alignment horizontal="center" vertical="top" wrapText="1"/>
    </xf>
    <xf numFmtId="0" fontId="11" fillId="6" borderId="0" xfId="0" applyFont="1" applyFill="1" applyAlignment="1">
      <alignment horizontal="center"/>
    </xf>
    <xf numFmtId="0" fontId="11" fillId="0" borderId="0" xfId="0" applyFont="1" applyAlignment="1">
      <alignment horizontal="center"/>
    </xf>
    <xf numFmtId="0" fontId="19" fillId="0" borderId="14" xfId="0" applyFont="1" applyBorder="1" applyAlignment="1">
      <alignment horizontal="center"/>
    </xf>
    <xf numFmtId="0" fontId="19" fillId="0" borderId="16" xfId="0" applyFont="1" applyBorder="1" applyAlignment="1">
      <alignment horizontal="center"/>
    </xf>
    <xf numFmtId="0" fontId="19" fillId="0" borderId="15" xfId="0" applyFont="1" applyBorder="1" applyAlignment="1">
      <alignment horizontal="center"/>
    </xf>
    <xf numFmtId="0" fontId="11" fillId="0" borderId="13" xfId="0" applyFont="1" applyBorder="1"/>
    <xf numFmtId="0" fontId="11" fillId="0" borderId="19" xfId="0" applyFont="1" applyBorder="1"/>
    <xf numFmtId="0" fontId="11" fillId="0" borderId="20" xfId="0" applyFont="1" applyBorder="1" applyAlignment="1">
      <alignment horizontal="center"/>
    </xf>
    <xf numFmtId="167" fontId="11" fillId="0" borderId="21" xfId="0" applyNumberFormat="1" applyFont="1" applyBorder="1"/>
    <xf numFmtId="0" fontId="11" fillId="6" borderId="0" xfId="0" applyFont="1" applyFill="1"/>
    <xf numFmtId="166" fontId="6" fillId="5" borderId="17" xfId="0" applyNumberFormat="1" applyFont="1" applyFill="1" applyBorder="1"/>
    <xf numFmtId="166" fontId="1" fillId="3" borderId="0" xfId="0" applyNumberFormat="1" applyFont="1" applyFill="1"/>
    <xf numFmtId="3" fontId="1" fillId="3" borderId="4" xfId="0" applyNumberFormat="1" applyFont="1" applyFill="1" applyBorder="1"/>
    <xf numFmtId="1" fontId="1" fillId="3" borderId="0" xfId="0" applyNumberFormat="1" applyFont="1" applyFill="1"/>
    <xf numFmtId="3" fontId="1" fillId="3" borderId="0" xfId="0" applyNumberFormat="1" applyFont="1" applyFill="1"/>
    <xf numFmtId="0" fontId="14" fillId="0" borderId="1" xfId="0" applyFont="1" applyBorder="1" applyAlignment="1">
      <alignment horizontal="right"/>
    </xf>
    <xf numFmtId="0" fontId="14" fillId="3" borderId="1" xfId="0" applyFont="1" applyFill="1" applyBorder="1" applyAlignment="1">
      <alignment horizontal="right"/>
    </xf>
    <xf numFmtId="0" fontId="15" fillId="0" borderId="8" xfId="0" applyFont="1" applyBorder="1"/>
    <xf numFmtId="0" fontId="14" fillId="0" borderId="9" xfId="0" applyFont="1" applyBorder="1" applyAlignment="1">
      <alignment horizontal="right"/>
    </xf>
    <xf numFmtId="3" fontId="8" fillId="0" borderId="8" xfId="0" applyNumberFormat="1" applyFont="1" applyBorder="1"/>
    <xf numFmtId="1" fontId="8" fillId="0" borderId="8" xfId="0" applyNumberFormat="1" applyFont="1" applyBorder="1"/>
    <xf numFmtId="3" fontId="7" fillId="0" borderId="27" xfId="0" applyNumberFormat="1" applyFont="1" applyBorder="1"/>
    <xf numFmtId="1" fontId="10" fillId="0" borderId="8" xfId="0" applyNumberFormat="1" applyFont="1" applyBorder="1"/>
    <xf numFmtId="3" fontId="1" fillId="0" borderId="27" xfId="0" applyNumberFormat="1" applyFont="1" applyBorder="1"/>
    <xf numFmtId="0" fontId="6" fillId="0" borderId="8" xfId="0" applyFont="1" applyBorder="1"/>
    <xf numFmtId="166" fontId="17" fillId="4" borderId="8" xfId="0" applyNumberFormat="1" applyFont="1" applyFill="1" applyBorder="1" applyAlignment="1">
      <alignment horizontal="center" vertical="top" wrapText="1"/>
    </xf>
    <xf numFmtId="0" fontId="0" fillId="0" borderId="0" xfId="0" applyAlignment="1">
      <alignment vertical="center"/>
    </xf>
    <xf numFmtId="0" fontId="15" fillId="0" borderId="8" xfId="0" applyFont="1" applyBorder="1" applyAlignment="1">
      <alignment vertical="center"/>
    </xf>
    <xf numFmtId="0" fontId="15" fillId="0" borderId="0" xfId="0" applyFont="1" applyAlignment="1">
      <alignment vertical="center"/>
    </xf>
    <xf numFmtId="0" fontId="7" fillId="0" borderId="1" xfId="0" applyFont="1" applyBorder="1" applyAlignment="1">
      <alignment vertical="center"/>
    </xf>
    <xf numFmtId="0" fontId="14" fillId="0" borderId="9" xfId="0" applyFont="1" applyBorder="1" applyAlignment="1">
      <alignment horizontal="right" vertical="center"/>
    </xf>
    <xf numFmtId="0" fontId="14" fillId="0" borderId="1" xfId="0" applyFont="1" applyBorder="1" applyAlignment="1">
      <alignment horizontal="right" vertical="center"/>
    </xf>
    <xf numFmtId="0" fontId="14" fillId="3" borderId="1" xfId="0" applyFont="1" applyFill="1" applyBorder="1" applyAlignment="1">
      <alignment horizontal="right" vertical="center"/>
    </xf>
    <xf numFmtId="0" fontId="18" fillId="2" borderId="0" xfId="0" applyFont="1" applyFill="1"/>
    <xf numFmtId="0" fontId="18" fillId="2" borderId="0" xfId="0" applyFont="1" applyFill="1" applyAlignment="1">
      <alignment horizontal="center"/>
    </xf>
    <xf numFmtId="0" fontId="0" fillId="0" borderId="29" xfId="0" applyBorder="1"/>
    <xf numFmtId="0" fontId="0" fillId="0" borderId="30" xfId="0" applyBorder="1"/>
    <xf numFmtId="0" fontId="0" fillId="3" borderId="0" xfId="0" applyFill="1"/>
    <xf numFmtId="3" fontId="7" fillId="3" borderId="4" xfId="0" applyNumberFormat="1" applyFont="1" applyFill="1" applyBorder="1"/>
    <xf numFmtId="3" fontId="10" fillId="0" borderId="8" xfId="0" applyNumberFormat="1" applyFont="1" applyBorder="1"/>
    <xf numFmtId="0" fontId="6" fillId="3" borderId="1" xfId="0" applyFont="1" applyFill="1" applyBorder="1" applyAlignment="1">
      <alignment horizontal="right"/>
    </xf>
    <xf numFmtId="0" fontId="1" fillId="0" borderId="0" xfId="0" applyFont="1" applyAlignment="1">
      <alignment vertical="center"/>
    </xf>
    <xf numFmtId="0" fontId="7" fillId="0" borderId="0" xfId="0" applyFont="1" applyAlignment="1">
      <alignment vertical="center"/>
    </xf>
    <xf numFmtId="0" fontId="7" fillId="0" borderId="5" xfId="0" applyFont="1" applyBorder="1" applyAlignment="1">
      <alignment vertical="center"/>
    </xf>
    <xf numFmtId="0" fontId="18" fillId="2" borderId="12" xfId="0" applyFont="1" applyFill="1" applyBorder="1"/>
    <xf numFmtId="0" fontId="18" fillId="2" borderId="12" xfId="0" applyFont="1" applyFill="1" applyBorder="1" applyAlignment="1">
      <alignment vertical="center" wrapText="1"/>
    </xf>
    <xf numFmtId="0" fontId="23" fillId="0" borderId="4" xfId="0" applyFont="1" applyBorder="1"/>
    <xf numFmtId="0" fontId="0" fillId="0" borderId="10" xfId="0" applyBorder="1"/>
    <xf numFmtId="0" fontId="0" fillId="0" borderId="8" xfId="0" applyBorder="1"/>
    <xf numFmtId="0" fontId="7" fillId="0" borderId="10" xfId="0" applyFont="1" applyBorder="1"/>
    <xf numFmtId="0" fontId="0" fillId="0" borderId="3" xfId="0" applyBorder="1"/>
    <xf numFmtId="3" fontId="7" fillId="0" borderId="32" xfId="0" applyNumberFormat="1" applyFont="1" applyBorder="1"/>
    <xf numFmtId="1" fontId="1" fillId="0" borderId="8" xfId="0" applyNumberFormat="1" applyFont="1" applyBorder="1"/>
    <xf numFmtId="1" fontId="7" fillId="0" borderId="27" xfId="0" applyNumberFormat="1" applyFont="1" applyBorder="1"/>
    <xf numFmtId="1" fontId="7" fillId="0" borderId="10" xfId="0" applyNumberFormat="1" applyFont="1" applyBorder="1"/>
    <xf numFmtId="1" fontId="7" fillId="3" borderId="4" xfId="0" applyNumberFormat="1" applyFont="1" applyFill="1" applyBorder="1"/>
    <xf numFmtId="0" fontId="10" fillId="0" borderId="8" xfId="0" applyFont="1" applyBorder="1"/>
    <xf numFmtId="1" fontId="24" fillId="3" borderId="4" xfId="0" applyNumberFormat="1" applyFont="1" applyFill="1" applyBorder="1"/>
    <xf numFmtId="3" fontId="7" fillId="3" borderId="1" xfId="0" applyNumberFormat="1" applyFont="1" applyFill="1" applyBorder="1"/>
    <xf numFmtId="1" fontId="2" fillId="0" borderId="0" xfId="0" applyNumberFormat="1" applyFont="1"/>
    <xf numFmtId="0" fontId="1" fillId="0" borderId="3" xfId="0" applyFont="1" applyBorder="1"/>
    <xf numFmtId="0" fontId="8" fillId="0" borderId="0" xfId="0" applyFont="1"/>
    <xf numFmtId="0" fontId="25" fillId="0" borderId="0" xfId="0" applyFont="1" applyAlignment="1">
      <alignment horizontal="center" vertical="center"/>
    </xf>
    <xf numFmtId="0" fontId="7" fillId="0" borderId="0" xfId="0" applyFont="1" applyAlignment="1">
      <alignment horizontal="center"/>
    </xf>
    <xf numFmtId="14" fontId="26" fillId="0" borderId="0" xfId="0" applyNumberFormat="1" applyFont="1" applyAlignment="1">
      <alignment vertical="center"/>
    </xf>
    <xf numFmtId="164" fontId="8" fillId="0" borderId="0" xfId="0" applyNumberFormat="1" applyFont="1"/>
    <xf numFmtId="0" fontId="27" fillId="0" borderId="35" xfId="0" applyFont="1" applyBorder="1" applyAlignment="1">
      <alignment horizontal="left" vertical="top"/>
    </xf>
    <xf numFmtId="0" fontId="27" fillId="0" borderId="0" xfId="0" applyFont="1" applyAlignment="1">
      <alignment horizontal="left" vertical="top"/>
    </xf>
    <xf numFmtId="0" fontId="27" fillId="0" borderId="0" xfId="0" applyFont="1" applyAlignment="1">
      <alignment horizontal="right" vertical="top"/>
    </xf>
    <xf numFmtId="14" fontId="11" fillId="0" borderId="0" xfId="0" applyNumberFormat="1" applyFont="1" applyAlignment="1">
      <alignment vertical="center"/>
    </xf>
    <xf numFmtId="164" fontId="8" fillId="0" borderId="0" xfId="0" applyNumberFormat="1" applyFont="1" applyAlignment="1">
      <alignment vertical="center"/>
    </xf>
    <xf numFmtId="0" fontId="29" fillId="0" borderId="0" xfId="0" applyFont="1"/>
    <xf numFmtId="0" fontId="6" fillId="3" borderId="0" xfId="0" applyFont="1" applyFill="1" applyAlignment="1">
      <alignment horizontal="right"/>
    </xf>
    <xf numFmtId="0" fontId="0" fillId="0" borderId="36" xfId="0" applyBorder="1"/>
    <xf numFmtId="0" fontId="0" fillId="0" borderId="37" xfId="0" applyBorder="1"/>
    <xf numFmtId="0" fontId="31" fillId="0" borderId="0" xfId="0" applyFont="1" applyAlignment="1">
      <alignment vertical="center"/>
    </xf>
    <xf numFmtId="0" fontId="6" fillId="0" borderId="0" xfId="0" applyFont="1" applyAlignment="1">
      <alignment vertical="center"/>
    </xf>
    <xf numFmtId="14" fontId="1" fillId="0" borderId="3" xfId="0" applyNumberFormat="1" applyFont="1" applyBorder="1"/>
    <xf numFmtId="14" fontId="1" fillId="0" borderId="0" xfId="0" applyNumberFormat="1" applyFont="1"/>
    <xf numFmtId="14" fontId="6" fillId="0" borderId="3" xfId="0" applyNumberFormat="1" applyFont="1" applyBorder="1"/>
    <xf numFmtId="169" fontId="1" fillId="0" borderId="0" xfId="0" applyNumberFormat="1" applyFont="1"/>
    <xf numFmtId="2" fontId="6" fillId="0" borderId="0" xfId="0" applyNumberFormat="1" applyFont="1"/>
    <xf numFmtId="166" fontId="10" fillId="0" borderId="0" xfId="0" applyNumberFormat="1" applyFont="1"/>
    <xf numFmtId="169" fontId="10" fillId="0" borderId="0" xfId="0" applyNumberFormat="1" applyFont="1"/>
    <xf numFmtId="169" fontId="8" fillId="0" borderId="0" xfId="0" applyNumberFormat="1" applyFont="1"/>
    <xf numFmtId="0" fontId="33" fillId="0" borderId="0" xfId="0" applyFont="1" applyAlignment="1">
      <alignment vertical="center"/>
    </xf>
    <xf numFmtId="3" fontId="35" fillId="0" borderId="0" xfId="0" applyNumberFormat="1" applyFont="1" applyAlignment="1">
      <alignment vertical="center"/>
    </xf>
    <xf numFmtId="3" fontId="35" fillId="0" borderId="8" xfId="0" applyNumberFormat="1" applyFont="1" applyBorder="1" applyAlignment="1">
      <alignment vertical="center"/>
    </xf>
    <xf numFmtId="0" fontId="1" fillId="0" borderId="10" xfId="0" applyFont="1" applyBorder="1"/>
    <xf numFmtId="3" fontId="1" fillId="0" borderId="0" xfId="0" applyNumberFormat="1" applyFont="1" applyAlignment="1">
      <alignment vertical="center"/>
    </xf>
    <xf numFmtId="170" fontId="1" fillId="0" borderId="0" xfId="0" applyNumberFormat="1" applyFont="1" applyAlignment="1">
      <alignment vertical="center"/>
    </xf>
    <xf numFmtId="164" fontId="1" fillId="0" borderId="0" xfId="0" applyNumberFormat="1" applyFont="1" applyAlignment="1">
      <alignment vertical="center"/>
    </xf>
    <xf numFmtId="37" fontId="1" fillId="0" borderId="0" xfId="0" applyNumberFormat="1" applyFont="1" applyAlignment="1">
      <alignment vertical="center"/>
    </xf>
    <xf numFmtId="0" fontId="26" fillId="0" borderId="0" xfId="0" applyFont="1" applyAlignment="1">
      <alignment horizontal="left" vertical="top"/>
    </xf>
    <xf numFmtId="0" fontId="5" fillId="0" borderId="0" xfId="0" applyFont="1" applyAlignment="1">
      <alignment vertical="center"/>
    </xf>
    <xf numFmtId="0" fontId="25" fillId="0" borderId="0" xfId="0" applyFont="1" applyAlignment="1">
      <alignment vertical="center"/>
    </xf>
    <xf numFmtId="0" fontId="7" fillId="0" borderId="1" xfId="0" applyFont="1" applyBorder="1" applyAlignment="1">
      <alignment horizontal="center"/>
    </xf>
    <xf numFmtId="0" fontId="28" fillId="2" borderId="35" xfId="0" applyFont="1" applyFill="1" applyBorder="1" applyAlignment="1">
      <alignment horizontal="right" vertical="top"/>
    </xf>
    <xf numFmtId="168" fontId="28" fillId="2" borderId="35" xfId="0" applyNumberFormat="1" applyFont="1" applyFill="1" applyBorder="1" applyAlignment="1">
      <alignment horizontal="right" vertical="top"/>
    </xf>
    <xf numFmtId="10" fontId="28" fillId="2" borderId="35" xfId="0" applyNumberFormat="1" applyFont="1" applyFill="1" applyBorder="1" applyAlignment="1">
      <alignment horizontal="right" vertical="top"/>
    </xf>
    <xf numFmtId="0" fontId="37" fillId="0" borderId="0" xfId="0" applyFont="1"/>
    <xf numFmtId="0" fontId="5" fillId="0" borderId="0" xfId="0" applyFont="1" applyAlignment="1">
      <alignment horizontal="center" vertical="center"/>
    </xf>
    <xf numFmtId="0" fontId="25" fillId="2" borderId="0" xfId="0" applyFont="1" applyFill="1"/>
    <xf numFmtId="2" fontId="1" fillId="0" borderId="6" xfId="0" applyNumberFormat="1" applyFont="1" applyBorder="1"/>
    <xf numFmtId="0" fontId="1" fillId="0" borderId="41" xfId="0" applyFont="1" applyBorder="1"/>
    <xf numFmtId="2" fontId="1" fillId="0" borderId="41" xfId="0" applyNumberFormat="1" applyFont="1" applyBorder="1"/>
    <xf numFmtId="0" fontId="1" fillId="0" borderId="42" xfId="0" applyFont="1" applyBorder="1"/>
    <xf numFmtId="2" fontId="1" fillId="0" borderId="42" xfId="0" applyNumberFormat="1" applyFont="1" applyBorder="1"/>
    <xf numFmtId="0" fontId="39" fillId="10" borderId="0" xfId="0" applyFont="1" applyFill="1" applyAlignment="1">
      <alignment horizontal="right" vertical="center" wrapText="1" indent="2"/>
    </xf>
    <xf numFmtId="0" fontId="39" fillId="10" borderId="0" xfId="0" applyFont="1" applyFill="1" applyAlignment="1">
      <alignment horizontal="right" vertical="center" wrapText="1"/>
    </xf>
    <xf numFmtId="0" fontId="25" fillId="2" borderId="0" xfId="0" applyFont="1" applyFill="1" applyAlignment="1">
      <alignment horizontal="left" vertical="center" indent="2"/>
    </xf>
    <xf numFmtId="0" fontId="25" fillId="2" borderId="0" xfId="0" applyFont="1" applyFill="1" applyAlignment="1">
      <alignment horizontal="right" vertical="center" wrapText="1"/>
    </xf>
    <xf numFmtId="0" fontId="25" fillId="2" borderId="0" xfId="0" applyFont="1" applyFill="1" applyAlignment="1">
      <alignment horizontal="right" vertical="center"/>
    </xf>
    <xf numFmtId="0" fontId="25" fillId="0" borderId="0" xfId="0" applyFont="1" applyAlignment="1">
      <alignment horizontal="left" vertical="center" indent="2"/>
    </xf>
    <xf numFmtId="0" fontId="25" fillId="0" borderId="0" xfId="0" applyFont="1" applyAlignment="1">
      <alignment horizontal="right" vertical="center" wrapText="1"/>
    </xf>
    <xf numFmtId="0" fontId="25" fillId="0" borderId="0" xfId="0" applyFont="1" applyAlignment="1">
      <alignment horizontal="right" vertical="center"/>
    </xf>
    <xf numFmtId="0" fontId="40" fillId="0" borderId="43" xfId="0" applyFont="1" applyBorder="1" applyAlignment="1">
      <alignment horizontal="left" vertical="center" indent="2"/>
    </xf>
    <xf numFmtId="169" fontId="41" fillId="0" borderId="44" xfId="0" applyNumberFormat="1" applyFont="1" applyBorder="1" applyAlignment="1">
      <alignment horizontal="right" vertical="center" wrapText="1"/>
    </xf>
    <xf numFmtId="169" fontId="40" fillId="0" borderId="44" xfId="0" applyNumberFormat="1" applyFont="1" applyBorder="1" applyAlignment="1">
      <alignment horizontal="right" vertical="center" wrapText="1"/>
    </xf>
    <xf numFmtId="0" fontId="41" fillId="0" borderId="44" xfId="0" applyFont="1" applyBorder="1" applyAlignment="1">
      <alignment horizontal="right" vertical="center"/>
    </xf>
    <xf numFmtId="0" fontId="41" fillId="0" borderId="45" xfId="0" applyFont="1" applyBorder="1" applyAlignment="1">
      <alignment horizontal="right" vertical="center"/>
    </xf>
    <xf numFmtId="0" fontId="40" fillId="0" borderId="46" xfId="0" applyFont="1" applyBorder="1" applyAlignment="1">
      <alignment horizontal="left" vertical="center" indent="2"/>
    </xf>
    <xf numFmtId="169" fontId="8" fillId="0" borderId="17" xfId="0" applyNumberFormat="1" applyFont="1" applyBorder="1" applyAlignment="1">
      <alignment horizontal="right" vertical="center" wrapText="1"/>
    </xf>
    <xf numFmtId="169" fontId="13" fillId="0" borderId="17" xfId="0" applyNumberFormat="1" applyFont="1" applyBorder="1" applyAlignment="1">
      <alignment horizontal="right" vertical="center" wrapText="1"/>
    </xf>
    <xf numFmtId="0" fontId="8" fillId="0" borderId="17" xfId="0" applyFont="1" applyBorder="1" applyAlignment="1">
      <alignment horizontal="right" vertical="center"/>
    </xf>
    <xf numFmtId="0" fontId="8" fillId="0" borderId="47" xfId="0" applyFont="1" applyBorder="1" applyAlignment="1">
      <alignment horizontal="right" vertical="center"/>
    </xf>
    <xf numFmtId="0" fontId="40" fillId="0" borderId="48" xfId="0" applyFont="1" applyBorder="1" applyAlignment="1">
      <alignment horizontal="left" vertical="center" indent="2"/>
    </xf>
    <xf numFmtId="169" fontId="8" fillId="0" borderId="49" xfId="0" applyNumberFormat="1" applyFont="1" applyBorder="1" applyAlignment="1">
      <alignment horizontal="right" vertical="center" wrapText="1"/>
    </xf>
    <xf numFmtId="169" fontId="13" fillId="0" borderId="49" xfId="0" applyNumberFormat="1" applyFont="1" applyBorder="1" applyAlignment="1">
      <alignment horizontal="right" vertical="center" wrapText="1"/>
    </xf>
    <xf numFmtId="0" fontId="8" fillId="0" borderId="49" xfId="0" applyFont="1" applyBorder="1" applyAlignment="1">
      <alignment horizontal="right" vertical="center"/>
    </xf>
    <xf numFmtId="0" fontId="8" fillId="0" borderId="50" xfId="0" applyFont="1" applyBorder="1" applyAlignment="1">
      <alignment horizontal="right" vertical="center"/>
    </xf>
    <xf numFmtId="0" fontId="42" fillId="2" borderId="0" xfId="0" applyFont="1" applyFill="1" applyAlignment="1">
      <alignment horizontal="left" vertical="top"/>
    </xf>
    <xf numFmtId="0" fontId="43" fillId="2" borderId="51" xfId="0" applyFont="1" applyFill="1" applyBorder="1" applyAlignment="1">
      <alignment horizontal="left" vertical="top"/>
    </xf>
    <xf numFmtId="0" fontId="44" fillId="0" borderId="0" xfId="0" applyFont="1" applyAlignment="1">
      <alignment horizontal="left" vertical="top"/>
    </xf>
    <xf numFmtId="0" fontId="42" fillId="2" borderId="0" xfId="0" applyFont="1" applyFill="1" applyAlignment="1">
      <alignment horizontal="center" vertical="center"/>
    </xf>
    <xf numFmtId="0" fontId="42" fillId="2" borderId="0" xfId="0" applyFont="1" applyFill="1" applyAlignment="1">
      <alignment horizontal="center" vertical="top"/>
    </xf>
    <xf numFmtId="0" fontId="42" fillId="2" borderId="52" xfId="0" applyFont="1" applyFill="1" applyBorder="1" applyAlignment="1">
      <alignment horizontal="center" vertical="center"/>
    </xf>
    <xf numFmtId="0" fontId="45" fillId="2" borderId="0" xfId="0" applyFont="1" applyFill="1" applyAlignment="1">
      <alignment horizontal="center" vertical="top"/>
    </xf>
    <xf numFmtId="0" fontId="46" fillId="2" borderId="0" xfId="0" applyFont="1" applyFill="1" applyAlignment="1">
      <alignment horizontal="center" vertical="center"/>
    </xf>
    <xf numFmtId="0" fontId="42" fillId="2" borderId="0" xfId="0" applyFont="1" applyFill="1" applyAlignment="1">
      <alignment horizontal="right" vertical="center"/>
    </xf>
    <xf numFmtId="0" fontId="42" fillId="2" borderId="0" xfId="0" applyFont="1" applyFill="1" applyAlignment="1">
      <alignment horizontal="right" vertical="top"/>
    </xf>
    <xf numFmtId="0" fontId="41" fillId="0" borderId="53" xfId="0" applyFont="1" applyBorder="1" applyAlignment="1">
      <alignment horizontal="right" vertical="center"/>
    </xf>
    <xf numFmtId="0" fontId="8" fillId="0" borderId="54" xfId="0" applyFont="1" applyBorder="1" applyAlignment="1">
      <alignment horizontal="right" vertical="center"/>
    </xf>
    <xf numFmtId="0" fontId="8" fillId="0" borderId="55" xfId="0" applyFont="1" applyBorder="1" applyAlignment="1">
      <alignment horizontal="right" vertical="center"/>
    </xf>
    <xf numFmtId="171" fontId="1" fillId="0" borderId="0" xfId="0" applyNumberFormat="1" applyFont="1"/>
    <xf numFmtId="171" fontId="10" fillId="0" borderId="0" xfId="0" applyNumberFormat="1" applyFont="1"/>
    <xf numFmtId="2" fontId="1" fillId="0" borderId="0" xfId="0" applyNumberFormat="1" applyFont="1"/>
    <xf numFmtId="164" fontId="1" fillId="0" borderId="0" xfId="0" applyNumberFormat="1" applyFont="1"/>
    <xf numFmtId="0" fontId="47" fillId="2" borderId="0" xfId="0" applyFont="1" applyFill="1"/>
    <xf numFmtId="171" fontId="25" fillId="2" borderId="0" xfId="0" applyNumberFormat="1" applyFont="1" applyFill="1"/>
    <xf numFmtId="0" fontId="7" fillId="11" borderId="0" xfId="0" applyFont="1" applyFill="1"/>
    <xf numFmtId="0" fontId="48" fillId="11" borderId="0" xfId="0" applyFont="1" applyFill="1"/>
    <xf numFmtId="169" fontId="49" fillId="11" borderId="0" xfId="0" applyNumberFormat="1" applyFont="1" applyFill="1"/>
    <xf numFmtId="171" fontId="49" fillId="11" borderId="0" xfId="0" applyNumberFormat="1" applyFont="1" applyFill="1"/>
    <xf numFmtId="164" fontId="7" fillId="11" borderId="0" xfId="0" applyNumberFormat="1" applyFont="1" applyFill="1"/>
    <xf numFmtId="171" fontId="7" fillId="11" borderId="0" xfId="0" applyNumberFormat="1" applyFont="1" applyFill="1"/>
    <xf numFmtId="164" fontId="49" fillId="11" borderId="0" xfId="0" applyNumberFormat="1" applyFont="1" applyFill="1"/>
    <xf numFmtId="5" fontId="1" fillId="0" borderId="0" xfId="0" applyNumberFormat="1" applyFont="1"/>
    <xf numFmtId="0" fontId="50" fillId="2" borderId="0" xfId="0" applyFont="1" applyFill="1" applyAlignment="1">
      <alignment horizontal="left" vertical="top"/>
    </xf>
    <xf numFmtId="0" fontId="50" fillId="2" borderId="0" xfId="0" applyFont="1" applyFill="1" applyAlignment="1">
      <alignment horizontal="center" vertical="top"/>
    </xf>
    <xf numFmtId="173" fontId="1" fillId="0" borderId="0" xfId="0" applyNumberFormat="1" applyFont="1"/>
    <xf numFmtId="164" fontId="10" fillId="0" borderId="0" xfId="0" applyNumberFormat="1" applyFont="1"/>
    <xf numFmtId="10" fontId="8" fillId="0" borderId="0" xfId="0" applyNumberFormat="1" applyFont="1"/>
    <xf numFmtId="2" fontId="10" fillId="0" borderId="0" xfId="0" applyNumberFormat="1" applyFont="1"/>
    <xf numFmtId="10" fontId="25" fillId="2" borderId="0" xfId="0" applyNumberFormat="1" applyFont="1" applyFill="1"/>
    <xf numFmtId="0" fontId="30" fillId="12" borderId="0" xfId="0" applyFont="1" applyFill="1" applyAlignment="1">
      <alignment horizontal="left" vertical="top"/>
    </xf>
    <xf numFmtId="0" fontId="7" fillId="12" borderId="0" xfId="0" applyFont="1" applyFill="1"/>
    <xf numFmtId="0" fontId="38" fillId="0" borderId="4" xfId="0" applyFont="1" applyBorder="1" applyAlignment="1">
      <alignment horizontal="left" vertical="top"/>
    </xf>
    <xf numFmtId="0" fontId="38" fillId="0" borderId="5" xfId="0" applyFont="1" applyBorder="1" applyAlignment="1">
      <alignment horizontal="left" vertical="top"/>
    </xf>
    <xf numFmtId="10" fontId="7" fillId="0" borderId="4" xfId="0" applyNumberFormat="1" applyFont="1" applyBorder="1"/>
    <xf numFmtId="172" fontId="7" fillId="0" borderId="4" xfId="0" applyNumberFormat="1" applyFont="1" applyBorder="1"/>
    <xf numFmtId="10" fontId="22" fillId="0" borderId="0" xfId="0" applyNumberFormat="1" applyFont="1"/>
    <xf numFmtId="0" fontId="51" fillId="0" borderId="0" xfId="0" applyFont="1"/>
    <xf numFmtId="10" fontId="10" fillId="0" borderId="0" xfId="0" applyNumberFormat="1" applyFont="1"/>
    <xf numFmtId="2" fontId="25" fillId="2" borderId="0" xfId="0" applyNumberFormat="1" applyFont="1" applyFill="1"/>
    <xf numFmtId="173" fontId="7" fillId="0" borderId="5" xfId="0" applyNumberFormat="1" applyFont="1" applyBorder="1"/>
    <xf numFmtId="0" fontId="25" fillId="2" borderId="0" xfId="0" applyFont="1" applyFill="1" applyAlignment="1">
      <alignment vertical="center"/>
    </xf>
    <xf numFmtId="1" fontId="6" fillId="5" borderId="26" xfId="0" applyNumberFormat="1" applyFont="1" applyFill="1" applyBorder="1"/>
    <xf numFmtId="0" fontId="0" fillId="0" borderId="5" xfId="0" applyBorder="1"/>
    <xf numFmtId="173" fontId="10" fillId="0" borderId="0" xfId="0" applyNumberFormat="1" applyFont="1"/>
    <xf numFmtId="174" fontId="1" fillId="0" borderId="0" xfId="0" applyNumberFormat="1" applyFont="1"/>
    <xf numFmtId="0" fontId="30" fillId="11" borderId="1" xfId="0" applyFont="1" applyFill="1" applyBorder="1" applyAlignment="1">
      <alignment vertical="center"/>
    </xf>
    <xf numFmtId="0" fontId="1" fillId="11" borderId="0" xfId="0" applyFont="1" applyFill="1"/>
    <xf numFmtId="0" fontId="23" fillId="0" borderId="3" xfId="0" applyFont="1" applyBorder="1"/>
    <xf numFmtId="3" fontId="23" fillId="0" borderId="3" xfId="0" applyNumberFormat="1" applyFont="1" applyBorder="1"/>
    <xf numFmtId="0" fontId="53" fillId="0" borderId="0" xfId="0" applyFont="1"/>
    <xf numFmtId="0" fontId="23" fillId="0" borderId="3" xfId="0" applyFont="1" applyBorder="1" applyAlignment="1">
      <alignment vertical="center"/>
    </xf>
    <xf numFmtId="0" fontId="7" fillId="3" borderId="0" xfId="0" applyFont="1" applyFill="1"/>
    <xf numFmtId="0" fontId="1" fillId="3" borderId="0" xfId="0" applyFont="1" applyFill="1" applyAlignment="1">
      <alignment horizontal="right"/>
    </xf>
    <xf numFmtId="14" fontId="6" fillId="3" borderId="3" xfId="0" applyNumberFormat="1" applyFont="1" applyFill="1" applyBorder="1"/>
    <xf numFmtId="14" fontId="0" fillId="3" borderId="3" xfId="0" applyNumberFormat="1" applyFill="1" applyBorder="1"/>
    <xf numFmtId="169" fontId="1" fillId="3" borderId="0" xfId="0" applyNumberFormat="1" applyFont="1" applyFill="1"/>
    <xf numFmtId="2" fontId="6" fillId="3" borderId="0" xfId="0" applyNumberFormat="1" applyFont="1" applyFill="1"/>
    <xf numFmtId="2" fontId="32" fillId="3" borderId="0" xfId="0" applyNumberFormat="1" applyFont="1" applyFill="1"/>
    <xf numFmtId="3" fontId="23" fillId="3" borderId="3" xfId="0" applyNumberFormat="1" applyFont="1" applyFill="1" applyBorder="1"/>
    <xf numFmtId="0" fontId="53" fillId="3" borderId="3" xfId="0" applyFont="1" applyFill="1" applyBorder="1"/>
    <xf numFmtId="3" fontId="7" fillId="3" borderId="3" xfId="0" applyNumberFormat="1" applyFont="1" applyFill="1" applyBorder="1"/>
    <xf numFmtId="3" fontId="7" fillId="3" borderId="0" xfId="0" applyNumberFormat="1" applyFont="1" applyFill="1"/>
    <xf numFmtId="0" fontId="1" fillId="0" borderId="4" xfId="0" applyFont="1" applyBorder="1" applyAlignment="1">
      <alignment vertical="center"/>
    </xf>
    <xf numFmtId="166" fontId="7" fillId="8" borderId="4" xfId="0" applyNumberFormat="1" applyFont="1" applyFill="1" applyBorder="1" applyAlignment="1">
      <alignment vertical="center"/>
    </xf>
    <xf numFmtId="0" fontId="7" fillId="0" borderId="4" xfId="0" applyFont="1" applyBorder="1" applyAlignment="1">
      <alignment vertical="center"/>
    </xf>
    <xf numFmtId="37" fontId="7" fillId="0" borderId="4" xfId="0" applyNumberFormat="1" applyFont="1" applyBorder="1" applyAlignment="1">
      <alignment vertical="center"/>
    </xf>
    <xf numFmtId="3" fontId="7" fillId="0" borderId="4" xfId="0" applyNumberFormat="1" applyFont="1" applyBorder="1" applyAlignment="1">
      <alignment vertical="center"/>
    </xf>
    <xf numFmtId="0" fontId="24" fillId="0" borderId="3" xfId="0" applyFont="1" applyBorder="1" applyAlignment="1">
      <alignment vertical="center"/>
    </xf>
    <xf numFmtId="3" fontId="7" fillId="9" borderId="0" xfId="0" applyNumberFormat="1" applyFont="1" applyFill="1" applyAlignment="1">
      <alignment vertical="center"/>
    </xf>
    <xf numFmtId="0" fontId="0" fillId="0" borderId="24" xfId="0" applyBorder="1"/>
    <xf numFmtId="10" fontId="8" fillId="0" borderId="18" xfId="0" applyNumberFormat="1" applyFont="1" applyBorder="1"/>
    <xf numFmtId="3" fontId="7" fillId="0" borderId="8" xfId="0" applyNumberFormat="1" applyFont="1" applyBorder="1"/>
    <xf numFmtId="3" fontId="7" fillId="0" borderId="56" xfId="0" applyNumberFormat="1" applyFont="1" applyBorder="1"/>
    <xf numFmtId="0" fontId="4" fillId="0" borderId="8" xfId="0" applyFont="1" applyBorder="1"/>
    <xf numFmtId="0" fontId="3" fillId="0" borderId="9" xfId="0" applyFont="1" applyBorder="1" applyAlignment="1">
      <alignment horizontal="right"/>
    </xf>
    <xf numFmtId="1" fontId="9" fillId="0" borderId="8" xfId="0" applyNumberFormat="1" applyFont="1" applyBorder="1"/>
    <xf numFmtId="3" fontId="7" fillId="0" borderId="57" xfId="0" applyNumberFormat="1" applyFont="1" applyBorder="1"/>
    <xf numFmtId="3" fontId="7" fillId="0" borderId="9" xfId="0" applyNumberFormat="1" applyFont="1" applyBorder="1"/>
    <xf numFmtId="0" fontId="54" fillId="0" borderId="0" xfId="0" applyFont="1" applyAlignment="1">
      <alignment vertical="center"/>
    </xf>
    <xf numFmtId="167" fontId="8" fillId="0" borderId="18" xfId="0" applyNumberFormat="1" applyFont="1" applyBorder="1"/>
    <xf numFmtId="0" fontId="18" fillId="2" borderId="0" xfId="0" applyFont="1" applyFill="1" applyAlignment="1">
      <alignment horizontal="right"/>
    </xf>
    <xf numFmtId="2" fontId="1" fillId="3" borderId="0" xfId="0" applyNumberFormat="1" applyFont="1" applyFill="1"/>
    <xf numFmtId="37" fontId="10" fillId="0" borderId="8" xfId="0" applyNumberFormat="1" applyFont="1" applyBorder="1"/>
    <xf numFmtId="37" fontId="10" fillId="0" borderId="0" xfId="0" applyNumberFormat="1" applyFont="1"/>
    <xf numFmtId="37" fontId="1" fillId="3" borderId="0" xfId="0" applyNumberFormat="1" applyFont="1" applyFill="1"/>
    <xf numFmtId="175" fontId="1" fillId="3" borderId="0" xfId="0" applyNumberFormat="1" applyFont="1" applyFill="1"/>
    <xf numFmtId="0" fontId="5" fillId="13" borderId="0" xfId="0" applyFont="1" applyFill="1" applyAlignment="1">
      <alignment vertical="center"/>
    </xf>
    <xf numFmtId="0" fontId="8" fillId="0" borderId="28" xfId="0" applyFont="1" applyBorder="1"/>
    <xf numFmtId="0" fontId="55" fillId="0" borderId="0" xfId="0" applyFont="1" applyAlignment="1">
      <alignment horizontal="right" vertical="top"/>
    </xf>
    <xf numFmtId="0" fontId="55" fillId="0" borderId="40" xfId="0" applyFont="1" applyBorder="1" applyAlignment="1">
      <alignment horizontal="left" vertical="top"/>
    </xf>
    <xf numFmtId="0" fontId="44" fillId="0" borderId="40" xfId="0" applyFont="1" applyBorder="1" applyAlignment="1">
      <alignment horizontal="left" vertical="top"/>
    </xf>
    <xf numFmtId="0" fontId="55" fillId="0" borderId="40" xfId="0" applyFont="1" applyBorder="1" applyAlignment="1">
      <alignment horizontal="right" vertical="top"/>
    </xf>
    <xf numFmtId="37" fontId="1" fillId="0" borderId="0" xfId="0" applyNumberFormat="1" applyFont="1"/>
    <xf numFmtId="10" fontId="10" fillId="0" borderId="18" xfId="0" applyNumberFormat="1" applyFont="1" applyBorder="1"/>
    <xf numFmtId="10" fontId="8" fillId="0" borderId="31" xfId="0" applyNumberFormat="1" applyFont="1" applyBorder="1"/>
    <xf numFmtId="10" fontId="1" fillId="0" borderId="0" xfId="0" applyNumberFormat="1" applyFont="1"/>
    <xf numFmtId="3" fontId="37" fillId="0" borderId="0" xfId="0" applyNumberFormat="1" applyFont="1"/>
    <xf numFmtId="10" fontId="1" fillId="0" borderId="10" xfId="0" applyNumberFormat="1" applyFont="1" applyBorder="1"/>
    <xf numFmtId="10" fontId="1" fillId="0" borderId="3" xfId="0" applyNumberFormat="1" applyFont="1" applyBorder="1"/>
    <xf numFmtId="174" fontId="35" fillId="0" borderId="39" xfId="0" applyNumberFormat="1" applyFont="1" applyBorder="1" applyAlignment="1">
      <alignment vertical="center"/>
    </xf>
    <xf numFmtId="174" fontId="35" fillId="0" borderId="24" xfId="0" applyNumberFormat="1" applyFont="1" applyBorder="1" applyAlignment="1">
      <alignment vertical="center"/>
    </xf>
    <xf numFmtId="3" fontId="35" fillId="12" borderId="0" xfId="0" applyNumberFormat="1" applyFont="1" applyFill="1" applyAlignment="1">
      <alignment vertical="center"/>
    </xf>
    <xf numFmtId="3" fontId="35" fillId="3" borderId="0" xfId="0" applyNumberFormat="1" applyFont="1" applyFill="1" applyAlignment="1">
      <alignment vertical="center"/>
    </xf>
    <xf numFmtId="3" fontId="36" fillId="12" borderId="0" xfId="0" applyNumberFormat="1" applyFont="1" applyFill="1" applyAlignment="1">
      <alignment vertical="center"/>
    </xf>
    <xf numFmtId="0" fontId="31" fillId="0" borderId="0" xfId="0" applyFont="1"/>
    <xf numFmtId="0" fontId="31" fillId="0" borderId="0" xfId="0" applyFont="1" applyAlignment="1">
      <alignment horizontal="right"/>
    </xf>
    <xf numFmtId="0" fontId="30" fillId="0" borderId="0" xfId="0" applyFont="1" applyAlignment="1">
      <alignment horizontal="right" vertical="center"/>
    </xf>
    <xf numFmtId="3" fontId="31" fillId="0" borderId="0" xfId="0" applyNumberFormat="1" applyFont="1" applyAlignment="1">
      <alignment vertical="center"/>
    </xf>
    <xf numFmtId="3" fontId="0" fillId="0" borderId="0" xfId="0" applyNumberFormat="1"/>
    <xf numFmtId="0" fontId="30" fillId="0" borderId="0" xfId="0" applyFont="1" applyAlignment="1">
      <alignment vertical="center"/>
    </xf>
    <xf numFmtId="0" fontId="19" fillId="0" borderId="68" xfId="0" applyFont="1" applyBorder="1" applyAlignment="1">
      <alignment horizontal="left" vertical="center"/>
    </xf>
    <xf numFmtId="0" fontId="1" fillId="0" borderId="65" xfId="0" applyFont="1" applyBorder="1" applyAlignment="1">
      <alignment vertical="center"/>
    </xf>
    <xf numFmtId="0" fontId="19" fillId="0" borderId="67" xfId="0" applyFont="1" applyBorder="1" applyAlignment="1">
      <alignment horizontal="left" vertical="center"/>
    </xf>
    <xf numFmtId="3" fontId="7" fillId="0" borderId="32" xfId="0" applyNumberFormat="1" applyFont="1" applyBorder="1" applyAlignment="1">
      <alignment vertical="center"/>
    </xf>
    <xf numFmtId="3" fontId="7" fillId="0" borderId="5" xfId="0" applyNumberFormat="1" applyFont="1" applyBorder="1" applyAlignment="1">
      <alignment vertical="center"/>
    </xf>
    <xf numFmtId="3" fontId="7" fillId="3" borderId="5" xfId="0" applyNumberFormat="1" applyFont="1" applyFill="1" applyBorder="1" applyAlignment="1">
      <alignment vertical="center"/>
    </xf>
    <xf numFmtId="3" fontId="10" fillId="0" borderId="8" xfId="0" applyNumberFormat="1" applyFont="1" applyBorder="1" applyAlignment="1">
      <alignment vertical="center"/>
    </xf>
    <xf numFmtId="3" fontId="10" fillId="0" borderId="0" xfId="0" applyNumberFormat="1" applyFont="1" applyAlignment="1">
      <alignment vertical="center"/>
    </xf>
    <xf numFmtId="3" fontId="1" fillId="3" borderId="0" xfId="0" applyNumberFormat="1" applyFont="1" applyFill="1" applyAlignment="1">
      <alignment vertical="center"/>
    </xf>
    <xf numFmtId="0" fontId="1" fillId="0" borderId="8" xfId="0" applyFont="1" applyBorder="1" applyAlignment="1">
      <alignment vertical="center"/>
    </xf>
    <xf numFmtId="0" fontId="1" fillId="3" borderId="0" xfId="0" applyFont="1" applyFill="1" applyAlignment="1">
      <alignment vertical="center"/>
    </xf>
    <xf numFmtId="1" fontId="10" fillId="0" borderId="8" xfId="0" applyNumberFormat="1" applyFont="1" applyBorder="1" applyAlignment="1">
      <alignment vertical="center"/>
    </xf>
    <xf numFmtId="1" fontId="10" fillId="0" borderId="0" xfId="0" applyNumberFormat="1" applyFont="1" applyAlignment="1">
      <alignment vertical="center"/>
    </xf>
    <xf numFmtId="1" fontId="1" fillId="3" borderId="0" xfId="0" applyNumberFormat="1" applyFont="1" applyFill="1" applyAlignment="1">
      <alignment vertical="center"/>
    </xf>
    <xf numFmtId="3" fontId="7" fillId="0" borderId="33" xfId="0" applyNumberFormat="1" applyFont="1" applyBorder="1" applyAlignment="1">
      <alignment vertical="center"/>
    </xf>
    <xf numFmtId="0" fontId="1" fillId="0" borderId="34" xfId="0" applyFont="1" applyBorder="1" applyAlignment="1">
      <alignment vertical="center"/>
    </xf>
    <xf numFmtId="164" fontId="6" fillId="0" borderId="0" xfId="0" applyNumberFormat="1" applyFont="1" applyAlignment="1">
      <alignment vertical="center"/>
    </xf>
    <xf numFmtId="164" fontId="6" fillId="3" borderId="0" xfId="0" applyNumberFormat="1" applyFont="1" applyFill="1" applyAlignment="1">
      <alignment vertical="center"/>
    </xf>
    <xf numFmtId="0" fontId="29" fillId="0" borderId="0" xfId="0" applyFont="1" applyAlignment="1">
      <alignment vertical="center"/>
    </xf>
    <xf numFmtId="0" fontId="7" fillId="0" borderId="8" xfId="0" applyFont="1" applyBorder="1" applyAlignment="1">
      <alignment vertical="center"/>
    </xf>
    <xf numFmtId="0" fontId="6" fillId="0" borderId="9" xfId="0" applyFont="1" applyBorder="1" applyAlignment="1">
      <alignment horizontal="right" vertical="center"/>
    </xf>
    <xf numFmtId="0" fontId="6" fillId="0" borderId="1" xfId="0" applyFont="1" applyBorder="1" applyAlignment="1">
      <alignment horizontal="right" vertical="center"/>
    </xf>
    <xf numFmtId="0" fontId="6" fillId="3" borderId="1" xfId="0" applyFont="1" applyFill="1" applyBorder="1" applyAlignment="1">
      <alignment horizontal="right" vertical="center"/>
    </xf>
    <xf numFmtId="3" fontId="13" fillId="3" borderId="0" xfId="0" applyNumberFormat="1" applyFont="1" applyFill="1" applyAlignment="1">
      <alignment vertical="center"/>
    </xf>
    <xf numFmtId="37" fontId="10" fillId="0" borderId="8" xfId="0" applyNumberFormat="1" applyFont="1" applyBorder="1" applyAlignment="1">
      <alignment vertical="center"/>
    </xf>
    <xf numFmtId="37" fontId="10" fillId="0" borderId="0" xfId="0" applyNumberFormat="1" applyFont="1" applyAlignment="1">
      <alignment vertical="center"/>
    </xf>
    <xf numFmtId="37" fontId="13" fillId="3" borderId="0" xfId="0" applyNumberFormat="1" applyFont="1" applyFill="1" applyAlignment="1">
      <alignment vertical="center"/>
    </xf>
    <xf numFmtId="0" fontId="7" fillId="0" borderId="3" xfId="0" applyFont="1" applyBorder="1" applyAlignment="1">
      <alignment vertical="center"/>
    </xf>
    <xf numFmtId="3" fontId="7" fillId="0" borderId="10" xfId="0" applyNumberFormat="1" applyFont="1" applyBorder="1" applyAlignment="1">
      <alignment vertical="center"/>
    </xf>
    <xf numFmtId="3" fontId="7" fillId="0" borderId="3" xfId="0" applyNumberFormat="1" applyFont="1" applyBorder="1" applyAlignment="1">
      <alignment vertical="center"/>
    </xf>
    <xf numFmtId="3" fontId="15" fillId="3" borderId="3" xfId="0" applyNumberFormat="1" applyFont="1" applyFill="1" applyBorder="1" applyAlignment="1">
      <alignment vertical="center"/>
    </xf>
    <xf numFmtId="1" fontId="13" fillId="3" borderId="0" xfId="0" applyNumberFormat="1" applyFont="1" applyFill="1" applyAlignment="1">
      <alignment vertical="center"/>
    </xf>
    <xf numFmtId="0" fontId="7" fillId="0" borderId="2" xfId="0" applyFont="1" applyBorder="1" applyAlignment="1">
      <alignment vertical="center"/>
    </xf>
    <xf numFmtId="3" fontId="7" fillId="0" borderId="11" xfId="0" applyNumberFormat="1" applyFont="1" applyBorder="1" applyAlignment="1">
      <alignment vertical="center"/>
    </xf>
    <xf numFmtId="3" fontId="7" fillId="0" borderId="2" xfId="0" applyNumberFormat="1" applyFont="1" applyBorder="1" applyAlignment="1">
      <alignment vertical="center"/>
    </xf>
    <xf numFmtId="3" fontId="15" fillId="3" borderId="2" xfId="0" applyNumberFormat="1" applyFont="1" applyFill="1" applyBorder="1" applyAlignment="1">
      <alignment vertical="center"/>
    </xf>
    <xf numFmtId="9" fontId="1" fillId="0" borderId="0" xfId="0" applyNumberFormat="1" applyFont="1" applyAlignment="1">
      <alignment vertical="center"/>
    </xf>
    <xf numFmtId="9" fontId="8" fillId="0" borderId="8" xfId="0" applyNumberFormat="1" applyFont="1" applyBorder="1" applyAlignment="1">
      <alignment vertical="center"/>
    </xf>
    <xf numFmtId="9" fontId="8" fillId="0" borderId="0" xfId="0" applyNumberFormat="1" applyFont="1" applyAlignment="1">
      <alignment vertical="center"/>
    </xf>
    <xf numFmtId="9" fontId="7" fillId="0" borderId="10" xfId="0" applyNumberFormat="1" applyFont="1" applyBorder="1" applyAlignment="1">
      <alignment vertical="center"/>
    </xf>
    <xf numFmtId="9" fontId="7" fillId="0" borderId="3" xfId="0" applyNumberFormat="1" applyFont="1" applyBorder="1" applyAlignment="1">
      <alignment vertical="center"/>
    </xf>
    <xf numFmtId="9" fontId="7" fillId="0" borderId="27" xfId="0" applyNumberFormat="1" applyFont="1" applyBorder="1" applyAlignment="1">
      <alignment vertical="center"/>
    </xf>
    <xf numFmtId="0" fontId="1" fillId="0" borderId="3" xfId="0" applyFont="1" applyBorder="1" applyAlignment="1">
      <alignment vertical="center"/>
    </xf>
    <xf numFmtId="0" fontId="8" fillId="0" borderId="8" xfId="0" applyFont="1" applyBorder="1" applyAlignment="1">
      <alignment vertical="center"/>
    </xf>
    <xf numFmtId="0" fontId="8" fillId="0" borderId="0" xfId="0" applyFont="1" applyAlignment="1">
      <alignment vertical="center"/>
    </xf>
    <xf numFmtId="9" fontId="7" fillId="0" borderId="32" xfId="0" applyNumberFormat="1" applyFont="1" applyBorder="1" applyAlignment="1">
      <alignment vertical="center"/>
    </xf>
    <xf numFmtId="9" fontId="7" fillId="0" borderId="5" xfId="0" applyNumberFormat="1" applyFont="1" applyBorder="1" applyAlignment="1">
      <alignment vertical="center"/>
    </xf>
    <xf numFmtId="9" fontId="1" fillId="0" borderId="8" xfId="0" applyNumberFormat="1" applyFont="1" applyBorder="1" applyAlignment="1">
      <alignment vertical="center"/>
    </xf>
    <xf numFmtId="0" fontId="0" fillId="0" borderId="8" xfId="0" applyBorder="1" applyAlignment="1">
      <alignment vertical="center"/>
    </xf>
    <xf numFmtId="0" fontId="0" fillId="3" borderId="0" xfId="0" applyFill="1" applyAlignment="1">
      <alignment vertical="center"/>
    </xf>
    <xf numFmtId="3" fontId="7" fillId="0" borderId="27" xfId="0" applyNumberFormat="1" applyFont="1" applyBorder="1" applyAlignment="1">
      <alignment vertical="center"/>
    </xf>
    <xf numFmtId="3" fontId="7" fillId="3" borderId="4" xfId="0" applyNumberFormat="1" applyFont="1" applyFill="1" applyBorder="1" applyAlignment="1">
      <alignment vertical="center"/>
    </xf>
    <xf numFmtId="3" fontId="8" fillId="0" borderId="8" xfId="0" applyNumberFormat="1" applyFont="1" applyBorder="1" applyAlignment="1">
      <alignment vertical="center"/>
    </xf>
    <xf numFmtId="3" fontId="8" fillId="0" borderId="0" xfId="0" applyNumberFormat="1" applyFont="1" applyAlignment="1">
      <alignment vertical="center"/>
    </xf>
    <xf numFmtId="0" fontId="20" fillId="0" borderId="0" xfId="0" applyFont="1" applyAlignment="1">
      <alignment vertical="center"/>
    </xf>
    <xf numFmtId="166" fontId="1" fillId="0" borderId="8" xfId="0" applyNumberFormat="1" applyFont="1" applyBorder="1" applyAlignment="1">
      <alignment vertical="center"/>
    </xf>
    <xf numFmtId="166" fontId="1" fillId="0" borderId="0" xfId="0" applyNumberFormat="1" applyFont="1" applyAlignment="1">
      <alignment vertical="center"/>
    </xf>
    <xf numFmtId="166" fontId="6" fillId="5" borderId="26" xfId="0" applyNumberFormat="1" applyFont="1" applyFill="1" applyBorder="1" applyAlignment="1">
      <alignment vertical="center"/>
    </xf>
    <xf numFmtId="1" fontId="8" fillId="0" borderId="8" xfId="0" applyNumberFormat="1" applyFont="1" applyBorder="1" applyAlignment="1">
      <alignment vertical="center"/>
    </xf>
    <xf numFmtId="1" fontId="8" fillId="0" borderId="0" xfId="0" applyNumberFormat="1" applyFont="1" applyAlignment="1">
      <alignment vertical="center"/>
    </xf>
    <xf numFmtId="0" fontId="10" fillId="0" borderId="0" xfId="0" applyFont="1"/>
    <xf numFmtId="0" fontId="11" fillId="6" borderId="0" xfId="0" applyFont="1" applyFill="1" applyAlignment="1">
      <alignment horizontal="right"/>
    </xf>
    <xf numFmtId="0" fontId="1" fillId="0" borderId="65" xfId="0" applyFont="1" applyBorder="1" applyAlignment="1">
      <alignment horizontal="center" vertical="center"/>
    </xf>
    <xf numFmtId="10" fontId="1" fillId="3" borderId="0" xfId="0" applyNumberFormat="1" applyFont="1" applyFill="1"/>
    <xf numFmtId="10" fontId="1" fillId="0" borderId="0" xfId="0" applyNumberFormat="1" applyFont="1" applyAlignment="1">
      <alignment vertical="center"/>
    </xf>
    <xf numFmtId="0" fontId="25" fillId="0" borderId="0" xfId="0" applyFont="1" applyAlignment="1">
      <alignment horizontal="center"/>
    </xf>
    <xf numFmtId="176" fontId="1" fillId="0" borderId="0" xfId="0" applyNumberFormat="1" applyFont="1"/>
    <xf numFmtId="14" fontId="13" fillId="0" borderId="0" xfId="0" applyNumberFormat="1" applyFont="1"/>
    <xf numFmtId="166" fontId="6" fillId="0" borderId="8" xfId="0" applyNumberFormat="1" applyFont="1" applyBorder="1"/>
    <xf numFmtId="166" fontId="6" fillId="0" borderId="8" xfId="0" applyNumberFormat="1" applyFont="1" applyBorder="1" applyAlignment="1">
      <alignment vertical="center"/>
    </xf>
    <xf numFmtId="166" fontId="6" fillId="0" borderId="0" xfId="0" applyNumberFormat="1" applyFont="1" applyAlignment="1">
      <alignment vertical="center"/>
    </xf>
    <xf numFmtId="166" fontId="6" fillId="3" borderId="0" xfId="0" applyNumberFormat="1" applyFont="1" applyFill="1" applyAlignment="1">
      <alignment vertical="center"/>
    </xf>
    <xf numFmtId="166" fontId="7" fillId="0" borderId="27" xfId="0" applyNumberFormat="1" applyFont="1" applyBorder="1" applyAlignment="1">
      <alignment vertical="center"/>
    </xf>
    <xf numFmtId="166" fontId="7" fillId="0" borderId="4" xfId="0" applyNumberFormat="1" applyFont="1" applyBorder="1" applyAlignment="1">
      <alignment vertical="center"/>
    </xf>
    <xf numFmtId="166" fontId="7" fillId="3" borderId="4" xfId="0" applyNumberFormat="1" applyFont="1" applyFill="1" applyBorder="1" applyAlignment="1">
      <alignment vertical="center"/>
    </xf>
    <xf numFmtId="0" fontId="25" fillId="2" borderId="0" xfId="0" applyFont="1" applyFill="1" applyAlignment="1">
      <alignment horizontal="left" vertical="center"/>
    </xf>
    <xf numFmtId="0" fontId="1" fillId="0" borderId="65" xfId="0" applyFont="1" applyBorder="1" applyAlignment="1">
      <alignment horizontal="left" vertical="center"/>
    </xf>
    <xf numFmtId="0" fontId="1" fillId="0" borderId="54" xfId="0" applyFont="1" applyBorder="1" applyAlignment="1">
      <alignment horizontal="left"/>
    </xf>
    <xf numFmtId="0" fontId="1" fillId="0" borderId="41" xfId="0" applyFont="1" applyBorder="1" applyAlignment="1">
      <alignment horizontal="left"/>
    </xf>
    <xf numFmtId="0" fontId="5" fillId="2" borderId="0" xfId="0" applyFont="1" applyFill="1" applyAlignment="1">
      <alignment horizontal="center" vertical="center"/>
    </xf>
    <xf numFmtId="0" fontId="1" fillId="0" borderId="59" xfId="0" applyFont="1" applyBorder="1" applyAlignment="1">
      <alignment horizontal="left"/>
    </xf>
    <xf numFmtId="0" fontId="1" fillId="0" borderId="58" xfId="0" applyFont="1" applyBorder="1" applyAlignment="1">
      <alignment horizontal="left"/>
    </xf>
    <xf numFmtId="0" fontId="19" fillId="0" borderId="68" xfId="0" applyFont="1" applyBorder="1" applyAlignment="1">
      <alignment horizontal="left" vertical="center"/>
    </xf>
    <xf numFmtId="0" fontId="1" fillId="0" borderId="4" xfId="0" applyFont="1" applyBorder="1" applyAlignment="1">
      <alignment horizontal="left" vertical="center" wrapText="1"/>
    </xf>
    <xf numFmtId="0" fontId="1" fillId="0" borderId="66" xfId="0" applyFont="1" applyBorder="1" applyAlignment="1">
      <alignment horizontal="left" vertical="center" wrapText="1"/>
    </xf>
    <xf numFmtId="0" fontId="13" fillId="0" borderId="61" xfId="0" applyFont="1" applyBorder="1" applyAlignment="1">
      <alignment horizontal="left" vertical="center" wrapText="1"/>
    </xf>
    <xf numFmtId="0" fontId="13" fillId="0" borderId="62" xfId="0" applyFont="1" applyBorder="1" applyAlignment="1">
      <alignment horizontal="left" vertical="center" wrapText="1"/>
    </xf>
    <xf numFmtId="0" fontId="1" fillId="0" borderId="4" xfId="0" applyFont="1" applyBorder="1" applyAlignment="1">
      <alignment horizontal="left" wrapText="1"/>
    </xf>
    <xf numFmtId="0" fontId="1" fillId="0" borderId="66" xfId="0" applyFont="1" applyBorder="1" applyAlignment="1">
      <alignment horizontal="left" wrapText="1"/>
    </xf>
    <xf numFmtId="0" fontId="1" fillId="0" borderId="4" xfId="0" applyFont="1" applyBorder="1" applyAlignment="1">
      <alignment horizontal="left" vertical="center"/>
    </xf>
    <xf numFmtId="0" fontId="1" fillId="0" borderId="66" xfId="0" applyFont="1" applyBorder="1" applyAlignment="1">
      <alignment horizontal="left" vertical="center"/>
    </xf>
    <xf numFmtId="0" fontId="1" fillId="0" borderId="4" xfId="0" applyFont="1" applyBorder="1" applyAlignment="1">
      <alignment vertical="center" wrapText="1"/>
    </xf>
    <xf numFmtId="0" fontId="1" fillId="0" borderId="66" xfId="0" applyFont="1" applyBorder="1" applyAlignment="1">
      <alignment vertical="center" wrapText="1"/>
    </xf>
    <xf numFmtId="0" fontId="1" fillId="0" borderId="63" xfId="0" applyFont="1" applyBorder="1" applyAlignment="1">
      <alignment horizontal="left" vertical="center" wrapText="1"/>
    </xf>
    <xf numFmtId="0" fontId="1" fillId="0" borderId="64" xfId="0" applyFont="1" applyBorder="1" applyAlignment="1">
      <alignment horizontal="left" vertical="center" wrapText="1"/>
    </xf>
    <xf numFmtId="0" fontId="1" fillId="0" borderId="27" xfId="0" applyFont="1" applyBorder="1" applyAlignment="1">
      <alignment horizontal="left" vertical="center"/>
    </xf>
    <xf numFmtId="0" fontId="18" fillId="2" borderId="22" xfId="0" applyFont="1" applyFill="1" applyBorder="1" applyAlignment="1">
      <alignment horizontal="center"/>
    </xf>
    <xf numFmtId="0" fontId="18" fillId="2" borderId="24" xfId="0" applyFont="1" applyFill="1" applyBorder="1" applyAlignment="1">
      <alignment horizontal="center"/>
    </xf>
    <xf numFmtId="0" fontId="18" fillId="2" borderId="23" xfId="0" applyFont="1" applyFill="1" applyBorder="1" applyAlignment="1">
      <alignment horizontal="center"/>
    </xf>
    <xf numFmtId="0" fontId="18" fillId="2" borderId="14" xfId="0" applyFont="1" applyFill="1" applyBorder="1" applyAlignment="1">
      <alignment horizontal="center"/>
    </xf>
    <xf numFmtId="0" fontId="18" fillId="2" borderId="16" xfId="0" applyFont="1" applyFill="1" applyBorder="1" applyAlignment="1">
      <alignment horizontal="center"/>
    </xf>
    <xf numFmtId="0" fontId="18" fillId="2" borderId="15" xfId="0" applyFont="1" applyFill="1" applyBorder="1" applyAlignment="1">
      <alignment horizontal="center"/>
    </xf>
    <xf numFmtId="0" fontId="21" fillId="0" borderId="28" xfId="0" applyFont="1" applyBorder="1" applyAlignment="1">
      <alignment horizontal="left" vertical="center" wrapText="1"/>
    </xf>
    <xf numFmtId="0" fontId="21" fillId="0" borderId="29" xfId="0" applyFont="1" applyBorder="1" applyAlignment="1">
      <alignment horizontal="left" vertical="center" wrapText="1"/>
    </xf>
    <xf numFmtId="0" fontId="21" fillId="0" borderId="30" xfId="0" applyFont="1" applyBorder="1" applyAlignment="1">
      <alignment horizontal="left" vertical="center" wrapText="1"/>
    </xf>
    <xf numFmtId="0" fontId="21" fillId="0" borderId="28" xfId="0" applyFont="1" applyBorder="1" applyAlignment="1">
      <alignment horizontal="left" vertical="center"/>
    </xf>
    <xf numFmtId="0" fontId="21" fillId="0" borderId="29" xfId="0" applyFont="1" applyBorder="1" applyAlignment="1">
      <alignment horizontal="left" vertical="center"/>
    </xf>
    <xf numFmtId="0" fontId="21" fillId="0" borderId="30" xfId="0" applyFont="1" applyBorder="1" applyAlignment="1">
      <alignment horizontal="left" vertical="center"/>
    </xf>
    <xf numFmtId="0" fontId="52" fillId="0" borderId="28" xfId="1" applyBorder="1" applyAlignment="1">
      <alignment horizontal="left" vertical="center" wrapText="1"/>
    </xf>
    <xf numFmtId="0" fontId="22" fillId="0" borderId="29" xfId="0" applyFont="1" applyBorder="1" applyAlignment="1">
      <alignment horizontal="left" vertical="center" wrapText="1"/>
    </xf>
    <xf numFmtId="0" fontId="22" fillId="0" borderId="30" xfId="0" applyFont="1" applyBorder="1" applyAlignment="1">
      <alignment horizontal="left" vertical="center" wrapText="1"/>
    </xf>
    <xf numFmtId="0" fontId="12" fillId="2" borderId="13" xfId="0" applyFont="1" applyFill="1" applyBorder="1" applyAlignment="1">
      <alignment horizontal="center"/>
    </xf>
    <xf numFmtId="0" fontId="12" fillId="2" borderId="0" xfId="0" applyFont="1" applyFill="1" applyAlignment="1">
      <alignment horizontal="center"/>
    </xf>
    <xf numFmtId="0" fontId="12" fillId="2" borderId="13" xfId="0" applyFont="1" applyFill="1" applyBorder="1" applyAlignment="1">
      <alignment horizontal="center" vertical="center"/>
    </xf>
    <xf numFmtId="0" fontId="12" fillId="2" borderId="0" xfId="0" applyFont="1" applyFill="1" applyAlignment="1">
      <alignment horizontal="center" vertical="center"/>
    </xf>
    <xf numFmtId="0" fontId="56" fillId="2" borderId="0" xfId="0" applyFont="1" applyFill="1" applyAlignment="1">
      <alignment horizontal="center" vertical="center"/>
    </xf>
    <xf numFmtId="0" fontId="34" fillId="2" borderId="38" xfId="0" applyFont="1" applyFill="1" applyBorder="1" applyAlignment="1">
      <alignment horizontal="center" vertical="center"/>
    </xf>
    <xf numFmtId="0" fontId="34" fillId="2" borderId="0" xfId="0" applyFont="1" applyFill="1" applyAlignment="1">
      <alignment horizontal="center" vertical="center"/>
    </xf>
    <xf numFmtId="0" fontId="42" fillId="2" borderId="51" xfId="0" applyFont="1" applyFill="1" applyBorder="1" applyAlignment="1">
      <alignment horizontal="center" vertical="top"/>
    </xf>
    <xf numFmtId="0" fontId="42" fillId="2" borderId="51" xfId="0" applyFont="1" applyFill="1" applyBorder="1" applyAlignment="1">
      <alignment horizontal="center" vertical="center"/>
    </xf>
    <xf numFmtId="0" fontId="42" fillId="2" borderId="0" xfId="0" applyFont="1" applyFill="1" applyAlignment="1">
      <alignment horizontal="center" vertical="center"/>
    </xf>
    <xf numFmtId="0" fontId="5" fillId="2" borderId="0" xfId="0" applyFont="1" applyFill="1" applyAlignment="1">
      <alignment horizontal="center"/>
    </xf>
    <xf numFmtId="0" fontId="1" fillId="0" borderId="69" xfId="0" applyFont="1" applyBorder="1" applyAlignment="1">
      <alignment horizontal="left" vertical="center" wrapText="1"/>
    </xf>
    <xf numFmtId="0" fontId="1" fillId="0" borderId="70" xfId="0" applyFont="1" applyBorder="1" applyAlignment="1">
      <alignment horizontal="left" vertical="center" wrapText="1"/>
    </xf>
    <xf numFmtId="0" fontId="1" fillId="0" borderId="68" xfId="0" applyFont="1" applyBorder="1" applyAlignment="1">
      <alignment horizontal="left" vertical="center" wrapText="1"/>
    </xf>
    <xf numFmtId="0" fontId="1" fillId="0" borderId="69" xfId="0" applyFont="1" applyBorder="1" applyAlignment="1">
      <alignment horizontal="center" vertical="center"/>
    </xf>
    <xf numFmtId="0" fontId="1" fillId="0" borderId="70" xfId="0" applyFont="1" applyBorder="1" applyAlignment="1">
      <alignment horizontal="center" vertical="center"/>
    </xf>
    <xf numFmtId="0" fontId="1" fillId="0" borderId="68" xfId="0" applyFont="1" applyBorder="1" applyAlignment="1">
      <alignment horizontal="center" vertical="center"/>
    </xf>
    <xf numFmtId="0" fontId="25" fillId="2" borderId="0" xfId="0" applyFont="1" applyFill="1" applyAlignment="1">
      <alignment horizontal="left" vertical="center"/>
    </xf>
    <xf numFmtId="0" fontId="5" fillId="7" borderId="0" xfId="0" applyFont="1" applyFill="1" applyAlignment="1">
      <alignment horizontal="center" vertical="center"/>
    </xf>
    <xf numFmtId="0" fontId="34" fillId="2" borderId="0" xfId="0" applyFont="1" applyFill="1" applyAlignment="1">
      <alignment horizontal="center"/>
    </xf>
    <xf numFmtId="0" fontId="19" fillId="0" borderId="71" xfId="0" applyFont="1" applyBorder="1" applyAlignment="1">
      <alignment horizontal="left" vertical="center"/>
    </xf>
    <xf numFmtId="0" fontId="19" fillId="0" borderId="72" xfId="0" applyFont="1" applyBorder="1" applyAlignment="1">
      <alignment horizontal="left" vertical="center"/>
    </xf>
    <xf numFmtId="0" fontId="19" fillId="0" borderId="73" xfId="0" applyFont="1" applyBorder="1" applyAlignment="1">
      <alignment horizontal="left" vertical="center"/>
    </xf>
    <xf numFmtId="10" fontId="1" fillId="0" borderId="8" xfId="0" applyNumberFormat="1" applyFont="1" applyBorder="1"/>
    <xf numFmtId="2" fontId="1" fillId="0" borderId="8" xfId="0" applyNumberFormat="1" applyFont="1" applyBorder="1"/>
    <xf numFmtId="0" fontId="25" fillId="2" borderId="0" xfId="0" applyFont="1" applyFill="1" applyAlignment="1">
      <alignment horizontal="center" vertical="center"/>
    </xf>
    <xf numFmtId="0" fontId="37" fillId="0" borderId="0" xfId="0" applyFont="1" applyAlignment="1">
      <alignment vertical="center"/>
    </xf>
    <xf numFmtId="3" fontId="23" fillId="3" borderId="0" xfId="0" applyNumberFormat="1" applyFont="1" applyFill="1" applyBorder="1"/>
    <xf numFmtId="0" fontId="13" fillId="13" borderId="4" xfId="0" applyFont="1" applyFill="1" applyBorder="1" applyAlignment="1">
      <alignment horizontal="left" vertical="center" wrapText="1"/>
    </xf>
    <xf numFmtId="0" fontId="13" fillId="13" borderId="66" xfId="0" applyFont="1" applyFill="1" applyBorder="1" applyAlignment="1">
      <alignment horizontal="left" vertical="center" wrapText="1"/>
    </xf>
    <xf numFmtId="0" fontId="5" fillId="2" borderId="0" xfId="0" applyFont="1" applyFill="1" applyAlignment="1">
      <alignment vertical="center"/>
    </xf>
    <xf numFmtId="0" fontId="1" fillId="0" borderId="1" xfId="0" applyFont="1" applyBorder="1" applyAlignment="1">
      <alignment horizontal="left" vertical="center" wrapText="1"/>
    </xf>
    <xf numFmtId="0" fontId="1" fillId="0" borderId="60" xfId="0" applyFont="1" applyBorder="1" applyAlignment="1">
      <alignment horizontal="left" vertical="center" wrapText="1"/>
    </xf>
    <xf numFmtId="166" fontId="6" fillId="3" borderId="0" xfId="0" applyNumberFormat="1" applyFont="1" applyFill="1"/>
    <xf numFmtId="166" fontId="6" fillId="5" borderId="26" xfId="0" applyNumberFormat="1" applyFont="1" applyFill="1" applyBorder="1"/>
    <xf numFmtId="166" fontId="6" fillId="5" borderId="25" xfId="0" applyNumberFormat="1" applyFont="1" applyFill="1" applyBorder="1"/>
    <xf numFmtId="3" fontId="1" fillId="0" borderId="0" xfId="0" applyNumberFormat="1" applyFont="1" applyFill="1"/>
    <xf numFmtId="3" fontId="1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tockChart>
        <c:ser>
          <c:idx val="0"/>
          <c:order val="0"/>
          <c:tx>
            <c:strRef>
              <c:f>Summary!$I$10</c:f>
              <c:strCache>
                <c:ptCount val="1"/>
                <c:pt idx="0">
                  <c:v>High</c:v>
                </c:pt>
              </c:strCache>
            </c:strRef>
          </c:tx>
          <c:spPr>
            <a:ln w="19050" cap="rnd">
              <a:noFill/>
              <a:round/>
            </a:ln>
            <a:effectLst/>
          </c:spPr>
          <c:marker>
            <c:symbol val="none"/>
          </c:marker>
          <c:dLbls>
            <c:dLbl>
              <c:idx val="0"/>
              <c:layout>
                <c:manualLayout>
                  <c:x val="-4.4444444444444467E-2"/>
                  <c:y val="-4.16666666666667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EF7-4328-96CF-6BA40C39F980}"/>
                </c:ext>
              </c:extLst>
            </c:dLbl>
            <c:dLbl>
              <c:idx val="1"/>
              <c:layout>
                <c:manualLayout>
                  <c:x val="-0.05"/>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EF7-4328-96CF-6BA40C39F980}"/>
                </c:ext>
              </c:extLst>
            </c:dLbl>
            <c:dLbl>
              <c:idx val="2"/>
              <c:layout>
                <c:manualLayout>
                  <c:x val="-0.05"/>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EF7-4328-96CF-6BA40C39F980}"/>
                </c:ext>
              </c:extLst>
            </c:dLbl>
            <c:dLbl>
              <c:idx val="3"/>
              <c:layout>
                <c:manualLayout>
                  <c:x val="-4.7222222222222117E-2"/>
                  <c:y val="-3.24074074074074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EF7-4328-96CF-6BA40C39F98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hi-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Summary!$J$9:$M$9</c:f>
              <c:strCache>
                <c:ptCount val="4"/>
                <c:pt idx="0">
                  <c:v>Comps</c:v>
                </c:pt>
                <c:pt idx="1">
                  <c:v>DCF</c:v>
                </c:pt>
                <c:pt idx="2">
                  <c:v>52-week hi/lo</c:v>
                </c:pt>
                <c:pt idx="3">
                  <c:v>Market Consensus</c:v>
                </c:pt>
              </c:strCache>
            </c:strRef>
          </c:cat>
          <c:val>
            <c:numRef>
              <c:f>Summary!$J$10:$M$10</c:f>
              <c:numCache>
                <c:formatCode>#,##0</c:formatCode>
                <c:ptCount val="4"/>
                <c:pt idx="0">
                  <c:v>2033.4176451909325</c:v>
                </c:pt>
                <c:pt idx="1">
                  <c:v>3638</c:v>
                </c:pt>
                <c:pt idx="2">
                  <c:v>4171</c:v>
                </c:pt>
                <c:pt idx="3">
                  <c:v>3280.8058817303113</c:v>
                </c:pt>
              </c:numCache>
            </c:numRef>
          </c:val>
          <c:smooth val="0"/>
          <c:extLst>
            <c:ext xmlns:c16="http://schemas.microsoft.com/office/drawing/2014/chart" uri="{C3380CC4-5D6E-409C-BE32-E72D297353CC}">
              <c16:uniqueId val="{00000000-BEF7-4328-96CF-6BA40C39F980}"/>
            </c:ext>
          </c:extLst>
        </c:ser>
        <c:ser>
          <c:idx val="2"/>
          <c:order val="1"/>
          <c:tx>
            <c:strRef>
              <c:f>Summary!$I$12</c:f>
              <c:strCache>
                <c:ptCount val="1"/>
                <c:pt idx="0">
                  <c:v>Low</c:v>
                </c:pt>
              </c:strCache>
            </c:strRef>
          </c:tx>
          <c:spPr>
            <a:ln w="19050" cap="rnd">
              <a:noFill/>
              <a:round/>
            </a:ln>
            <a:effectLst/>
          </c:spPr>
          <c:marker>
            <c:symbol val="none"/>
          </c:marker>
          <c:cat>
            <c:strRef>
              <c:f>Summary!$J$9:$M$9</c:f>
              <c:strCache>
                <c:ptCount val="4"/>
                <c:pt idx="0">
                  <c:v>Comps</c:v>
                </c:pt>
                <c:pt idx="1">
                  <c:v>DCF</c:v>
                </c:pt>
                <c:pt idx="2">
                  <c:v>52-week hi/lo</c:v>
                </c:pt>
                <c:pt idx="3">
                  <c:v>Market Consensus</c:v>
                </c:pt>
              </c:strCache>
            </c:strRef>
          </c:cat>
          <c:val>
            <c:numRef>
              <c:f>Summary!$J$12:$M$12</c:f>
              <c:numCache>
                <c:formatCode>#,##0</c:formatCode>
                <c:ptCount val="4"/>
                <c:pt idx="0">
                  <c:v>912.08182094374877</c:v>
                </c:pt>
                <c:pt idx="1">
                  <c:v>2195</c:v>
                </c:pt>
                <c:pt idx="2">
                  <c:v>2580</c:v>
                </c:pt>
                <c:pt idx="3">
                  <c:v>1895.6939403145832</c:v>
                </c:pt>
              </c:numCache>
            </c:numRef>
          </c:val>
          <c:smooth val="0"/>
          <c:extLst>
            <c:ext xmlns:c16="http://schemas.microsoft.com/office/drawing/2014/chart" uri="{C3380CC4-5D6E-409C-BE32-E72D297353CC}">
              <c16:uniqueId val="{00000002-BEF7-4328-96CF-6BA40C39F980}"/>
            </c:ext>
          </c:extLst>
        </c:ser>
        <c:ser>
          <c:idx val="3"/>
          <c:order val="2"/>
          <c:tx>
            <c:strRef>
              <c:f>Summary!$I$13</c:f>
              <c:strCache>
                <c:ptCount val="1"/>
                <c:pt idx="0">
                  <c:v>Low</c:v>
                </c:pt>
              </c:strCache>
            </c:strRef>
          </c:tx>
          <c:spPr>
            <a:ln w="19050" cap="rnd">
              <a:noFill/>
              <a:round/>
            </a:ln>
            <a:effectLst/>
          </c:spPr>
          <c:marker>
            <c:symbol val="none"/>
          </c:marker>
          <c:dLbls>
            <c:dLbl>
              <c:idx val="0"/>
              <c:layout>
                <c:manualLayout>
                  <c:x val="-4.4444444444444467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EF7-4328-96CF-6BA40C39F980}"/>
                </c:ext>
              </c:extLst>
            </c:dLbl>
            <c:dLbl>
              <c:idx val="1"/>
              <c:layout>
                <c:manualLayout>
                  <c:x val="-5.2777777777777729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EF7-4328-96CF-6BA40C39F980}"/>
                </c:ext>
              </c:extLst>
            </c:dLbl>
            <c:dLbl>
              <c:idx val="2"/>
              <c:layout>
                <c:manualLayout>
                  <c:x val="-5.2777777777777882E-2"/>
                  <c:y val="3.2407407407407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EF7-4328-96CF-6BA40C39F980}"/>
                </c:ext>
              </c:extLst>
            </c:dLbl>
            <c:dLbl>
              <c:idx val="3"/>
              <c:layout>
                <c:manualLayout>
                  <c:x val="-4.7222222222222117E-2"/>
                  <c:y val="3.7037037037036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EF7-4328-96CF-6BA40C39F98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hi-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Summary!$J$9:$M$9</c:f>
              <c:strCache>
                <c:ptCount val="4"/>
                <c:pt idx="0">
                  <c:v>Comps</c:v>
                </c:pt>
                <c:pt idx="1">
                  <c:v>DCF</c:v>
                </c:pt>
                <c:pt idx="2">
                  <c:v>52-week hi/lo</c:v>
                </c:pt>
                <c:pt idx="3">
                  <c:v>Market Consensus</c:v>
                </c:pt>
              </c:strCache>
            </c:strRef>
          </c:cat>
          <c:val>
            <c:numRef>
              <c:f>Summary!$J$13:$M$13</c:f>
              <c:numCache>
                <c:formatCode>#,##0</c:formatCode>
                <c:ptCount val="4"/>
                <c:pt idx="0">
                  <c:v>912.08182094374877</c:v>
                </c:pt>
                <c:pt idx="1">
                  <c:v>2195</c:v>
                </c:pt>
                <c:pt idx="2">
                  <c:v>2580</c:v>
                </c:pt>
                <c:pt idx="3">
                  <c:v>1895.6939403145832</c:v>
                </c:pt>
              </c:numCache>
            </c:numRef>
          </c:val>
          <c:smooth val="0"/>
          <c:extLst>
            <c:ext xmlns:c16="http://schemas.microsoft.com/office/drawing/2014/chart" uri="{C3380CC4-5D6E-409C-BE32-E72D297353CC}">
              <c16:uniqueId val="{00000003-BEF7-4328-96CF-6BA40C39F980}"/>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accent1">
                  <a:lumMod val="50000"/>
                </a:schemeClr>
              </a:solidFill>
              <a:ln w="9525" cap="flat" cmpd="sng" algn="ctr">
                <a:solidFill>
                  <a:schemeClr val="accent1">
                    <a:lumMod val="50000"/>
                  </a:schemeClr>
                </a:solidFill>
                <a:round/>
              </a:ln>
              <a:effectLst/>
            </c:spPr>
          </c:downBars>
        </c:upDownBars>
        <c:axId val="461230104"/>
        <c:axId val="591121208"/>
      </c:stockChart>
      <c:catAx>
        <c:axId val="46123010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hi-IN"/>
          </a:p>
        </c:txPr>
        <c:crossAx val="591121208"/>
        <c:crosses val="autoZero"/>
        <c:auto val="1"/>
        <c:lblAlgn val="ctr"/>
        <c:lblOffset val="100"/>
        <c:noMultiLvlLbl val="0"/>
      </c:catAx>
      <c:valAx>
        <c:axId val="5911212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hi-IN"/>
          </a:p>
        </c:txPr>
        <c:crossAx val="461230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c:spPr>
  <c:txPr>
    <a:bodyPr/>
    <a:lstStyle/>
    <a:p>
      <a:pPr>
        <a:defRPr/>
      </a:pPr>
      <a:endParaRPr lang="hi-I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7.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png"/></Relationships>
</file>

<file path=xl/drawings/_rels/drawing20.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46382</xdr:colOff>
      <xdr:row>0</xdr:row>
      <xdr:rowOff>26503</xdr:rowOff>
    </xdr:from>
    <xdr:to>
      <xdr:col>4</xdr:col>
      <xdr:colOff>172278</xdr:colOff>
      <xdr:row>2</xdr:row>
      <xdr:rowOff>181799</xdr:rowOff>
    </xdr:to>
    <xdr:pic>
      <xdr:nvPicPr>
        <xdr:cNvPr id="2" name="Picture 1">
          <a:extLst>
            <a:ext uri="{FF2B5EF4-FFF2-40B4-BE49-F238E27FC236}">
              <a16:creationId xmlns:a16="http://schemas.microsoft.com/office/drawing/2014/main" id="{2D8D8FD3-6FFF-2A17-3C01-2D757910F9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147" y="26503"/>
          <a:ext cx="921027" cy="526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45720</xdr:colOff>
      <xdr:row>0</xdr:row>
      <xdr:rowOff>22860</xdr:rowOff>
    </xdr:from>
    <xdr:to>
      <xdr:col>6</xdr:col>
      <xdr:colOff>777240</xdr:colOff>
      <xdr:row>2</xdr:row>
      <xdr:rowOff>179670</xdr:rowOff>
    </xdr:to>
    <xdr:pic>
      <xdr:nvPicPr>
        <xdr:cNvPr id="2" name="Picture 1">
          <a:extLst>
            <a:ext uri="{FF2B5EF4-FFF2-40B4-BE49-F238E27FC236}">
              <a16:creationId xmlns:a16="http://schemas.microsoft.com/office/drawing/2014/main" id="{8FF8D313-6B10-49AA-B3C6-52F0B82EEC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1480" y="22860"/>
          <a:ext cx="914400" cy="522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42204</xdr:colOff>
      <xdr:row>2</xdr:row>
      <xdr:rowOff>137160</xdr:rowOff>
    </xdr:from>
    <xdr:to>
      <xdr:col>21</xdr:col>
      <xdr:colOff>411480</xdr:colOff>
      <xdr:row>11</xdr:row>
      <xdr:rowOff>100992</xdr:rowOff>
    </xdr:to>
    <xdr:pic>
      <xdr:nvPicPr>
        <xdr:cNvPr id="5" name="Picture 4">
          <a:extLst>
            <a:ext uri="{FF2B5EF4-FFF2-40B4-BE49-F238E27FC236}">
              <a16:creationId xmlns:a16="http://schemas.microsoft.com/office/drawing/2014/main" id="{962D270E-1ACA-5C94-0299-31EA43A62ED9}"/>
            </a:ext>
          </a:extLst>
        </xdr:cNvPr>
        <xdr:cNvPicPr>
          <a:picLocks noChangeAspect="1"/>
        </xdr:cNvPicPr>
      </xdr:nvPicPr>
      <xdr:blipFill>
        <a:blip xmlns:r="http://schemas.openxmlformats.org/officeDocument/2006/relationships" r:embed="rId2"/>
        <a:stretch>
          <a:fillRect/>
        </a:stretch>
      </xdr:blipFill>
      <xdr:spPr>
        <a:xfrm>
          <a:off x="7258344" y="502920"/>
          <a:ext cx="5345136" cy="24174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83820</xdr:colOff>
      <xdr:row>0</xdr:row>
      <xdr:rowOff>30481</xdr:rowOff>
    </xdr:from>
    <xdr:to>
      <xdr:col>3</xdr:col>
      <xdr:colOff>729518</xdr:colOff>
      <xdr:row>3</xdr:row>
      <xdr:rowOff>7621</xdr:rowOff>
    </xdr:to>
    <xdr:pic>
      <xdr:nvPicPr>
        <xdr:cNvPr id="2" name="Picture 1">
          <a:extLst>
            <a:ext uri="{FF2B5EF4-FFF2-40B4-BE49-F238E27FC236}">
              <a16:creationId xmlns:a16="http://schemas.microsoft.com/office/drawing/2014/main" id="{EE6B657B-7577-45D3-A992-66EBF2E6D4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820" y="30481"/>
          <a:ext cx="920018"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22860</xdr:rowOff>
    </xdr:from>
    <xdr:to>
      <xdr:col>3</xdr:col>
      <xdr:colOff>731520</xdr:colOff>
      <xdr:row>2</xdr:row>
      <xdr:rowOff>179670</xdr:rowOff>
    </xdr:to>
    <xdr:pic>
      <xdr:nvPicPr>
        <xdr:cNvPr id="2" name="Picture 1">
          <a:extLst>
            <a:ext uri="{FF2B5EF4-FFF2-40B4-BE49-F238E27FC236}">
              <a16:creationId xmlns:a16="http://schemas.microsoft.com/office/drawing/2014/main" id="{48B8AF04-B13D-43B1-9918-25ACD6EA56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440" y="22860"/>
          <a:ext cx="914400" cy="522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83820</xdr:colOff>
      <xdr:row>0</xdr:row>
      <xdr:rowOff>30480</xdr:rowOff>
    </xdr:from>
    <xdr:to>
      <xdr:col>3</xdr:col>
      <xdr:colOff>729518</xdr:colOff>
      <xdr:row>3</xdr:row>
      <xdr:rowOff>7620</xdr:rowOff>
    </xdr:to>
    <xdr:pic>
      <xdr:nvPicPr>
        <xdr:cNvPr id="2" name="Picture 1">
          <a:extLst>
            <a:ext uri="{FF2B5EF4-FFF2-40B4-BE49-F238E27FC236}">
              <a16:creationId xmlns:a16="http://schemas.microsoft.com/office/drawing/2014/main" id="{D0A4D610-379A-4961-A4FB-B6DB98C907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820" y="30480"/>
          <a:ext cx="920018"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68579</xdr:colOff>
      <xdr:row>0</xdr:row>
      <xdr:rowOff>22860</xdr:rowOff>
    </xdr:from>
    <xdr:to>
      <xdr:col>3</xdr:col>
      <xdr:colOff>805717</xdr:colOff>
      <xdr:row>3</xdr:row>
      <xdr:rowOff>0</xdr:rowOff>
    </xdr:to>
    <xdr:pic>
      <xdr:nvPicPr>
        <xdr:cNvPr id="4" name="Picture 3">
          <a:extLst>
            <a:ext uri="{FF2B5EF4-FFF2-40B4-BE49-F238E27FC236}">
              <a16:creationId xmlns:a16="http://schemas.microsoft.com/office/drawing/2014/main" id="{3C5A1183-6F91-406C-A6C1-482C1BE62C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0019" y="22860"/>
          <a:ext cx="920018"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30480</xdr:colOff>
      <xdr:row>0</xdr:row>
      <xdr:rowOff>30480</xdr:rowOff>
    </xdr:from>
    <xdr:to>
      <xdr:col>3</xdr:col>
      <xdr:colOff>767618</xdr:colOff>
      <xdr:row>3</xdr:row>
      <xdr:rowOff>7620</xdr:rowOff>
    </xdr:to>
    <xdr:pic>
      <xdr:nvPicPr>
        <xdr:cNvPr id="3" name="Picture 2">
          <a:extLst>
            <a:ext uri="{FF2B5EF4-FFF2-40B4-BE49-F238E27FC236}">
              <a16:creationId xmlns:a16="http://schemas.microsoft.com/office/drawing/2014/main" id="{C4E3C726-9047-41D1-A40B-DB52E551EF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30480"/>
          <a:ext cx="920018"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0</xdr:row>
      <xdr:rowOff>22860</xdr:rowOff>
    </xdr:from>
    <xdr:to>
      <xdr:col>3</xdr:col>
      <xdr:colOff>746760</xdr:colOff>
      <xdr:row>3</xdr:row>
      <xdr:rowOff>9896</xdr:rowOff>
    </xdr:to>
    <xdr:pic>
      <xdr:nvPicPr>
        <xdr:cNvPr id="2" name="Picture 1">
          <a:extLst>
            <a:ext uri="{FF2B5EF4-FFF2-40B4-BE49-F238E27FC236}">
              <a16:creationId xmlns:a16="http://schemas.microsoft.com/office/drawing/2014/main" id="{10F99929-B15F-41F2-B9B9-8D4F920D18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440" y="22860"/>
          <a:ext cx="929640" cy="535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7620</xdr:colOff>
      <xdr:row>0</xdr:row>
      <xdr:rowOff>22860</xdr:rowOff>
    </xdr:from>
    <xdr:to>
      <xdr:col>3</xdr:col>
      <xdr:colOff>754380</xdr:colOff>
      <xdr:row>3</xdr:row>
      <xdr:rowOff>9896</xdr:rowOff>
    </xdr:to>
    <xdr:pic>
      <xdr:nvPicPr>
        <xdr:cNvPr id="2" name="Picture 1">
          <a:extLst>
            <a:ext uri="{FF2B5EF4-FFF2-40B4-BE49-F238E27FC236}">
              <a16:creationId xmlns:a16="http://schemas.microsoft.com/office/drawing/2014/main" id="{280739C5-C24F-4F04-837F-1303DE597C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22860"/>
          <a:ext cx="929640" cy="535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30788</xdr:colOff>
      <xdr:row>0</xdr:row>
      <xdr:rowOff>30788</xdr:rowOff>
    </xdr:from>
    <xdr:to>
      <xdr:col>3</xdr:col>
      <xdr:colOff>766079</xdr:colOff>
      <xdr:row>3</xdr:row>
      <xdr:rowOff>2386</xdr:rowOff>
    </xdr:to>
    <xdr:pic>
      <xdr:nvPicPr>
        <xdr:cNvPr id="3" name="Picture 2">
          <a:extLst>
            <a:ext uri="{FF2B5EF4-FFF2-40B4-BE49-F238E27FC236}">
              <a16:creationId xmlns:a16="http://schemas.microsoft.com/office/drawing/2014/main" id="{9F719A36-BD18-4DCC-A0A1-7926B09922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152" y="30788"/>
          <a:ext cx="920018"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15240</xdr:colOff>
      <xdr:row>0</xdr:row>
      <xdr:rowOff>22860</xdr:rowOff>
    </xdr:from>
    <xdr:to>
      <xdr:col>3</xdr:col>
      <xdr:colOff>752378</xdr:colOff>
      <xdr:row>3</xdr:row>
      <xdr:rowOff>0</xdr:rowOff>
    </xdr:to>
    <xdr:pic>
      <xdr:nvPicPr>
        <xdr:cNvPr id="3" name="Picture 2">
          <a:extLst>
            <a:ext uri="{FF2B5EF4-FFF2-40B4-BE49-F238E27FC236}">
              <a16:creationId xmlns:a16="http://schemas.microsoft.com/office/drawing/2014/main" id="{181F933F-3D93-4758-B9D9-0FB2FFB73A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22860"/>
          <a:ext cx="920018"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83820</xdr:colOff>
      <xdr:row>0</xdr:row>
      <xdr:rowOff>22860</xdr:rowOff>
    </xdr:from>
    <xdr:to>
      <xdr:col>3</xdr:col>
      <xdr:colOff>729518</xdr:colOff>
      <xdr:row>3</xdr:row>
      <xdr:rowOff>0</xdr:rowOff>
    </xdr:to>
    <xdr:pic>
      <xdr:nvPicPr>
        <xdr:cNvPr id="3" name="Picture 2">
          <a:extLst>
            <a:ext uri="{FF2B5EF4-FFF2-40B4-BE49-F238E27FC236}">
              <a16:creationId xmlns:a16="http://schemas.microsoft.com/office/drawing/2014/main" id="{3F91B9A3-4CCC-4DCE-BABE-D0E311785F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820" y="22860"/>
          <a:ext cx="920018"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68580</xdr:colOff>
      <xdr:row>0</xdr:row>
      <xdr:rowOff>22860</xdr:rowOff>
    </xdr:from>
    <xdr:to>
      <xdr:col>3</xdr:col>
      <xdr:colOff>723900</xdr:colOff>
      <xdr:row>3</xdr:row>
      <xdr:rowOff>9896</xdr:rowOff>
    </xdr:to>
    <xdr:pic>
      <xdr:nvPicPr>
        <xdr:cNvPr id="2" name="Picture 1">
          <a:extLst>
            <a:ext uri="{FF2B5EF4-FFF2-40B4-BE49-F238E27FC236}">
              <a16:creationId xmlns:a16="http://schemas.microsoft.com/office/drawing/2014/main" id="{3FB7AE19-A090-41F5-BC15-D76AAE7735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 y="22860"/>
          <a:ext cx="929640" cy="535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83820</xdr:colOff>
      <xdr:row>0</xdr:row>
      <xdr:rowOff>15240</xdr:rowOff>
    </xdr:from>
    <xdr:to>
      <xdr:col>3</xdr:col>
      <xdr:colOff>739140</xdr:colOff>
      <xdr:row>3</xdr:row>
      <xdr:rowOff>2276</xdr:rowOff>
    </xdr:to>
    <xdr:pic>
      <xdr:nvPicPr>
        <xdr:cNvPr id="2" name="Picture 1">
          <a:extLst>
            <a:ext uri="{FF2B5EF4-FFF2-40B4-BE49-F238E27FC236}">
              <a16:creationId xmlns:a16="http://schemas.microsoft.com/office/drawing/2014/main" id="{5900DB51-5C72-4289-A6A0-AAB3D1985A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820" y="15240"/>
          <a:ext cx="929640" cy="535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8965</xdr:colOff>
      <xdr:row>0</xdr:row>
      <xdr:rowOff>22711</xdr:rowOff>
    </xdr:from>
    <xdr:to>
      <xdr:col>3</xdr:col>
      <xdr:colOff>755725</xdr:colOff>
      <xdr:row>3</xdr:row>
      <xdr:rowOff>9747</xdr:rowOff>
    </xdr:to>
    <xdr:pic>
      <xdr:nvPicPr>
        <xdr:cNvPr id="2" name="Picture 1">
          <a:extLst>
            <a:ext uri="{FF2B5EF4-FFF2-40B4-BE49-F238E27FC236}">
              <a16:creationId xmlns:a16="http://schemas.microsoft.com/office/drawing/2014/main" id="{D6C3E392-E3D5-4522-BDD9-191933DAAF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612" y="22711"/>
          <a:ext cx="926054" cy="524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7620</xdr:colOff>
      <xdr:row>0</xdr:row>
      <xdr:rowOff>22860</xdr:rowOff>
    </xdr:from>
    <xdr:to>
      <xdr:col>3</xdr:col>
      <xdr:colOff>754380</xdr:colOff>
      <xdr:row>3</xdr:row>
      <xdr:rowOff>9896</xdr:rowOff>
    </xdr:to>
    <xdr:pic>
      <xdr:nvPicPr>
        <xdr:cNvPr id="2" name="Picture 1">
          <a:extLst>
            <a:ext uri="{FF2B5EF4-FFF2-40B4-BE49-F238E27FC236}">
              <a16:creationId xmlns:a16="http://schemas.microsoft.com/office/drawing/2014/main" id="{14050A36-DB49-45B6-B425-2EB8B1EAD7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22860"/>
          <a:ext cx="929640" cy="535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30326</xdr:colOff>
      <xdr:row>0</xdr:row>
      <xdr:rowOff>22860</xdr:rowOff>
    </xdr:from>
    <xdr:to>
      <xdr:col>3</xdr:col>
      <xdr:colOff>777086</xdr:colOff>
      <xdr:row>3</xdr:row>
      <xdr:rowOff>9896</xdr:rowOff>
    </xdr:to>
    <xdr:pic>
      <xdr:nvPicPr>
        <xdr:cNvPr id="2" name="Picture 1">
          <a:extLst>
            <a:ext uri="{FF2B5EF4-FFF2-40B4-BE49-F238E27FC236}">
              <a16:creationId xmlns:a16="http://schemas.microsoft.com/office/drawing/2014/main" id="{6797CE3F-0F8E-4588-9526-F4D9F2FE51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0" y="22860"/>
          <a:ext cx="931487" cy="541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7620</xdr:rowOff>
    </xdr:from>
    <xdr:to>
      <xdr:col>3</xdr:col>
      <xdr:colOff>714346</xdr:colOff>
      <xdr:row>3</xdr:row>
      <xdr:rowOff>7620</xdr:rowOff>
    </xdr:to>
    <xdr:pic>
      <xdr:nvPicPr>
        <xdr:cNvPr id="2" name="Picture 1">
          <a:extLst>
            <a:ext uri="{FF2B5EF4-FFF2-40B4-BE49-F238E27FC236}">
              <a16:creationId xmlns:a16="http://schemas.microsoft.com/office/drawing/2014/main" id="{1394029D-4E58-4D2F-9DFB-BB91F663E4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7620"/>
          <a:ext cx="912466"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746760</xdr:colOff>
      <xdr:row>3</xdr:row>
      <xdr:rowOff>9896</xdr:rowOff>
    </xdr:to>
    <xdr:pic>
      <xdr:nvPicPr>
        <xdr:cNvPr id="2" name="Picture 1">
          <a:extLst>
            <a:ext uri="{FF2B5EF4-FFF2-40B4-BE49-F238E27FC236}">
              <a16:creationId xmlns:a16="http://schemas.microsoft.com/office/drawing/2014/main" id="{9071F28B-9281-409E-9C6A-E49CA06A36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440" y="0"/>
          <a:ext cx="929640" cy="535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22860</xdr:colOff>
      <xdr:row>0</xdr:row>
      <xdr:rowOff>15240</xdr:rowOff>
    </xdr:from>
    <xdr:to>
      <xdr:col>4</xdr:col>
      <xdr:colOff>160020</xdr:colOff>
      <xdr:row>3</xdr:row>
      <xdr:rowOff>2276</xdr:rowOff>
    </xdr:to>
    <xdr:pic>
      <xdr:nvPicPr>
        <xdr:cNvPr id="2" name="Picture 1">
          <a:extLst>
            <a:ext uri="{FF2B5EF4-FFF2-40B4-BE49-F238E27FC236}">
              <a16:creationId xmlns:a16="http://schemas.microsoft.com/office/drawing/2014/main" id="{CAA52368-DDD9-4059-A5C1-51EE916431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5240"/>
          <a:ext cx="929640" cy="535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365760</xdr:colOff>
      <xdr:row>17</xdr:row>
      <xdr:rowOff>19050</xdr:rowOff>
    </xdr:from>
    <xdr:to>
      <xdr:col>14</xdr:col>
      <xdr:colOff>220980</xdr:colOff>
      <xdr:row>32</xdr:row>
      <xdr:rowOff>19050</xdr:rowOff>
    </xdr:to>
    <xdr:graphicFrame macro="">
      <xdr:nvGraphicFramePr>
        <xdr:cNvPr id="5" name="Chart 4">
          <a:extLst>
            <a:ext uri="{FF2B5EF4-FFF2-40B4-BE49-F238E27FC236}">
              <a16:creationId xmlns:a16="http://schemas.microsoft.com/office/drawing/2014/main" id="{DE501E97-DBA0-BA58-E9C3-B95B69723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449580</xdr:colOff>
      <xdr:row>22</xdr:row>
      <xdr:rowOff>53340</xdr:rowOff>
    </xdr:from>
    <xdr:to>
      <xdr:col>14</xdr:col>
      <xdr:colOff>152400</xdr:colOff>
      <xdr:row>22</xdr:row>
      <xdr:rowOff>68580</xdr:rowOff>
    </xdr:to>
    <xdr:cxnSp macro="">
      <xdr:nvCxnSpPr>
        <xdr:cNvPr id="7" name="Straight Connector 6">
          <a:extLst>
            <a:ext uri="{FF2B5EF4-FFF2-40B4-BE49-F238E27FC236}">
              <a16:creationId xmlns:a16="http://schemas.microsoft.com/office/drawing/2014/main" id="{BF5EBB13-D8C8-DFB9-3A8C-82404C3AA3F3}"/>
            </a:ext>
          </a:extLst>
        </xdr:cNvPr>
        <xdr:cNvCxnSpPr/>
      </xdr:nvCxnSpPr>
      <xdr:spPr>
        <a:xfrm flipV="1">
          <a:off x="3771900" y="4503420"/>
          <a:ext cx="3810000" cy="15240"/>
        </a:xfrm>
        <a:prstGeom prst="line">
          <a:avLst/>
        </a:prstGeom>
        <a:ln w="19050">
          <a:solidFill>
            <a:schemeClr val="accent4">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9CCF-2A8C-44F4-A06F-656A00A0B50E}">
  <dimension ref="D4:H27"/>
  <sheetViews>
    <sheetView showGridLines="0" tabSelected="1" topLeftCell="A4" zoomScale="115" zoomScaleNormal="115" workbookViewId="0">
      <selection activeCell="U21" sqref="U21"/>
    </sheetView>
  </sheetViews>
  <sheetFormatPr defaultRowHeight="14.4" customHeight="1" x14ac:dyDescent="0.3"/>
  <cols>
    <col min="1" max="3" width="1.33203125" customWidth="1"/>
  </cols>
  <sheetData>
    <row r="4" spans="4:8" ht="16.8" customHeight="1" x14ac:dyDescent="0.3">
      <c r="D4" s="378" t="s">
        <v>254</v>
      </c>
      <c r="E4" s="378"/>
      <c r="F4" s="378"/>
      <c r="G4" s="378"/>
      <c r="H4" s="378"/>
    </row>
    <row r="5" spans="4:8" ht="14.4" customHeight="1" x14ac:dyDescent="0.3">
      <c r="D5" s="1"/>
      <c r="E5" s="1"/>
      <c r="F5" s="1"/>
      <c r="G5" s="1"/>
      <c r="H5" s="1"/>
    </row>
    <row r="6" spans="4:8" ht="14.4" customHeight="1" x14ac:dyDescent="0.3">
      <c r="D6" s="1"/>
      <c r="E6" s="1">
        <v>1</v>
      </c>
      <c r="F6" s="379" t="s">
        <v>137</v>
      </c>
      <c r="G6" s="380"/>
      <c r="H6" s="380"/>
    </row>
    <row r="7" spans="4:8" ht="14.4" customHeight="1" x14ac:dyDescent="0.3">
      <c r="D7" s="1"/>
      <c r="E7" s="1">
        <f t="shared" ref="E7:E24" si="0">E6+1</f>
        <v>2</v>
      </c>
      <c r="F7" s="376" t="s">
        <v>396</v>
      </c>
      <c r="G7" s="377"/>
      <c r="H7" s="377"/>
    </row>
    <row r="8" spans="4:8" ht="14.4" customHeight="1" x14ac:dyDescent="0.3">
      <c r="D8" s="1"/>
      <c r="E8" s="1">
        <f t="shared" si="0"/>
        <v>3</v>
      </c>
      <c r="F8" s="376" t="s">
        <v>397</v>
      </c>
      <c r="G8" s="377"/>
      <c r="H8" s="377"/>
    </row>
    <row r="9" spans="4:8" ht="14.4" customHeight="1" x14ac:dyDescent="0.3">
      <c r="D9" s="1"/>
      <c r="E9" s="1">
        <f t="shared" si="0"/>
        <v>4</v>
      </c>
      <c r="F9" s="376" t="s">
        <v>398</v>
      </c>
      <c r="G9" s="377"/>
      <c r="H9" s="377"/>
    </row>
    <row r="10" spans="4:8" ht="14.4" customHeight="1" x14ac:dyDescent="0.3">
      <c r="D10" s="1"/>
      <c r="E10" s="1">
        <f t="shared" si="0"/>
        <v>5</v>
      </c>
      <c r="F10" s="376" t="s">
        <v>109</v>
      </c>
      <c r="G10" s="377"/>
      <c r="H10" s="377"/>
    </row>
    <row r="11" spans="4:8" ht="14.4" customHeight="1" x14ac:dyDescent="0.3">
      <c r="D11" s="1"/>
      <c r="E11" s="1">
        <f t="shared" si="0"/>
        <v>6</v>
      </c>
      <c r="F11" s="376" t="s">
        <v>151</v>
      </c>
      <c r="G11" s="377"/>
      <c r="H11" s="377"/>
    </row>
    <row r="12" spans="4:8" ht="14.4" customHeight="1" x14ac:dyDescent="0.3">
      <c r="D12" s="1"/>
      <c r="E12" s="1">
        <f t="shared" si="0"/>
        <v>7</v>
      </c>
      <c r="F12" s="376" t="s">
        <v>204</v>
      </c>
      <c r="G12" s="377"/>
      <c r="H12" s="377"/>
    </row>
    <row r="13" spans="4:8" ht="14.4" customHeight="1" x14ac:dyDescent="0.3">
      <c r="D13" s="1"/>
      <c r="E13" s="1">
        <f t="shared" si="0"/>
        <v>8</v>
      </c>
      <c r="F13" s="376" t="s">
        <v>437</v>
      </c>
      <c r="G13" s="377"/>
      <c r="H13" s="377"/>
    </row>
    <row r="14" spans="4:8" ht="14.4" customHeight="1" x14ac:dyDescent="0.3">
      <c r="D14" s="1"/>
      <c r="E14" s="1">
        <f t="shared" si="0"/>
        <v>9</v>
      </c>
      <c r="F14" s="376" t="s">
        <v>167</v>
      </c>
      <c r="G14" s="377"/>
      <c r="H14" s="377"/>
    </row>
    <row r="15" spans="4:8" ht="14.4" customHeight="1" x14ac:dyDescent="0.3">
      <c r="D15" s="1"/>
      <c r="E15" s="1">
        <f t="shared" si="0"/>
        <v>10</v>
      </c>
      <c r="F15" s="376" t="s">
        <v>180</v>
      </c>
      <c r="G15" s="377"/>
      <c r="H15" s="377"/>
    </row>
    <row r="16" spans="4:8" ht="14.4" customHeight="1" x14ac:dyDescent="0.3">
      <c r="D16" s="1"/>
      <c r="E16" s="1">
        <f t="shared" si="0"/>
        <v>11</v>
      </c>
      <c r="F16" s="376" t="s">
        <v>203</v>
      </c>
      <c r="G16" s="377"/>
      <c r="H16" s="377"/>
    </row>
    <row r="17" spans="4:8" ht="14.4" customHeight="1" x14ac:dyDescent="0.3">
      <c r="D17" s="1"/>
      <c r="E17" s="1">
        <f t="shared" si="0"/>
        <v>12</v>
      </c>
      <c r="F17" s="376" t="s">
        <v>284</v>
      </c>
      <c r="G17" s="377"/>
      <c r="H17" s="377"/>
    </row>
    <row r="18" spans="4:8" ht="14.4" customHeight="1" x14ac:dyDescent="0.3">
      <c r="D18" s="1"/>
      <c r="E18" s="1">
        <f t="shared" si="0"/>
        <v>13</v>
      </c>
      <c r="F18" s="376" t="s">
        <v>369</v>
      </c>
      <c r="G18" s="377"/>
      <c r="H18" s="377"/>
    </row>
    <row r="19" spans="4:8" ht="14.4" customHeight="1" x14ac:dyDescent="0.3">
      <c r="D19" s="1"/>
      <c r="E19" s="1">
        <f t="shared" si="0"/>
        <v>14</v>
      </c>
      <c r="F19" s="376" t="s">
        <v>205</v>
      </c>
      <c r="G19" s="377"/>
      <c r="H19" s="377"/>
    </row>
    <row r="20" spans="4:8" ht="14.4" customHeight="1" x14ac:dyDescent="0.3">
      <c r="D20" s="1"/>
      <c r="E20" s="1">
        <f t="shared" si="0"/>
        <v>15</v>
      </c>
      <c r="F20" s="376" t="s">
        <v>257</v>
      </c>
      <c r="G20" s="377"/>
      <c r="H20" s="377"/>
    </row>
    <row r="21" spans="4:8" ht="14.4" customHeight="1" x14ac:dyDescent="0.3">
      <c r="D21" s="1"/>
      <c r="E21" s="1">
        <f t="shared" si="0"/>
        <v>16</v>
      </c>
      <c r="F21" s="376" t="s">
        <v>388</v>
      </c>
      <c r="G21" s="377"/>
      <c r="H21" s="377"/>
    </row>
    <row r="22" spans="4:8" ht="14.4" customHeight="1" x14ac:dyDescent="0.3">
      <c r="D22" s="1"/>
      <c r="E22" s="1">
        <f t="shared" si="0"/>
        <v>17</v>
      </c>
      <c r="F22" s="376" t="s">
        <v>320</v>
      </c>
      <c r="G22" s="377"/>
      <c r="H22" s="377"/>
    </row>
    <row r="23" spans="4:8" ht="14.4" customHeight="1" x14ac:dyDescent="0.3">
      <c r="D23" s="1"/>
      <c r="E23" s="1">
        <f t="shared" si="0"/>
        <v>18</v>
      </c>
      <c r="F23" s="376" t="s">
        <v>399</v>
      </c>
      <c r="G23" s="377"/>
      <c r="H23" s="377"/>
    </row>
    <row r="24" spans="4:8" ht="14.4" customHeight="1" x14ac:dyDescent="0.3">
      <c r="D24" s="1"/>
      <c r="E24" s="1">
        <f t="shared" si="0"/>
        <v>19</v>
      </c>
      <c r="F24" s="376" t="s">
        <v>400</v>
      </c>
      <c r="G24" s="377"/>
      <c r="H24" s="377"/>
    </row>
    <row r="25" spans="4:8" ht="14.4" customHeight="1" x14ac:dyDescent="0.3">
      <c r="D25" s="1"/>
      <c r="E25" s="1"/>
      <c r="F25" s="1"/>
      <c r="G25" s="1"/>
      <c r="H25" s="1"/>
    </row>
    <row r="26" spans="4:8" ht="14.4" customHeight="1" x14ac:dyDescent="0.3">
      <c r="D26" s="1"/>
      <c r="E26" s="1"/>
      <c r="F26" s="1"/>
      <c r="G26" s="1"/>
      <c r="H26" s="1"/>
    </row>
    <row r="27" spans="4:8" ht="14.4" customHeight="1" x14ac:dyDescent="0.3">
      <c r="D27" s="1"/>
      <c r="E27" s="1"/>
      <c r="F27" s="1"/>
      <c r="G27" s="1"/>
      <c r="H27" s="1"/>
    </row>
  </sheetData>
  <mergeCells count="20">
    <mergeCell ref="F16:H16"/>
    <mergeCell ref="D4:H4"/>
    <mergeCell ref="F6:H6"/>
    <mergeCell ref="F7:H7"/>
    <mergeCell ref="F8:H8"/>
    <mergeCell ref="F9:H9"/>
    <mergeCell ref="F10:H10"/>
    <mergeCell ref="F11:H11"/>
    <mergeCell ref="F12:H12"/>
    <mergeCell ref="F13:H13"/>
    <mergeCell ref="F15:H15"/>
    <mergeCell ref="F14:H14"/>
    <mergeCell ref="F23:H23"/>
    <mergeCell ref="F24:H24"/>
    <mergeCell ref="F19:H19"/>
    <mergeCell ref="F17:H17"/>
    <mergeCell ref="F21:H21"/>
    <mergeCell ref="F20:H20"/>
    <mergeCell ref="F18:H18"/>
    <mergeCell ref="F22:H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57CF9-E98F-49A4-ACEF-697559F5C572}">
  <dimension ref="G4:S52"/>
  <sheetViews>
    <sheetView showGridLines="0" topLeftCell="A46" workbookViewId="0">
      <selection activeCell="I51" sqref="I51:S51"/>
    </sheetView>
  </sheetViews>
  <sheetFormatPr defaultRowHeight="14.4" customHeight="1" x14ac:dyDescent="0.3"/>
  <cols>
    <col min="1" max="6" width="1.33203125" customWidth="1"/>
    <col min="7" max="7" width="30.77734375" customWidth="1"/>
    <col min="8" max="8" width="14.44140625" customWidth="1"/>
    <col min="9" max="9" width="15" customWidth="1"/>
    <col min="12" max="12" width="10.33203125" customWidth="1"/>
    <col min="19" max="19" width="10.33203125" customWidth="1"/>
  </cols>
  <sheetData>
    <row r="4" spans="7:12" ht="14.4" customHeight="1" x14ac:dyDescent="0.3">
      <c r="G4" s="97" t="s">
        <v>144</v>
      </c>
      <c r="H4" s="404" t="s">
        <v>161</v>
      </c>
      <c r="I4" s="405"/>
      <c r="J4" s="405"/>
      <c r="K4" s="405"/>
      <c r="L4" s="406"/>
    </row>
    <row r="5" spans="7:12" ht="14.4" customHeight="1" x14ac:dyDescent="0.3">
      <c r="G5" s="97" t="s">
        <v>145</v>
      </c>
      <c r="H5" s="404" t="s">
        <v>162</v>
      </c>
      <c r="I5" s="405"/>
      <c r="J5" s="405"/>
      <c r="K5" s="405"/>
      <c r="L5" s="406"/>
    </row>
    <row r="6" spans="7:12" ht="14.4" customHeight="1" x14ac:dyDescent="0.3">
      <c r="G6" s="97" t="s">
        <v>146</v>
      </c>
      <c r="H6" s="404" t="s">
        <v>164</v>
      </c>
      <c r="I6" s="405"/>
      <c r="J6" s="405"/>
      <c r="K6" s="405"/>
      <c r="L6" s="406"/>
    </row>
    <row r="7" spans="7:12" ht="14.4" customHeight="1" x14ac:dyDescent="0.3">
      <c r="G7" s="97" t="s">
        <v>147</v>
      </c>
      <c r="H7" s="404" t="s">
        <v>163</v>
      </c>
      <c r="I7" s="405"/>
      <c r="J7" s="405"/>
      <c r="K7" s="405"/>
      <c r="L7" s="406"/>
    </row>
    <row r="8" spans="7:12" ht="14.4" customHeight="1" x14ac:dyDescent="0.3">
      <c r="G8" s="97" t="s">
        <v>148</v>
      </c>
      <c r="H8" s="404" t="s">
        <v>165</v>
      </c>
      <c r="I8" s="405"/>
      <c r="J8" s="405"/>
      <c r="K8" s="405"/>
      <c r="L8" s="406"/>
    </row>
    <row r="9" spans="7:12" ht="14.4" customHeight="1" x14ac:dyDescent="0.3">
      <c r="G9" s="97" t="s">
        <v>149</v>
      </c>
      <c r="H9" s="407" t="str">
        <f>HYPERLINK("https://www.cummins.com/en/in/company/india-companies/cummins-india-limited","Cummins India Ltd")</f>
        <v>Cummins India Ltd</v>
      </c>
      <c r="I9" s="408"/>
      <c r="J9" s="408"/>
      <c r="K9" s="408"/>
      <c r="L9" s="409"/>
    </row>
    <row r="10" spans="7:12" ht="78" customHeight="1" x14ac:dyDescent="0.3">
      <c r="G10" s="98" t="s">
        <v>150</v>
      </c>
      <c r="H10" s="401" t="s">
        <v>166</v>
      </c>
      <c r="I10" s="402"/>
      <c r="J10" s="402"/>
      <c r="K10" s="402"/>
      <c r="L10" s="403"/>
    </row>
    <row r="11" spans="7:12" ht="14.4" customHeight="1" x14ac:dyDescent="0.3">
      <c r="G11" s="97" t="s">
        <v>134</v>
      </c>
      <c r="H11" s="276">
        <v>2895</v>
      </c>
      <c r="I11" s="88"/>
      <c r="J11" s="88"/>
      <c r="K11" s="88"/>
      <c r="L11" s="89"/>
    </row>
    <row r="14" spans="7:12" ht="14.4" customHeight="1" x14ac:dyDescent="0.3">
      <c r="G14" s="86" t="s">
        <v>126</v>
      </c>
      <c r="H14" s="87" t="s">
        <v>127</v>
      </c>
      <c r="I14" s="269" t="s">
        <v>467</v>
      </c>
    </row>
    <row r="15" spans="7:12" ht="14.4" customHeight="1" x14ac:dyDescent="0.3">
      <c r="G15" s="62" t="s">
        <v>123</v>
      </c>
      <c r="H15" s="53">
        <f>IF(Assumptions!G15='Revenue Buildup'!D28,1,IF(Assumptions!G15='Revenue Buildup'!D29,2,3))</f>
        <v>2</v>
      </c>
      <c r="I15" s="360" t="str">
        <f>IF(H15=3,"11.9%",IF(Assumptions!H15=2,"16.9%",IF(Assumptions!H15=1,"21.9%")))</f>
        <v>16.9%</v>
      </c>
    </row>
    <row r="16" spans="7:12" ht="14.4" customHeight="1" x14ac:dyDescent="0.3">
      <c r="G16" s="44"/>
      <c r="H16" s="54"/>
      <c r="I16" s="44"/>
    </row>
    <row r="17" spans="7:10" ht="14.4" customHeight="1" x14ac:dyDescent="0.3">
      <c r="G17" s="44"/>
      <c r="H17" s="54"/>
      <c r="I17" s="44"/>
    </row>
    <row r="18" spans="7:10" ht="14.4" customHeight="1" x14ac:dyDescent="0.3">
      <c r="G18" s="398" t="s">
        <v>128</v>
      </c>
      <c r="H18" s="399"/>
      <c r="I18" s="400"/>
    </row>
    <row r="19" spans="7:10" ht="14.4" customHeight="1" x14ac:dyDescent="0.3">
      <c r="G19" s="55" t="s">
        <v>1</v>
      </c>
      <c r="H19" s="56"/>
      <c r="I19" s="57" t="s">
        <v>129</v>
      </c>
    </row>
    <row r="20" spans="7:10" ht="14.4" customHeight="1" x14ac:dyDescent="0.3">
      <c r="G20" s="58" t="s">
        <v>130</v>
      </c>
      <c r="H20" s="54" t="s">
        <v>131</v>
      </c>
      <c r="I20" s="118">
        <v>277200000</v>
      </c>
      <c r="J20" s="101"/>
    </row>
    <row r="21" spans="7:10" ht="14.4" customHeight="1" x14ac:dyDescent="0.3">
      <c r="G21" s="58" t="s">
        <v>132</v>
      </c>
      <c r="H21" s="54" t="s">
        <v>133</v>
      </c>
      <c r="I21" s="268">
        <v>2</v>
      </c>
    </row>
    <row r="22" spans="7:10" ht="14.4" customHeight="1" x14ac:dyDescent="0.3">
      <c r="G22" s="58" t="s">
        <v>134</v>
      </c>
      <c r="H22" s="54" t="s">
        <v>133</v>
      </c>
      <c r="I22" s="268">
        <v>2895</v>
      </c>
    </row>
    <row r="23" spans="7:10" ht="14.4" customHeight="1" x14ac:dyDescent="0.3">
      <c r="G23" s="59" t="s">
        <v>135</v>
      </c>
      <c r="H23" s="60" t="s">
        <v>136</v>
      </c>
      <c r="I23" s="61">
        <f>(I20*I22)/10^7</f>
        <v>80249.399999999994</v>
      </c>
    </row>
    <row r="24" spans="7:10" ht="14.4" customHeight="1" x14ac:dyDescent="0.3">
      <c r="G24" s="44"/>
      <c r="H24" s="54"/>
      <c r="I24" s="45"/>
    </row>
    <row r="25" spans="7:10" ht="14.4" customHeight="1" x14ac:dyDescent="0.3">
      <c r="G25" s="44"/>
      <c r="H25" s="54"/>
      <c r="I25" s="44"/>
    </row>
    <row r="26" spans="7:10" ht="14.4" customHeight="1" x14ac:dyDescent="0.3">
      <c r="G26" s="395" t="s">
        <v>137</v>
      </c>
      <c r="H26" s="396"/>
      <c r="I26" s="397"/>
    </row>
    <row r="27" spans="7:10" ht="14.4" customHeight="1" x14ac:dyDescent="0.3">
      <c r="G27" s="58" t="s">
        <v>138</v>
      </c>
      <c r="H27" s="54" t="s">
        <v>139</v>
      </c>
      <c r="I27" s="259">
        <v>0.11</v>
      </c>
      <c r="J27" s="267" t="s">
        <v>414</v>
      </c>
    </row>
    <row r="28" spans="7:10" ht="14.4" customHeight="1" x14ac:dyDescent="0.3">
      <c r="G28" s="58" t="s">
        <v>140</v>
      </c>
      <c r="H28" s="54" t="s">
        <v>139</v>
      </c>
      <c r="I28" s="259">
        <v>6.4000000000000001E-2</v>
      </c>
      <c r="J28" s="267" t="s">
        <v>410</v>
      </c>
    </row>
    <row r="29" spans="7:10" ht="14.4" customHeight="1" x14ac:dyDescent="0.3">
      <c r="G29" s="58" t="s">
        <v>141</v>
      </c>
      <c r="H29" s="54" t="s">
        <v>139</v>
      </c>
      <c r="I29" s="259">
        <v>0.06</v>
      </c>
      <c r="J29" s="267" t="s">
        <v>410</v>
      </c>
    </row>
    <row r="30" spans="7:10" ht="14.4" customHeight="1" x14ac:dyDescent="0.3">
      <c r="G30" s="58" t="s">
        <v>142</v>
      </c>
      <c r="H30" s="54" t="s">
        <v>139</v>
      </c>
      <c r="I30" s="282">
        <f>'Cost Buildup'!I25</f>
        <v>0.21578201291541976</v>
      </c>
      <c r="J30" s="267" t="s">
        <v>413</v>
      </c>
    </row>
    <row r="31" spans="7:10" ht="14.4" customHeight="1" x14ac:dyDescent="0.3">
      <c r="G31" s="59" t="s">
        <v>143</v>
      </c>
      <c r="H31" s="60" t="s">
        <v>139</v>
      </c>
      <c r="I31" s="283">
        <v>0.10249999999999999</v>
      </c>
      <c r="J31" s="267"/>
    </row>
    <row r="33" spans="7:19" ht="16.8" customHeight="1" x14ac:dyDescent="0.3">
      <c r="G33" s="440" t="s">
        <v>401</v>
      </c>
      <c r="H33" s="440" t="s">
        <v>402</v>
      </c>
      <c r="I33" s="378" t="s">
        <v>137</v>
      </c>
      <c r="J33" s="378"/>
      <c r="K33" s="378"/>
      <c r="L33" s="378"/>
      <c r="M33" s="378"/>
      <c r="N33" s="378"/>
      <c r="O33" s="378"/>
      <c r="P33" s="378"/>
      <c r="Q33" s="378"/>
      <c r="R33" s="378"/>
      <c r="S33" s="378"/>
    </row>
    <row r="34" spans="7:19" ht="29.4" customHeight="1" x14ac:dyDescent="0.3">
      <c r="G34" s="381" t="s">
        <v>109</v>
      </c>
      <c r="H34" s="300" t="s">
        <v>415</v>
      </c>
      <c r="I34" s="441" t="s">
        <v>466</v>
      </c>
      <c r="J34" s="441"/>
      <c r="K34" s="441"/>
      <c r="L34" s="441"/>
      <c r="M34" s="441"/>
      <c r="N34" s="441"/>
      <c r="O34" s="441"/>
      <c r="P34" s="441"/>
      <c r="Q34" s="441"/>
      <c r="R34" s="441"/>
      <c r="S34" s="442"/>
    </row>
    <row r="35" spans="7:19" ht="21.6" customHeight="1" x14ac:dyDescent="0.3">
      <c r="G35" s="381"/>
      <c r="H35" s="300" t="s">
        <v>416</v>
      </c>
      <c r="I35" s="394" t="s">
        <v>407</v>
      </c>
      <c r="J35" s="388"/>
      <c r="K35" s="388"/>
      <c r="L35" s="388"/>
      <c r="M35" s="388"/>
      <c r="N35" s="388"/>
      <c r="O35" s="388"/>
      <c r="P35" s="388"/>
      <c r="Q35" s="388"/>
      <c r="R35" s="388"/>
      <c r="S35" s="389"/>
    </row>
    <row r="36" spans="7:19" ht="28.2" customHeight="1" x14ac:dyDescent="0.3">
      <c r="G36" s="430" t="s">
        <v>151</v>
      </c>
      <c r="H36" s="361" t="s">
        <v>436</v>
      </c>
      <c r="I36" s="382" t="s">
        <v>408</v>
      </c>
      <c r="J36" s="382"/>
      <c r="K36" s="382"/>
      <c r="L36" s="382"/>
      <c r="M36" s="382"/>
      <c r="N36" s="382"/>
      <c r="O36" s="382"/>
      <c r="P36" s="382"/>
      <c r="Q36" s="382"/>
      <c r="R36" s="382"/>
      <c r="S36" s="383"/>
    </row>
    <row r="37" spans="7:19" ht="24" customHeight="1" x14ac:dyDescent="0.3">
      <c r="G37" s="431"/>
      <c r="H37" s="375" t="s">
        <v>459</v>
      </c>
      <c r="I37" s="382" t="s">
        <v>460</v>
      </c>
      <c r="J37" s="382"/>
      <c r="K37" s="382"/>
      <c r="L37" s="382"/>
      <c r="M37" s="382"/>
      <c r="N37" s="382"/>
      <c r="O37" s="382"/>
      <c r="P37" s="382"/>
      <c r="Q37" s="382"/>
      <c r="R37" s="382"/>
      <c r="S37" s="383"/>
    </row>
    <row r="38" spans="7:19" ht="22.8" customHeight="1" x14ac:dyDescent="0.3">
      <c r="G38" s="431"/>
      <c r="H38" s="375" t="s">
        <v>461</v>
      </c>
      <c r="I38" s="382" t="s">
        <v>469</v>
      </c>
      <c r="J38" s="382"/>
      <c r="K38" s="382"/>
      <c r="L38" s="382"/>
      <c r="M38" s="382"/>
      <c r="N38" s="382"/>
      <c r="O38" s="382"/>
      <c r="P38" s="382"/>
      <c r="Q38" s="382"/>
      <c r="R38" s="382"/>
      <c r="S38" s="383"/>
    </row>
    <row r="39" spans="7:19" ht="21.6" customHeight="1" x14ac:dyDescent="0.3">
      <c r="G39" s="431"/>
      <c r="H39" s="300" t="s">
        <v>425</v>
      </c>
      <c r="I39" s="394" t="s">
        <v>468</v>
      </c>
      <c r="J39" s="388"/>
      <c r="K39" s="388"/>
      <c r="L39" s="388"/>
      <c r="M39" s="388"/>
      <c r="N39" s="388"/>
      <c r="O39" s="388"/>
      <c r="P39" s="388"/>
      <c r="Q39" s="388"/>
      <c r="R39" s="388"/>
      <c r="S39" s="389"/>
    </row>
    <row r="40" spans="7:19" ht="28.2" customHeight="1" x14ac:dyDescent="0.3">
      <c r="G40" s="432"/>
      <c r="H40" s="300" t="s">
        <v>426</v>
      </c>
      <c r="I40" s="386" t="s">
        <v>470</v>
      </c>
      <c r="J40" s="386"/>
      <c r="K40" s="386"/>
      <c r="L40" s="386"/>
      <c r="M40" s="386"/>
      <c r="N40" s="386"/>
      <c r="O40" s="386"/>
      <c r="P40" s="386"/>
      <c r="Q40" s="386"/>
      <c r="R40" s="386"/>
      <c r="S40" s="387"/>
    </row>
    <row r="41" spans="7:19" ht="46.2" customHeight="1" x14ac:dyDescent="0.3">
      <c r="G41" s="299" t="s">
        <v>249</v>
      </c>
      <c r="H41" s="300" t="s">
        <v>427</v>
      </c>
      <c r="I41" s="382" t="s">
        <v>405</v>
      </c>
      <c r="J41" s="382"/>
      <c r="K41" s="382"/>
      <c r="L41" s="382"/>
      <c r="M41" s="382"/>
      <c r="N41" s="382"/>
      <c r="O41" s="382"/>
      <c r="P41" s="382"/>
      <c r="Q41" s="382"/>
      <c r="R41" s="382"/>
      <c r="S41" s="383"/>
    </row>
    <row r="42" spans="7:19" ht="39" customHeight="1" x14ac:dyDescent="0.3">
      <c r="G42" s="381" t="s">
        <v>180</v>
      </c>
      <c r="H42" s="300" t="s">
        <v>428</v>
      </c>
      <c r="I42" s="382" t="s">
        <v>471</v>
      </c>
      <c r="J42" s="382"/>
      <c r="K42" s="382"/>
      <c r="L42" s="382"/>
      <c r="M42" s="382"/>
      <c r="N42" s="382"/>
      <c r="O42" s="382"/>
      <c r="P42" s="382"/>
      <c r="Q42" s="382"/>
      <c r="R42" s="382"/>
      <c r="S42" s="383"/>
    </row>
    <row r="43" spans="7:19" ht="21.6" customHeight="1" x14ac:dyDescent="0.3">
      <c r="G43" s="381"/>
      <c r="H43" s="300" t="s">
        <v>429</v>
      </c>
      <c r="I43" s="388" t="s">
        <v>472</v>
      </c>
      <c r="J43" s="388"/>
      <c r="K43" s="388"/>
      <c r="L43" s="388"/>
      <c r="M43" s="388"/>
      <c r="N43" s="388"/>
      <c r="O43" s="388"/>
      <c r="P43" s="388"/>
      <c r="Q43" s="388"/>
      <c r="R43" s="388"/>
      <c r="S43" s="389"/>
    </row>
    <row r="44" spans="7:19" ht="28.8" customHeight="1" x14ac:dyDescent="0.3">
      <c r="G44" s="381"/>
      <c r="H44" s="300" t="s">
        <v>430</v>
      </c>
      <c r="I44" s="386" t="s">
        <v>406</v>
      </c>
      <c r="J44" s="386"/>
      <c r="K44" s="386"/>
      <c r="L44" s="386"/>
      <c r="M44" s="386"/>
      <c r="N44" s="386"/>
      <c r="O44" s="386"/>
      <c r="P44" s="386"/>
      <c r="Q44" s="386"/>
      <c r="R44" s="386"/>
      <c r="S44" s="387"/>
    </row>
    <row r="45" spans="7:19" ht="21.6" customHeight="1" x14ac:dyDescent="0.3">
      <c r="G45" s="381" t="s">
        <v>204</v>
      </c>
      <c r="H45" s="300" t="s">
        <v>431</v>
      </c>
      <c r="I45" s="394" t="s">
        <v>404</v>
      </c>
      <c r="J45" s="388"/>
      <c r="K45" s="388"/>
      <c r="L45" s="388"/>
      <c r="M45" s="388"/>
      <c r="N45" s="388"/>
      <c r="O45" s="388"/>
      <c r="P45" s="388"/>
      <c r="Q45" s="388"/>
      <c r="R45" s="388"/>
      <c r="S45" s="389"/>
    </row>
    <row r="46" spans="7:19" ht="33.6" customHeight="1" x14ac:dyDescent="0.3">
      <c r="G46" s="381"/>
      <c r="H46" s="300" t="s">
        <v>432</v>
      </c>
      <c r="I46" s="438" t="s">
        <v>462</v>
      </c>
      <c r="J46" s="438"/>
      <c r="K46" s="438"/>
      <c r="L46" s="438"/>
      <c r="M46" s="438"/>
      <c r="N46" s="438"/>
      <c r="O46" s="438"/>
      <c r="P46" s="438"/>
      <c r="Q46" s="438"/>
      <c r="R46" s="438"/>
      <c r="S46" s="439"/>
    </row>
    <row r="47" spans="7:19" ht="21.6" customHeight="1" x14ac:dyDescent="0.3">
      <c r="G47" s="381"/>
      <c r="H47" s="300" t="s">
        <v>431</v>
      </c>
      <c r="I47" s="394" t="s">
        <v>403</v>
      </c>
      <c r="J47" s="388"/>
      <c r="K47" s="388"/>
      <c r="L47" s="388"/>
      <c r="M47" s="388"/>
      <c r="N47" s="388"/>
      <c r="O47" s="388"/>
      <c r="P47" s="388"/>
      <c r="Q47" s="388"/>
      <c r="R47" s="388"/>
      <c r="S47" s="389"/>
    </row>
    <row r="48" spans="7:19" ht="30.6" customHeight="1" x14ac:dyDescent="0.3">
      <c r="G48" s="299" t="s">
        <v>320</v>
      </c>
      <c r="H48" s="300" t="s">
        <v>433</v>
      </c>
      <c r="I48" s="382" t="s">
        <v>458</v>
      </c>
      <c r="J48" s="382"/>
      <c r="K48" s="382"/>
      <c r="L48" s="382"/>
      <c r="M48" s="382"/>
      <c r="N48" s="382"/>
      <c r="O48" s="382"/>
      <c r="P48" s="382"/>
      <c r="Q48" s="382"/>
      <c r="R48" s="382"/>
      <c r="S48" s="383"/>
    </row>
    <row r="49" spans="7:19" ht="28.2" customHeight="1" x14ac:dyDescent="0.3">
      <c r="G49" s="299" t="s">
        <v>369</v>
      </c>
      <c r="H49" s="300" t="s">
        <v>434</v>
      </c>
      <c r="I49" s="390" t="s">
        <v>457</v>
      </c>
      <c r="J49" s="390"/>
      <c r="K49" s="390"/>
      <c r="L49" s="390"/>
      <c r="M49" s="390"/>
      <c r="N49" s="390"/>
      <c r="O49" s="390"/>
      <c r="P49" s="390"/>
      <c r="Q49" s="390"/>
      <c r="R49" s="390"/>
      <c r="S49" s="391"/>
    </row>
    <row r="50" spans="7:19" ht="32.4" customHeight="1" x14ac:dyDescent="0.3">
      <c r="G50" s="299" t="s">
        <v>399</v>
      </c>
      <c r="H50" s="300" t="s">
        <v>435</v>
      </c>
      <c r="I50" s="392" t="s">
        <v>455</v>
      </c>
      <c r="J50" s="392"/>
      <c r="K50" s="392"/>
      <c r="L50" s="392"/>
      <c r="M50" s="392"/>
      <c r="N50" s="392"/>
      <c r="O50" s="392"/>
      <c r="P50" s="392"/>
      <c r="Q50" s="392"/>
      <c r="R50" s="392"/>
      <c r="S50" s="393"/>
    </row>
    <row r="51" spans="7:19" ht="43.8" customHeight="1" x14ac:dyDescent="0.3">
      <c r="G51" s="301" t="s">
        <v>400</v>
      </c>
      <c r="H51" s="300" t="s">
        <v>454</v>
      </c>
      <c r="I51" s="384" t="s">
        <v>456</v>
      </c>
      <c r="J51" s="384"/>
      <c r="K51" s="384"/>
      <c r="L51" s="384"/>
      <c r="M51" s="384"/>
      <c r="N51" s="384"/>
      <c r="O51" s="384"/>
      <c r="P51" s="384"/>
      <c r="Q51" s="384"/>
      <c r="R51" s="384"/>
      <c r="S51" s="385"/>
    </row>
    <row r="52" spans="7:19" ht="14.4" customHeight="1" x14ac:dyDescent="0.3">
      <c r="G52" s="258"/>
    </row>
  </sheetData>
  <mergeCells count="32">
    <mergeCell ref="G26:I26"/>
    <mergeCell ref="G18:I18"/>
    <mergeCell ref="H10:L10"/>
    <mergeCell ref="H4:L4"/>
    <mergeCell ref="H5:L5"/>
    <mergeCell ref="H6:L6"/>
    <mergeCell ref="H7:L7"/>
    <mergeCell ref="H8:L8"/>
    <mergeCell ref="H9:L9"/>
    <mergeCell ref="I33:S33"/>
    <mergeCell ref="I34:S34"/>
    <mergeCell ref="I41:S41"/>
    <mergeCell ref="I42:S42"/>
    <mergeCell ref="I40:S40"/>
    <mergeCell ref="I35:S35"/>
    <mergeCell ref="I39:S39"/>
    <mergeCell ref="G34:G35"/>
    <mergeCell ref="I36:S36"/>
    <mergeCell ref="I51:S51"/>
    <mergeCell ref="I44:S44"/>
    <mergeCell ref="G45:G47"/>
    <mergeCell ref="G42:G44"/>
    <mergeCell ref="I48:S48"/>
    <mergeCell ref="I43:S43"/>
    <mergeCell ref="I46:S46"/>
    <mergeCell ref="I49:S49"/>
    <mergeCell ref="I50:S50"/>
    <mergeCell ref="I45:S45"/>
    <mergeCell ref="I37:S37"/>
    <mergeCell ref="I38:S38"/>
    <mergeCell ref="G36:G40"/>
    <mergeCell ref="I47:S47"/>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FF56B3C-3F36-4497-88E0-5004F85867BF}">
          <x14:formula1>
            <xm:f>'Revenue Buildup'!$D$28:$D$30</xm:f>
          </x14:formula1>
          <xm:sqref>G15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3179-0982-4B31-ADE6-2088A93CB867}">
  <dimension ref="C3:X37"/>
  <sheetViews>
    <sheetView showGridLines="0" topLeftCell="A10" workbookViewId="0">
      <selection activeCell="L13" sqref="L13"/>
    </sheetView>
  </sheetViews>
  <sheetFormatPr defaultRowHeight="14.4" customHeight="1" x14ac:dyDescent="0.25"/>
  <cols>
    <col min="1" max="3" width="1.33203125" style="2" customWidth="1"/>
    <col min="4" max="4" width="51.44140625" style="2" customWidth="1"/>
    <col min="5" max="9" width="10.77734375" style="2" customWidth="1"/>
    <col min="10" max="12" width="8.88671875" style="2"/>
    <col min="13" max="14" width="9.21875" style="2" bestFit="1" customWidth="1"/>
    <col min="15" max="16384" width="8.88671875" style="2"/>
  </cols>
  <sheetData>
    <row r="3" spans="3:9" ht="14.4" customHeight="1" x14ac:dyDescent="0.25">
      <c r="H3" s="124" t="s">
        <v>258</v>
      </c>
    </row>
    <row r="4" spans="3:9" ht="16.8" customHeight="1" x14ac:dyDescent="0.25">
      <c r="D4" s="378" t="s">
        <v>392</v>
      </c>
      <c r="E4" s="378"/>
      <c r="F4" s="378"/>
      <c r="G4" s="378"/>
      <c r="H4" s="378"/>
      <c r="I4" s="378"/>
    </row>
    <row r="5" spans="3:9" ht="14.4" customHeight="1" x14ac:dyDescent="0.25">
      <c r="D5" s="1"/>
      <c r="E5" s="33">
        <v>2020</v>
      </c>
      <c r="F5" s="5">
        <f t="shared" ref="F5:I5" si="0">E5+1</f>
        <v>2021</v>
      </c>
      <c r="G5" s="5">
        <f t="shared" si="0"/>
        <v>2022</v>
      </c>
      <c r="H5" s="5">
        <f t="shared" si="0"/>
        <v>2023</v>
      </c>
      <c r="I5" s="5">
        <f t="shared" si="0"/>
        <v>2024</v>
      </c>
    </row>
    <row r="6" spans="3:9" ht="14.4" customHeight="1" x14ac:dyDescent="0.25">
      <c r="D6" s="31" t="s">
        <v>1</v>
      </c>
      <c r="E6" s="34" t="s">
        <v>110</v>
      </c>
      <c r="F6" s="10" t="s">
        <v>110</v>
      </c>
      <c r="G6" s="10" t="s">
        <v>110</v>
      </c>
      <c r="H6" s="10" t="s">
        <v>110</v>
      </c>
      <c r="I6" s="10" t="s">
        <v>110</v>
      </c>
    </row>
    <row r="7" spans="3:9" ht="14.4" customHeight="1" x14ac:dyDescent="0.25">
      <c r="C7" s="5" t="s">
        <v>0</v>
      </c>
      <c r="D7" s="1"/>
      <c r="E7" s="35"/>
      <c r="F7" s="1"/>
      <c r="G7" s="1"/>
      <c r="H7" s="1"/>
      <c r="I7" s="1"/>
    </row>
    <row r="8" spans="3:9" ht="14.4" customHeight="1" x14ac:dyDescent="0.25">
      <c r="C8" s="1"/>
      <c r="D8" s="1" t="s">
        <v>2</v>
      </c>
      <c r="E8" s="72">
        <v>5191.45</v>
      </c>
      <c r="F8" s="39">
        <v>4360.08</v>
      </c>
      <c r="G8" s="39">
        <v>6170.92</v>
      </c>
      <c r="H8" s="39">
        <v>7772.09</v>
      </c>
      <c r="I8" s="39">
        <v>9000.2000000000007</v>
      </c>
    </row>
    <row r="9" spans="3:9" ht="14.4" customHeight="1" x14ac:dyDescent="0.25">
      <c r="C9" s="1"/>
      <c r="D9" s="1" t="s">
        <v>3</v>
      </c>
      <c r="E9" s="73">
        <v>257.49</v>
      </c>
      <c r="F9" s="40">
        <v>273.77999999999997</v>
      </c>
      <c r="G9" s="40">
        <v>243.19</v>
      </c>
      <c r="H9" s="40">
        <v>308.14999999999998</v>
      </c>
      <c r="I9" s="40">
        <v>378.07</v>
      </c>
    </row>
    <row r="10" spans="3:9" ht="14.4" customHeight="1" x14ac:dyDescent="0.25">
      <c r="C10" s="1"/>
      <c r="D10" s="11" t="s">
        <v>4</v>
      </c>
      <c r="E10" s="37">
        <f t="shared" ref="E10:I10" si="1">SUM(E8:E9)</f>
        <v>5448.94</v>
      </c>
      <c r="F10" s="15">
        <f t="shared" si="1"/>
        <v>4633.8599999999997</v>
      </c>
      <c r="G10" s="15">
        <f t="shared" si="1"/>
        <v>6414.11</v>
      </c>
      <c r="H10" s="15">
        <f t="shared" si="1"/>
        <v>8080.24</v>
      </c>
      <c r="I10" s="15">
        <f t="shared" si="1"/>
        <v>9378.27</v>
      </c>
    </row>
    <row r="11" spans="3:9" ht="14.4" customHeight="1" x14ac:dyDescent="0.25">
      <c r="C11" s="1"/>
      <c r="D11" s="1"/>
      <c r="E11" s="105"/>
      <c r="F11" s="26"/>
      <c r="G11" s="26"/>
      <c r="H11" s="26"/>
      <c r="I11" s="26"/>
    </row>
    <row r="12" spans="3:9" ht="14.4" customHeight="1" x14ac:dyDescent="0.25">
      <c r="C12" s="5" t="s">
        <v>5</v>
      </c>
      <c r="D12" s="1"/>
      <c r="E12" s="105"/>
      <c r="F12" s="26"/>
      <c r="G12" s="26"/>
      <c r="H12" s="26"/>
      <c r="I12" s="26"/>
    </row>
    <row r="13" spans="3:9" ht="14.4" customHeight="1" x14ac:dyDescent="0.25">
      <c r="C13" s="1"/>
      <c r="D13" s="1" t="s">
        <v>6</v>
      </c>
      <c r="E13" s="72">
        <v>2587.9899999999998</v>
      </c>
      <c r="F13" s="39">
        <v>2329.7600000000002</v>
      </c>
      <c r="G13" s="39">
        <v>3574.29</v>
      </c>
      <c r="H13" s="39">
        <v>4567.9799999999996</v>
      </c>
      <c r="I13" s="39">
        <v>4813.3900000000003</v>
      </c>
    </row>
    <row r="14" spans="3:9" ht="14.4" customHeight="1" x14ac:dyDescent="0.25">
      <c r="C14" s="1"/>
      <c r="D14" s="1" t="s">
        <v>7</v>
      </c>
      <c r="E14" s="72">
        <v>747.18</v>
      </c>
      <c r="F14" s="39">
        <v>454.54</v>
      </c>
      <c r="G14" s="39">
        <v>571.45000000000005</v>
      </c>
      <c r="H14" s="39">
        <v>781.23</v>
      </c>
      <c r="I14" s="39">
        <v>939.16</v>
      </c>
    </row>
    <row r="15" spans="3:9" ht="14.4" customHeight="1" x14ac:dyDescent="0.25">
      <c r="C15" s="1"/>
      <c r="D15" s="12" t="s">
        <v>8</v>
      </c>
      <c r="E15" s="72">
        <v>36.619999999999997</v>
      </c>
      <c r="F15" s="39">
        <v>-20.68</v>
      </c>
      <c r="G15" s="39">
        <v>-38.58</v>
      </c>
      <c r="H15" s="39">
        <v>-126.69</v>
      </c>
      <c r="I15" s="39">
        <v>18.37</v>
      </c>
    </row>
    <row r="16" spans="3:9" ht="14.4" customHeight="1" x14ac:dyDescent="0.25">
      <c r="C16" s="1"/>
      <c r="D16" s="1" t="s">
        <v>9</v>
      </c>
      <c r="E16" s="72">
        <v>577.75</v>
      </c>
      <c r="F16" s="39">
        <v>509.77</v>
      </c>
      <c r="G16" s="39">
        <v>614.53</v>
      </c>
      <c r="H16" s="39">
        <v>648.88</v>
      </c>
      <c r="I16" s="39">
        <v>801.37</v>
      </c>
    </row>
    <row r="17" spans="3:24" ht="14.4" customHeight="1" x14ac:dyDescent="0.25">
      <c r="C17" s="1"/>
      <c r="D17" s="1" t="s">
        <v>10</v>
      </c>
      <c r="E17" s="72">
        <v>21.02</v>
      </c>
      <c r="F17" s="39">
        <v>16.760000000000002</v>
      </c>
      <c r="G17" s="39">
        <v>12.16</v>
      </c>
      <c r="H17" s="39">
        <v>16.239999999999998</v>
      </c>
      <c r="I17" s="39">
        <v>27.4</v>
      </c>
    </row>
    <row r="18" spans="3:24" ht="14.4" customHeight="1" x14ac:dyDescent="0.25">
      <c r="C18" s="1"/>
      <c r="D18" s="1" t="s">
        <v>11</v>
      </c>
      <c r="E18" s="72">
        <v>120.58</v>
      </c>
      <c r="F18" s="39">
        <v>127.19</v>
      </c>
      <c r="G18" s="39">
        <v>135.62</v>
      </c>
      <c r="H18" s="39">
        <v>142.04</v>
      </c>
      <c r="I18" s="39">
        <v>159.18</v>
      </c>
    </row>
    <row r="19" spans="3:24" ht="14.4" customHeight="1" x14ac:dyDescent="0.25">
      <c r="C19" s="1"/>
      <c r="D19" s="1" t="s">
        <v>12</v>
      </c>
      <c r="E19" s="72">
        <v>652.73</v>
      </c>
      <c r="F19" s="39">
        <v>504.64</v>
      </c>
      <c r="G19" s="39">
        <v>561.16999999999996</v>
      </c>
      <c r="H19" s="39">
        <v>652.95000000000005</v>
      </c>
      <c r="I19" s="39">
        <v>658.25</v>
      </c>
      <c r="M19" s="1"/>
      <c r="P19" s="18"/>
    </row>
    <row r="20" spans="3:24" ht="14.4" customHeight="1" x14ac:dyDescent="0.25">
      <c r="C20" s="1"/>
      <c r="D20" s="11" t="s">
        <v>13</v>
      </c>
      <c r="E20" s="37">
        <f t="shared" ref="E20:I20" si="2">SUM(E13:E19)</f>
        <v>4743.869999999999</v>
      </c>
      <c r="F20" s="15">
        <f t="shared" si="2"/>
        <v>3921.9800000000005</v>
      </c>
      <c r="G20" s="15">
        <f t="shared" si="2"/>
        <v>5430.6399999999994</v>
      </c>
      <c r="H20" s="15">
        <f t="shared" si="2"/>
        <v>6682.6299999999992</v>
      </c>
      <c r="I20" s="15">
        <f t="shared" si="2"/>
        <v>7417.12</v>
      </c>
      <c r="M20" s="1"/>
      <c r="P20" s="18"/>
    </row>
    <row r="21" spans="3:24" ht="14.4" customHeight="1" x14ac:dyDescent="0.25">
      <c r="C21" s="1"/>
      <c r="D21" s="1"/>
      <c r="E21" s="105"/>
      <c r="F21" s="26"/>
      <c r="G21" s="26"/>
      <c r="H21" s="26"/>
      <c r="I21" s="26"/>
      <c r="M21" s="5"/>
      <c r="P21" s="18"/>
    </row>
    <row r="22" spans="3:24" ht="14.4" customHeight="1" x14ac:dyDescent="0.25">
      <c r="C22" s="1"/>
      <c r="D22" s="13" t="s">
        <v>14</v>
      </c>
      <c r="E22" s="260">
        <f t="shared" ref="E22:I22" si="3">E10-E20</f>
        <v>705.07000000000062</v>
      </c>
      <c r="F22" s="17">
        <f t="shared" si="3"/>
        <v>711.8799999999992</v>
      </c>
      <c r="G22" s="17">
        <f t="shared" si="3"/>
        <v>983.47000000000025</v>
      </c>
      <c r="H22" s="17">
        <f t="shared" si="3"/>
        <v>1397.6100000000006</v>
      </c>
      <c r="I22" s="17">
        <f t="shared" si="3"/>
        <v>1961.1500000000005</v>
      </c>
      <c r="M22" s="1"/>
      <c r="P22" s="18"/>
    </row>
    <row r="23" spans="3:24" ht="14.4" customHeight="1" x14ac:dyDescent="0.25">
      <c r="C23" s="1"/>
      <c r="D23" s="1" t="s">
        <v>15</v>
      </c>
      <c r="E23" s="72">
        <v>-19.850000000000001</v>
      </c>
      <c r="F23" s="39">
        <v>0</v>
      </c>
      <c r="G23" s="39">
        <v>132.36000000000001</v>
      </c>
      <c r="H23" s="39">
        <v>-14.3</v>
      </c>
      <c r="I23" s="39">
        <v>-1.7</v>
      </c>
      <c r="M23" s="1"/>
      <c r="P23" s="18"/>
    </row>
    <row r="24" spans="3:24" ht="14.4" customHeight="1" x14ac:dyDescent="0.25">
      <c r="C24" s="1"/>
      <c r="D24" s="21" t="s">
        <v>103</v>
      </c>
      <c r="E24" s="261">
        <f>E22+E23</f>
        <v>685.2200000000006</v>
      </c>
      <c r="F24" s="20">
        <f>F22+F23</f>
        <v>711.8799999999992</v>
      </c>
      <c r="G24" s="20">
        <f>G22+G23</f>
        <v>1115.8300000000004</v>
      </c>
      <c r="H24" s="20">
        <f>H22+H23</f>
        <v>1383.3100000000006</v>
      </c>
      <c r="I24" s="20">
        <f>I22+I23</f>
        <v>1959.4500000000005</v>
      </c>
      <c r="M24" s="5"/>
      <c r="P24" s="18"/>
    </row>
    <row r="25" spans="3:24" ht="14.4" customHeight="1" x14ac:dyDescent="0.25">
      <c r="C25" s="1"/>
      <c r="D25" s="12" t="s">
        <v>23</v>
      </c>
      <c r="E25" s="72">
        <v>122.26</v>
      </c>
      <c r="F25" s="39">
        <v>113.12</v>
      </c>
      <c r="G25" s="39">
        <v>91.15</v>
      </c>
      <c r="H25" s="39">
        <v>207.98</v>
      </c>
      <c r="I25" s="39">
        <v>245.16</v>
      </c>
      <c r="M25" s="1"/>
      <c r="P25" s="18"/>
    </row>
    <row r="26" spans="3:24" ht="14.4" customHeight="1" x14ac:dyDescent="0.25">
      <c r="C26" s="1"/>
      <c r="D26" s="11" t="s">
        <v>16</v>
      </c>
      <c r="E26" s="37">
        <f>SUM(E24:E25)</f>
        <v>807.48000000000059</v>
      </c>
      <c r="F26" s="15">
        <f t="shared" ref="F26:I26" si="4">SUM(F24:F25)</f>
        <v>824.9999999999992</v>
      </c>
      <c r="G26" s="15">
        <f t="shared" si="4"/>
        <v>1206.9800000000005</v>
      </c>
      <c r="H26" s="15">
        <f t="shared" si="4"/>
        <v>1591.2900000000006</v>
      </c>
      <c r="I26" s="15">
        <f t="shared" si="4"/>
        <v>2204.6100000000006</v>
      </c>
      <c r="M26" s="5"/>
      <c r="P26" s="18"/>
    </row>
    <row r="27" spans="3:24" ht="14.4" customHeight="1" x14ac:dyDescent="0.25">
      <c r="C27" s="1"/>
      <c r="D27" s="1"/>
      <c r="E27" s="36"/>
      <c r="F27" s="16"/>
      <c r="G27" s="16"/>
      <c r="H27" s="16"/>
      <c r="I27" s="16"/>
      <c r="J27" s="1"/>
      <c r="K27" s="1"/>
      <c r="L27" s="1"/>
      <c r="M27" s="1"/>
      <c r="O27" s="1"/>
      <c r="P27" s="16"/>
      <c r="Q27" s="1"/>
      <c r="R27" s="1"/>
      <c r="S27" s="1"/>
      <c r="T27" s="1"/>
      <c r="U27" s="1"/>
      <c r="V27" s="1"/>
      <c r="W27" s="1"/>
      <c r="X27" s="1"/>
    </row>
    <row r="28" spans="3:24" ht="14.4" customHeight="1" x14ac:dyDescent="0.25">
      <c r="C28" s="5" t="s">
        <v>17</v>
      </c>
      <c r="D28" s="1"/>
      <c r="E28" s="36"/>
      <c r="F28" s="16"/>
      <c r="G28" s="16"/>
      <c r="H28" s="16"/>
      <c r="I28" s="16"/>
      <c r="M28" s="1"/>
      <c r="P28" s="18"/>
    </row>
    <row r="29" spans="3:24" ht="14.4" customHeight="1" x14ac:dyDescent="0.25">
      <c r="C29" s="1"/>
      <c r="D29" s="1" t="s">
        <v>18</v>
      </c>
      <c r="E29" s="72">
        <v>158.99</v>
      </c>
      <c r="F29" s="39">
        <v>188.34</v>
      </c>
      <c r="G29" s="39">
        <v>261.36</v>
      </c>
      <c r="H29" s="39">
        <v>355.63</v>
      </c>
      <c r="I29" s="39">
        <v>510.78</v>
      </c>
      <c r="M29" s="1"/>
      <c r="P29" s="112"/>
    </row>
    <row r="30" spans="3:24" ht="14.4" customHeight="1" x14ac:dyDescent="0.25">
      <c r="C30" s="1"/>
      <c r="D30" s="1" t="s">
        <v>19</v>
      </c>
      <c r="E30" s="72">
        <v>-57.03</v>
      </c>
      <c r="F30" s="39">
        <v>1.94</v>
      </c>
      <c r="G30" s="39">
        <v>14.9</v>
      </c>
      <c r="H30" s="39">
        <v>5.95</v>
      </c>
      <c r="I30" s="39">
        <v>-11.11</v>
      </c>
      <c r="M30" s="5"/>
      <c r="P30" s="18"/>
    </row>
    <row r="31" spans="3:24" ht="14.4" customHeight="1" x14ac:dyDescent="0.25">
      <c r="C31" s="1"/>
      <c r="D31" s="1" t="s">
        <v>20</v>
      </c>
      <c r="E31" s="72">
        <v>-0.09</v>
      </c>
      <c r="F31" s="39">
        <v>-0.31</v>
      </c>
      <c r="G31" s="39">
        <v>-3.02</v>
      </c>
      <c r="H31" s="39">
        <v>1.56</v>
      </c>
      <c r="I31" s="39">
        <v>-15.64</v>
      </c>
      <c r="M31" s="1"/>
    </row>
    <row r="32" spans="3:24" ht="14.4" customHeight="1" x14ac:dyDescent="0.25">
      <c r="C32" s="1"/>
      <c r="D32" s="11" t="s">
        <v>21</v>
      </c>
      <c r="E32" s="37">
        <f>SUM(E29:E31)</f>
        <v>101.87</v>
      </c>
      <c r="F32" s="15">
        <f>SUM(F29:F31)</f>
        <v>189.97</v>
      </c>
      <c r="G32" s="15">
        <f t="shared" ref="G32:I32" si="5">SUM(G29:G31)</f>
        <v>273.24</v>
      </c>
      <c r="H32" s="15">
        <f t="shared" si="5"/>
        <v>363.14</v>
      </c>
      <c r="I32" s="15">
        <f t="shared" si="5"/>
        <v>484.03</v>
      </c>
      <c r="M32" s="5"/>
    </row>
    <row r="33" spans="3:9" ht="14.4" customHeight="1" x14ac:dyDescent="0.25">
      <c r="C33" s="1"/>
      <c r="D33" s="1"/>
      <c r="E33" s="36"/>
      <c r="F33" s="16"/>
      <c r="G33" s="16"/>
      <c r="H33" s="16"/>
      <c r="I33" s="16"/>
    </row>
    <row r="34" spans="3:9" ht="14.4" customHeight="1" x14ac:dyDescent="0.25">
      <c r="C34" s="1"/>
      <c r="D34" s="11" t="s">
        <v>22</v>
      </c>
      <c r="E34" s="74">
        <f>E26-E32</f>
        <v>705.61000000000058</v>
      </c>
      <c r="F34" s="15">
        <f t="shared" ref="F34:H34" si="6">F26-F32</f>
        <v>635.02999999999918</v>
      </c>
      <c r="G34" s="15">
        <f t="shared" si="6"/>
        <v>933.74000000000046</v>
      </c>
      <c r="H34" s="15">
        <f t="shared" si="6"/>
        <v>1228.1500000000005</v>
      </c>
      <c r="I34" s="15">
        <f>I26-I32</f>
        <v>1720.5800000000006</v>
      </c>
    </row>
    <row r="35" spans="3:9" ht="14.4" customHeight="1" x14ac:dyDescent="0.25">
      <c r="C35" s="1"/>
      <c r="D35" s="11"/>
      <c r="E35" s="15"/>
      <c r="F35" s="15"/>
      <c r="G35" s="15"/>
      <c r="H35" s="15"/>
      <c r="I35" s="15"/>
    </row>
    <row r="37" spans="3:9" ht="14.4" customHeight="1" x14ac:dyDescent="0.25">
      <c r="E37" s="18"/>
    </row>
  </sheetData>
  <mergeCells count="1">
    <mergeCell ref="D4:I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7DEA-212A-4547-981C-48109814B574}">
  <dimension ref="B3:I68"/>
  <sheetViews>
    <sheetView showGridLines="0" topLeftCell="A46" workbookViewId="0">
      <selection activeCell="O44" sqref="O44"/>
    </sheetView>
  </sheetViews>
  <sheetFormatPr defaultRowHeight="14.4" customHeight="1" x14ac:dyDescent="0.25"/>
  <cols>
    <col min="1" max="3" width="1.33203125" style="1" customWidth="1"/>
    <col min="4" max="4" width="51.44140625" style="1" customWidth="1"/>
    <col min="5" max="9" width="10.77734375" style="1" customWidth="1"/>
    <col min="10" max="16384" width="8.88671875" style="1"/>
  </cols>
  <sheetData>
    <row r="3" spans="2:9" ht="14.4" customHeight="1" x14ac:dyDescent="0.25">
      <c r="H3" s="124" t="s">
        <v>258</v>
      </c>
    </row>
    <row r="4" spans="2:9" ht="16.8" customHeight="1" x14ac:dyDescent="0.25">
      <c r="D4" s="378" t="s">
        <v>391</v>
      </c>
      <c r="E4" s="378"/>
      <c r="F4" s="378"/>
      <c r="G4" s="378"/>
      <c r="H4" s="378"/>
      <c r="I4" s="378"/>
    </row>
    <row r="5" spans="2:9" ht="14.4" customHeight="1" x14ac:dyDescent="0.25">
      <c r="E5" s="33">
        <v>2020</v>
      </c>
      <c r="F5" s="5">
        <f t="shared" ref="F5:I5" si="0">E5+1</f>
        <v>2021</v>
      </c>
      <c r="G5" s="5">
        <f t="shared" si="0"/>
        <v>2022</v>
      </c>
      <c r="H5" s="5">
        <f t="shared" si="0"/>
        <v>2023</v>
      </c>
      <c r="I5" s="5">
        <f t="shared" si="0"/>
        <v>2024</v>
      </c>
    </row>
    <row r="6" spans="2:9" ht="14.4" customHeight="1" x14ac:dyDescent="0.25">
      <c r="D6" s="8" t="s">
        <v>1</v>
      </c>
      <c r="E6" s="34" t="s">
        <v>110</v>
      </c>
      <c r="F6" s="10" t="s">
        <v>110</v>
      </c>
      <c r="G6" s="10" t="s">
        <v>110</v>
      </c>
      <c r="H6" s="10" t="s">
        <v>110</v>
      </c>
      <c r="I6" s="10" t="s">
        <v>110</v>
      </c>
    </row>
    <row r="7" spans="2:9" ht="14.4" customHeight="1" x14ac:dyDescent="0.25">
      <c r="B7" s="5" t="s">
        <v>24</v>
      </c>
      <c r="E7" s="35"/>
    </row>
    <row r="8" spans="2:9" ht="14.4" customHeight="1" x14ac:dyDescent="0.25">
      <c r="C8" s="5" t="s">
        <v>25</v>
      </c>
      <c r="E8" s="35"/>
    </row>
    <row r="9" spans="2:9" ht="14.4" customHeight="1" x14ac:dyDescent="0.25">
      <c r="D9" s="1" t="s">
        <v>26</v>
      </c>
      <c r="E9" s="72">
        <v>1196.55</v>
      </c>
      <c r="F9" s="39">
        <v>1137.1199999999999</v>
      </c>
      <c r="G9" s="39">
        <v>1154.3599999999999</v>
      </c>
      <c r="H9" s="39">
        <v>1132.77</v>
      </c>
      <c r="I9" s="39">
        <v>1158.8900000000001</v>
      </c>
    </row>
    <row r="10" spans="2:9" ht="14.4" customHeight="1" x14ac:dyDescent="0.25">
      <c r="D10" s="1" t="s">
        <v>66</v>
      </c>
      <c r="E10" s="72">
        <v>70.25</v>
      </c>
      <c r="F10" s="39">
        <v>79.400000000000006</v>
      </c>
      <c r="G10" s="39">
        <v>60.37</v>
      </c>
      <c r="H10" s="39">
        <v>41.29</v>
      </c>
      <c r="I10" s="39">
        <v>94.65</v>
      </c>
    </row>
    <row r="11" spans="2:9" ht="14.4" customHeight="1" x14ac:dyDescent="0.25">
      <c r="D11" s="1" t="s">
        <v>27</v>
      </c>
      <c r="E11" s="72">
        <v>34.409999999999997</v>
      </c>
      <c r="F11" s="39">
        <v>30.55</v>
      </c>
      <c r="G11" s="39">
        <v>33.32</v>
      </c>
      <c r="H11" s="39">
        <v>36.200000000000003</v>
      </c>
      <c r="I11" s="39">
        <v>36.56</v>
      </c>
    </row>
    <row r="12" spans="2:9" ht="14.4" customHeight="1" x14ac:dyDescent="0.25">
      <c r="D12" s="1" t="s">
        <v>28</v>
      </c>
      <c r="E12" s="72">
        <v>1036.6400000000001</v>
      </c>
      <c r="F12" s="39">
        <v>1019.92</v>
      </c>
      <c r="G12" s="39">
        <v>979.03</v>
      </c>
      <c r="H12" s="39">
        <v>1019.04</v>
      </c>
      <c r="I12" s="39">
        <v>977.31</v>
      </c>
    </row>
    <row r="13" spans="2:9" ht="14.4" customHeight="1" x14ac:dyDescent="0.25">
      <c r="D13" s="1" t="s">
        <v>29</v>
      </c>
      <c r="E13" s="72">
        <v>2.4</v>
      </c>
      <c r="F13" s="39">
        <v>1.03</v>
      </c>
      <c r="G13" s="39">
        <v>41.98</v>
      </c>
      <c r="H13" s="39">
        <v>37.799999999999997</v>
      </c>
      <c r="I13" s="39">
        <v>129.68</v>
      </c>
    </row>
    <row r="14" spans="2:9" ht="14.4" customHeight="1" x14ac:dyDescent="0.25">
      <c r="D14" s="1" t="s">
        <v>30</v>
      </c>
      <c r="E14" s="72">
        <v>9.7799999999999994</v>
      </c>
      <c r="F14" s="39">
        <v>48.12</v>
      </c>
      <c r="G14" s="39">
        <v>0.41</v>
      </c>
      <c r="H14" s="39">
        <v>0</v>
      </c>
      <c r="I14" s="39">
        <v>2.16</v>
      </c>
    </row>
    <row r="15" spans="2:9" ht="14.4" customHeight="1" x14ac:dyDescent="0.25">
      <c r="D15" s="5" t="s">
        <v>31</v>
      </c>
      <c r="E15" s="72">
        <v>0</v>
      </c>
      <c r="F15" s="39">
        <v>0</v>
      </c>
      <c r="G15" s="39">
        <v>0</v>
      </c>
      <c r="H15" s="39"/>
      <c r="I15" s="39"/>
    </row>
    <row r="16" spans="2:9" ht="14.4" customHeight="1" x14ac:dyDescent="0.25">
      <c r="D16" s="1" t="s">
        <v>32</v>
      </c>
      <c r="E16" s="72">
        <v>250.71</v>
      </c>
      <c r="F16" s="39">
        <v>267.2</v>
      </c>
      <c r="G16" s="39">
        <v>314.27999999999997</v>
      </c>
      <c r="H16" s="39">
        <v>409.52</v>
      </c>
      <c r="I16" s="39">
        <v>463.31</v>
      </c>
    </row>
    <row r="17" spans="3:9" ht="14.4" customHeight="1" x14ac:dyDescent="0.25">
      <c r="D17" s="1" t="s">
        <v>100</v>
      </c>
      <c r="E17" s="72">
        <v>5.33</v>
      </c>
      <c r="F17" s="39">
        <v>5.19</v>
      </c>
      <c r="G17" s="39">
        <v>0</v>
      </c>
      <c r="H17" s="39">
        <v>0</v>
      </c>
      <c r="I17" s="39">
        <v>0</v>
      </c>
    </row>
    <row r="18" spans="3:9" ht="14.4" customHeight="1" x14ac:dyDescent="0.25">
      <c r="D18" s="1" t="s">
        <v>33</v>
      </c>
      <c r="E18" s="72">
        <v>29.27</v>
      </c>
      <c r="F18" s="39">
        <v>14.3</v>
      </c>
      <c r="G18" s="39">
        <v>11.17</v>
      </c>
      <c r="H18" s="39">
        <v>12.24</v>
      </c>
      <c r="I18" s="39">
        <v>13.92</v>
      </c>
    </row>
    <row r="19" spans="3:9" ht="14.4" customHeight="1" x14ac:dyDescent="0.25">
      <c r="D19" s="1" t="s">
        <v>34</v>
      </c>
      <c r="E19" s="72">
        <v>112.27</v>
      </c>
      <c r="F19" s="39">
        <v>43.76</v>
      </c>
      <c r="G19" s="39">
        <v>40.35</v>
      </c>
      <c r="H19" s="39">
        <v>35.29</v>
      </c>
      <c r="I19" s="39">
        <v>57.85</v>
      </c>
    </row>
    <row r="20" spans="3:9" ht="14.4" customHeight="1" x14ac:dyDescent="0.25">
      <c r="D20" s="1" t="s">
        <v>35</v>
      </c>
      <c r="E20" s="72">
        <v>66.150000000000006</v>
      </c>
      <c r="F20" s="39">
        <v>54.03</v>
      </c>
      <c r="G20" s="39">
        <v>63.35</v>
      </c>
      <c r="H20" s="39">
        <v>96.02</v>
      </c>
      <c r="I20" s="39">
        <v>93.98</v>
      </c>
    </row>
    <row r="21" spans="3:9" ht="14.4" customHeight="1" x14ac:dyDescent="0.25">
      <c r="D21" s="6" t="s">
        <v>65</v>
      </c>
      <c r="E21" s="74">
        <f t="shared" ref="E21:I21" si="1">SUM(E9:E20)</f>
        <v>2813.7600000000007</v>
      </c>
      <c r="F21" s="22">
        <f t="shared" si="1"/>
        <v>2700.6200000000003</v>
      </c>
      <c r="G21" s="22">
        <f t="shared" si="1"/>
        <v>2698.62</v>
      </c>
      <c r="H21" s="22">
        <f t="shared" si="1"/>
        <v>2820.17</v>
      </c>
      <c r="I21" s="22">
        <f t="shared" si="1"/>
        <v>3028.3099999999995</v>
      </c>
    </row>
    <row r="22" spans="3:9" ht="14.4" customHeight="1" x14ac:dyDescent="0.25">
      <c r="D22" s="5"/>
      <c r="E22" s="33"/>
      <c r="F22" s="5"/>
      <c r="G22" s="5"/>
      <c r="H22" s="17"/>
      <c r="I22" s="17"/>
    </row>
    <row r="23" spans="3:9" ht="14.4" customHeight="1" x14ac:dyDescent="0.25">
      <c r="C23" s="5" t="s">
        <v>36</v>
      </c>
      <c r="E23" s="35"/>
      <c r="H23" s="16"/>
      <c r="I23" s="16"/>
    </row>
    <row r="24" spans="3:9" ht="14.4" customHeight="1" x14ac:dyDescent="0.25">
      <c r="D24" s="1" t="s">
        <v>37</v>
      </c>
      <c r="E24" s="72">
        <v>577.23</v>
      </c>
      <c r="F24" s="39">
        <v>564.21</v>
      </c>
      <c r="G24" s="39">
        <v>737.53</v>
      </c>
      <c r="H24" s="39">
        <v>903.66</v>
      </c>
      <c r="I24" s="39">
        <v>949.65</v>
      </c>
    </row>
    <row r="25" spans="3:9" ht="14.4" customHeight="1" x14ac:dyDescent="0.25">
      <c r="D25" s="5" t="s">
        <v>31</v>
      </c>
      <c r="E25" s="72"/>
      <c r="F25" s="39"/>
      <c r="G25" s="39"/>
      <c r="H25" s="39"/>
      <c r="I25" s="39"/>
    </row>
    <row r="26" spans="3:9" ht="14.4" customHeight="1" x14ac:dyDescent="0.25">
      <c r="D26" s="1" t="s">
        <v>38</v>
      </c>
      <c r="E26" s="72">
        <v>781.46</v>
      </c>
      <c r="F26" s="39">
        <v>326.69</v>
      </c>
      <c r="G26" s="39">
        <v>577.54</v>
      </c>
      <c r="H26" s="39">
        <v>1047.92</v>
      </c>
      <c r="I26" s="39">
        <v>1178.19</v>
      </c>
    </row>
    <row r="27" spans="3:9" ht="14.4" customHeight="1" x14ac:dyDescent="0.25">
      <c r="D27" s="1" t="s">
        <v>39</v>
      </c>
      <c r="E27" s="72">
        <v>1145.77</v>
      </c>
      <c r="F27" s="39">
        <v>1088.0899999999999</v>
      </c>
      <c r="G27" s="39">
        <v>1258.0999999999999</v>
      </c>
      <c r="H27" s="39">
        <v>1597.12</v>
      </c>
      <c r="I27" s="39">
        <v>2085.35</v>
      </c>
    </row>
    <row r="28" spans="3:9" ht="14.4" customHeight="1" x14ac:dyDescent="0.25">
      <c r="D28" s="1" t="s">
        <v>40</v>
      </c>
      <c r="E28" s="72">
        <f>'CF Inputs'!E62</f>
        <v>181.47000000000062</v>
      </c>
      <c r="F28" s="39">
        <f>'CF Inputs'!F62</f>
        <v>121.59999999999911</v>
      </c>
      <c r="G28" s="39">
        <f>'CF Inputs'!G62</f>
        <v>177.43000000000046</v>
      </c>
      <c r="H28" s="39">
        <f>'CF Inputs'!H62</f>
        <v>396.69000000000108</v>
      </c>
      <c r="I28" s="39">
        <f>'CF Inputs'!I62</f>
        <v>299.89000000000169</v>
      </c>
    </row>
    <row r="29" spans="3:9" ht="14.4" customHeight="1" x14ac:dyDescent="0.25">
      <c r="D29" s="1" t="s">
        <v>41</v>
      </c>
      <c r="E29" s="72">
        <v>283.08</v>
      </c>
      <c r="F29" s="39">
        <v>843.66</v>
      </c>
      <c r="G29" s="39">
        <v>1249.32</v>
      </c>
      <c r="H29" s="39">
        <v>989.54</v>
      </c>
      <c r="I29" s="39">
        <v>1212.8900000000001</v>
      </c>
    </row>
    <row r="30" spans="3:9" ht="14.4" customHeight="1" x14ac:dyDescent="0.25">
      <c r="D30" s="1" t="s">
        <v>42</v>
      </c>
      <c r="E30" s="72">
        <v>206.45</v>
      </c>
      <c r="F30" s="39">
        <v>139.04</v>
      </c>
      <c r="G30" s="39">
        <v>255.46</v>
      </c>
      <c r="H30" s="39">
        <v>42.85</v>
      </c>
      <c r="I30" s="39">
        <v>38.729999999999997</v>
      </c>
    </row>
    <row r="31" spans="3:9" ht="14.4" customHeight="1" x14ac:dyDescent="0.25">
      <c r="D31" s="1" t="s">
        <v>43</v>
      </c>
      <c r="E31" s="72">
        <v>192.41</v>
      </c>
      <c r="F31" s="39">
        <v>152.44999999999999</v>
      </c>
      <c r="G31" s="39">
        <v>155.91999999999999</v>
      </c>
      <c r="H31" s="39">
        <v>119.55</v>
      </c>
      <c r="I31" s="39">
        <v>174.81</v>
      </c>
    </row>
    <row r="32" spans="3:9" ht="14.4" customHeight="1" x14ac:dyDescent="0.25">
      <c r="D32" s="1" t="s">
        <v>44</v>
      </c>
      <c r="E32" s="72">
        <v>14.44</v>
      </c>
      <c r="F32" s="39">
        <v>19.850000000000001</v>
      </c>
      <c r="G32" s="39">
        <v>2.0699999999999998</v>
      </c>
      <c r="H32" s="39">
        <v>1.1399999999999999</v>
      </c>
      <c r="I32" s="39">
        <v>2.69</v>
      </c>
    </row>
    <row r="33" spans="2:9" ht="14.4" customHeight="1" x14ac:dyDescent="0.25">
      <c r="D33" s="6" t="s">
        <v>65</v>
      </c>
      <c r="E33" s="74">
        <f t="shared" ref="E33:I33" si="2">SUM(E24:E32)</f>
        <v>3382.3100000000004</v>
      </c>
      <c r="F33" s="22">
        <f t="shared" si="2"/>
        <v>3255.5899999999988</v>
      </c>
      <c r="G33" s="22">
        <f t="shared" si="2"/>
        <v>4413.37</v>
      </c>
      <c r="H33" s="22">
        <f t="shared" si="2"/>
        <v>5098.4700000000012</v>
      </c>
      <c r="I33" s="22">
        <f t="shared" si="2"/>
        <v>5942.2000000000016</v>
      </c>
    </row>
    <row r="34" spans="2:9" ht="14.4" customHeight="1" thickBot="1" x14ac:dyDescent="0.3">
      <c r="D34" s="5"/>
      <c r="E34" s="33"/>
      <c r="F34" s="5"/>
      <c r="G34" s="5"/>
      <c r="H34" s="17"/>
      <c r="I34" s="17"/>
    </row>
    <row r="35" spans="2:9" ht="14.4" customHeight="1" thickTop="1" thickBot="1" x14ac:dyDescent="0.3">
      <c r="D35" s="7" t="s">
        <v>65</v>
      </c>
      <c r="E35" s="104">
        <f t="shared" ref="E35:I35" si="3">E21+E33</f>
        <v>6196.0700000000015</v>
      </c>
      <c r="F35" s="23">
        <f t="shared" si="3"/>
        <v>5956.2099999999991</v>
      </c>
      <c r="G35" s="23">
        <f t="shared" si="3"/>
        <v>7111.99</v>
      </c>
      <c r="H35" s="23">
        <f t="shared" si="3"/>
        <v>7918.6400000000012</v>
      </c>
      <c r="I35" s="23">
        <f t="shared" si="3"/>
        <v>8970.510000000002</v>
      </c>
    </row>
    <row r="36" spans="2:9" ht="14.4" customHeight="1" thickTop="1" x14ac:dyDescent="0.25">
      <c r="D36" s="5"/>
      <c r="E36" s="33"/>
      <c r="F36" s="5"/>
      <c r="G36" s="5"/>
      <c r="H36" s="17"/>
      <c r="I36" s="17"/>
    </row>
    <row r="37" spans="2:9" ht="14.4" customHeight="1" x14ac:dyDescent="0.25">
      <c r="B37" s="5" t="s">
        <v>45</v>
      </c>
      <c r="E37" s="35"/>
      <c r="H37" s="16"/>
      <c r="I37" s="16"/>
    </row>
    <row r="38" spans="2:9" ht="14.4" customHeight="1" x14ac:dyDescent="0.25">
      <c r="C38" s="5" t="s">
        <v>46</v>
      </c>
      <c r="E38" s="35"/>
      <c r="H38" s="16"/>
      <c r="I38" s="16"/>
    </row>
    <row r="39" spans="2:9" ht="14.4" customHeight="1" x14ac:dyDescent="0.25">
      <c r="D39" s="1" t="s">
        <v>47</v>
      </c>
      <c r="E39" s="72">
        <v>55.44</v>
      </c>
      <c r="F39" s="39">
        <v>55.44</v>
      </c>
      <c r="G39" s="39">
        <v>55.44</v>
      </c>
      <c r="H39" s="39">
        <v>55.44</v>
      </c>
      <c r="I39" s="39">
        <v>55.44</v>
      </c>
    </row>
    <row r="40" spans="2:9" ht="14.4" customHeight="1" x14ac:dyDescent="0.25">
      <c r="C40" s="5" t="s">
        <v>48</v>
      </c>
      <c r="E40" s="72"/>
      <c r="F40" s="39"/>
      <c r="G40" s="39"/>
      <c r="H40" s="39"/>
      <c r="I40" s="39"/>
    </row>
    <row r="41" spans="2:9" ht="14.4" customHeight="1" x14ac:dyDescent="0.25">
      <c r="D41" s="1" t="s">
        <v>49</v>
      </c>
      <c r="E41" s="72">
        <v>3194.28</v>
      </c>
      <c r="F41" s="39">
        <v>3441.44</v>
      </c>
      <c r="G41" s="39">
        <v>3932.22</v>
      </c>
      <c r="H41" s="39">
        <v>4540.26</v>
      </c>
      <c r="I41" s="39">
        <v>5383.85</v>
      </c>
    </row>
    <row r="42" spans="2:9" ht="14.4" customHeight="1" x14ac:dyDescent="0.25">
      <c r="D42" s="1" t="s">
        <v>50</v>
      </c>
      <c r="E42" s="72">
        <v>1152.32</v>
      </c>
      <c r="F42" s="39">
        <v>1154.49</v>
      </c>
      <c r="G42" s="39">
        <v>1157.31</v>
      </c>
      <c r="H42" s="39">
        <v>1162.54</v>
      </c>
      <c r="I42" s="39">
        <v>1173.03</v>
      </c>
    </row>
    <row r="43" spans="2:9" ht="14.4" customHeight="1" x14ac:dyDescent="0.25">
      <c r="D43" s="6" t="s">
        <v>65</v>
      </c>
      <c r="E43" s="74">
        <f>SUM(E39:E42)</f>
        <v>4402.04</v>
      </c>
      <c r="F43" s="22">
        <f>SUM(F39:F42)</f>
        <v>4651.37</v>
      </c>
      <c r="G43" s="22">
        <f>SUM(G39:G42)</f>
        <v>5144.9699999999993</v>
      </c>
      <c r="H43" s="22">
        <f t="shared" ref="H43:I43" si="4">SUM(H38:H42)</f>
        <v>5758.24</v>
      </c>
      <c r="I43" s="22">
        <f t="shared" si="4"/>
        <v>6612.32</v>
      </c>
    </row>
    <row r="44" spans="2:9" ht="14.4" customHeight="1" x14ac:dyDescent="0.25">
      <c r="E44" s="35"/>
      <c r="H44" s="16"/>
      <c r="I44" s="16"/>
    </row>
    <row r="45" spans="2:9" ht="14.4" customHeight="1" x14ac:dyDescent="0.25">
      <c r="C45" s="5" t="s">
        <v>51</v>
      </c>
      <c r="E45" s="35"/>
      <c r="H45" s="16"/>
      <c r="I45" s="16"/>
    </row>
    <row r="46" spans="2:9" ht="14.4" customHeight="1" x14ac:dyDescent="0.25">
      <c r="D46" s="5" t="s">
        <v>52</v>
      </c>
      <c r="E46" s="35"/>
      <c r="H46" s="16"/>
      <c r="I46" s="16"/>
    </row>
    <row r="47" spans="2:9" ht="14.4" customHeight="1" x14ac:dyDescent="0.25">
      <c r="D47" s="1" t="s">
        <v>53</v>
      </c>
      <c r="E47" s="73">
        <v>18.829999999999998</v>
      </c>
      <c r="F47" s="40">
        <v>15.13</v>
      </c>
      <c r="G47" s="40">
        <v>17.88</v>
      </c>
      <c r="H47" s="39">
        <v>20.07</v>
      </c>
      <c r="I47" s="39">
        <v>19.850000000000001</v>
      </c>
    </row>
    <row r="48" spans="2:9" ht="14.4" customHeight="1" x14ac:dyDescent="0.25">
      <c r="D48" s="1" t="s">
        <v>54</v>
      </c>
      <c r="E48" s="73">
        <v>35.22</v>
      </c>
      <c r="F48" s="40">
        <v>25.1</v>
      </c>
      <c r="G48" s="40">
        <v>24.66</v>
      </c>
      <c r="H48" s="39">
        <v>40.799999999999997</v>
      </c>
      <c r="I48" s="39">
        <v>61.29</v>
      </c>
    </row>
    <row r="49" spans="3:9" ht="14.4" customHeight="1" x14ac:dyDescent="0.25">
      <c r="D49" s="1" t="s">
        <v>55</v>
      </c>
      <c r="E49" s="73">
        <v>94.78</v>
      </c>
      <c r="F49" s="40">
        <v>74.62</v>
      </c>
      <c r="G49" s="40">
        <v>83.17</v>
      </c>
      <c r="H49" s="39">
        <v>105.08</v>
      </c>
      <c r="I49" s="39">
        <v>120.98</v>
      </c>
    </row>
    <row r="50" spans="3:9" ht="14.4" customHeight="1" x14ac:dyDescent="0.25">
      <c r="D50" s="1" t="s">
        <v>56</v>
      </c>
      <c r="E50" s="73">
        <v>76.569999999999993</v>
      </c>
      <c r="F50" s="40">
        <v>78.569999999999993</v>
      </c>
      <c r="G50" s="40">
        <v>93.5</v>
      </c>
      <c r="H50" s="39">
        <v>100.83</v>
      </c>
      <c r="I50" s="39">
        <v>87.18</v>
      </c>
    </row>
    <row r="51" spans="3:9" ht="14.4" customHeight="1" x14ac:dyDescent="0.25">
      <c r="D51" s="1" t="s">
        <v>57</v>
      </c>
      <c r="E51" s="73">
        <v>1.06</v>
      </c>
      <c r="F51" s="40">
        <v>2.75</v>
      </c>
      <c r="G51" s="40">
        <v>3.22</v>
      </c>
      <c r="H51" s="39">
        <v>3.27</v>
      </c>
      <c r="I51" s="39">
        <v>11.96</v>
      </c>
    </row>
    <row r="52" spans="3:9" ht="14.4" customHeight="1" x14ac:dyDescent="0.25">
      <c r="D52" s="6" t="s">
        <v>65</v>
      </c>
      <c r="E52" s="74">
        <f t="shared" ref="E52:I52" si="5">SUM(E47:E51)</f>
        <v>226.45999999999998</v>
      </c>
      <c r="F52" s="22">
        <f t="shared" si="5"/>
        <v>196.17000000000002</v>
      </c>
      <c r="G52" s="22">
        <f t="shared" si="5"/>
        <v>222.43</v>
      </c>
      <c r="H52" s="22">
        <f t="shared" si="5"/>
        <v>270.04999999999995</v>
      </c>
      <c r="I52" s="22">
        <f t="shared" si="5"/>
        <v>301.26</v>
      </c>
    </row>
    <row r="53" spans="3:9" ht="14.4" customHeight="1" x14ac:dyDescent="0.25">
      <c r="D53" s="5"/>
      <c r="E53" s="33"/>
      <c r="F53" s="5"/>
      <c r="G53" s="5"/>
      <c r="H53" s="17"/>
      <c r="I53" s="17"/>
    </row>
    <row r="54" spans="3:9" ht="14.4" customHeight="1" x14ac:dyDescent="0.25">
      <c r="C54" s="5" t="s">
        <v>58</v>
      </c>
      <c r="E54" s="35"/>
      <c r="H54" s="16"/>
      <c r="I54" s="16"/>
    </row>
    <row r="55" spans="3:9" ht="14.4" customHeight="1" x14ac:dyDescent="0.25">
      <c r="D55" s="5" t="s">
        <v>52</v>
      </c>
      <c r="E55" s="35"/>
      <c r="H55" s="16"/>
      <c r="I55" s="16"/>
    </row>
    <row r="56" spans="3:9" ht="14.4" customHeight="1" x14ac:dyDescent="0.25">
      <c r="D56" s="1" t="s">
        <v>59</v>
      </c>
      <c r="E56" s="72">
        <v>489.26</v>
      </c>
      <c r="F56" s="39">
        <v>20.22</v>
      </c>
      <c r="G56" s="39">
        <v>394.68</v>
      </c>
      <c r="H56" s="39">
        <v>350.04</v>
      </c>
      <c r="I56" s="39">
        <v>100</v>
      </c>
    </row>
    <row r="57" spans="3:9" ht="14.4" customHeight="1" x14ac:dyDescent="0.25">
      <c r="D57" s="5" t="s">
        <v>60</v>
      </c>
      <c r="E57" s="72"/>
      <c r="F57" s="39"/>
      <c r="G57" s="39"/>
      <c r="H57" s="39"/>
      <c r="I57" s="39"/>
    </row>
    <row r="58" spans="3:9" ht="14.4" customHeight="1" x14ac:dyDescent="0.25">
      <c r="D58" s="1" t="s">
        <v>61</v>
      </c>
      <c r="E58" s="72">
        <v>18.98</v>
      </c>
      <c r="F58" s="39">
        <v>42.72</v>
      </c>
      <c r="G58" s="39">
        <v>42.59</v>
      </c>
      <c r="H58" s="39">
        <v>70.03</v>
      </c>
      <c r="I58" s="39">
        <v>72.14</v>
      </c>
    </row>
    <row r="59" spans="3:9" ht="14.4" customHeight="1" x14ac:dyDescent="0.25">
      <c r="D59" s="1" t="s">
        <v>102</v>
      </c>
      <c r="E59" s="72">
        <v>678.36</v>
      </c>
      <c r="F59" s="39">
        <v>688.3</v>
      </c>
      <c r="G59" s="39">
        <v>957.09</v>
      </c>
      <c r="H59" s="39">
        <v>1079.47</v>
      </c>
      <c r="I59" s="39">
        <v>1336.63</v>
      </c>
    </row>
    <row r="60" spans="3:9" ht="14.4" customHeight="1" x14ac:dyDescent="0.25">
      <c r="D60" s="1" t="s">
        <v>53</v>
      </c>
      <c r="E60" s="72">
        <v>3.68</v>
      </c>
      <c r="F60" s="39">
        <v>4.3600000000000003</v>
      </c>
      <c r="G60" s="39">
        <v>4.97</v>
      </c>
      <c r="H60" s="39">
        <v>5.98</v>
      </c>
      <c r="I60" s="39">
        <v>7.13</v>
      </c>
    </row>
    <row r="61" spans="3:9" ht="14.4" customHeight="1" x14ac:dyDescent="0.25">
      <c r="D61" s="1" t="s">
        <v>62</v>
      </c>
      <c r="E61" s="72">
        <v>168.13</v>
      </c>
      <c r="F61" s="39">
        <v>117.98</v>
      </c>
      <c r="G61" s="39">
        <v>85.14</v>
      </c>
      <c r="H61" s="39">
        <v>102.99</v>
      </c>
      <c r="I61" s="39">
        <v>150.51</v>
      </c>
    </row>
    <row r="62" spans="3:9" ht="14.4" customHeight="1" x14ac:dyDescent="0.25">
      <c r="D62" s="1" t="s">
        <v>63</v>
      </c>
      <c r="E62" s="72">
        <v>52.15</v>
      </c>
      <c r="F62" s="39">
        <v>86.63</v>
      </c>
      <c r="G62" s="39">
        <v>113.98</v>
      </c>
      <c r="H62" s="39">
        <v>144.52000000000001</v>
      </c>
      <c r="I62" s="39">
        <v>226.84</v>
      </c>
    </row>
    <row r="63" spans="3:9" ht="14.4" customHeight="1" x14ac:dyDescent="0.25">
      <c r="D63" s="1" t="s">
        <v>55</v>
      </c>
      <c r="E63" s="72">
        <v>157.01</v>
      </c>
      <c r="F63" s="39">
        <v>148.46</v>
      </c>
      <c r="G63" s="39">
        <v>146.13999999999999</v>
      </c>
      <c r="H63" s="39">
        <v>137.32</v>
      </c>
      <c r="I63" s="39">
        <v>163.68</v>
      </c>
    </row>
    <row r="64" spans="3:9" ht="14.4" customHeight="1" x14ac:dyDescent="0.25">
      <c r="D64" s="6" t="s">
        <v>65</v>
      </c>
      <c r="E64" s="74">
        <f t="shared" ref="E64:I64" si="6">SUM(E56:E63)</f>
        <v>1567.57</v>
      </c>
      <c r="F64" s="22">
        <f t="shared" si="6"/>
        <v>1108.67</v>
      </c>
      <c r="G64" s="22">
        <f t="shared" si="6"/>
        <v>1744.5900000000001</v>
      </c>
      <c r="H64" s="22">
        <f t="shared" si="6"/>
        <v>1890.35</v>
      </c>
      <c r="I64" s="22">
        <f t="shared" si="6"/>
        <v>2056.9299999999998</v>
      </c>
    </row>
    <row r="65" spans="4:9" ht="14.4" customHeight="1" thickBot="1" x14ac:dyDescent="0.3">
      <c r="D65" s="5"/>
      <c r="E65" s="33"/>
      <c r="F65" s="5"/>
      <c r="G65" s="5"/>
      <c r="H65" s="17"/>
      <c r="I65" s="17"/>
    </row>
    <row r="66" spans="4:9" ht="14.4" customHeight="1" thickTop="1" thickBot="1" x14ac:dyDescent="0.3">
      <c r="D66" s="7" t="s">
        <v>64</v>
      </c>
      <c r="E66" s="104">
        <f t="shared" ref="E66:I66" si="7">SUM(E43,E52,E64)</f>
        <v>6196.07</v>
      </c>
      <c r="F66" s="23">
        <f t="shared" si="7"/>
        <v>5956.21</v>
      </c>
      <c r="G66" s="23">
        <f t="shared" si="7"/>
        <v>7111.99</v>
      </c>
      <c r="H66" s="23">
        <f t="shared" si="7"/>
        <v>7918.6399999999994</v>
      </c>
      <c r="I66" s="23">
        <f t="shared" si="7"/>
        <v>8970.51</v>
      </c>
    </row>
    <row r="67" spans="4:9" ht="14.4" customHeight="1" thickTop="1" x14ac:dyDescent="0.25"/>
    <row r="68" spans="4:9" ht="14.4" customHeight="1" x14ac:dyDescent="0.25">
      <c r="D68" s="24" t="s">
        <v>101</v>
      </c>
      <c r="E68" s="25">
        <f t="shared" ref="E68:I68" si="8">E35-E66</f>
        <v>0</v>
      </c>
      <c r="F68" s="25">
        <f t="shared" si="8"/>
        <v>0</v>
      </c>
      <c r="G68" s="25">
        <f t="shared" si="8"/>
        <v>0</v>
      </c>
      <c r="H68" s="25">
        <f t="shared" si="8"/>
        <v>0</v>
      </c>
      <c r="I68" s="25">
        <f t="shared" si="8"/>
        <v>0</v>
      </c>
    </row>
  </sheetData>
  <mergeCells count="1">
    <mergeCell ref="D4:I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230B-D342-4A05-B468-4BE5AEFD7B8A}">
  <dimension ref="A3:I63"/>
  <sheetViews>
    <sheetView showGridLines="0" topLeftCell="A49" workbookViewId="0">
      <selection activeCell="D62" sqref="D62"/>
    </sheetView>
  </sheetViews>
  <sheetFormatPr defaultRowHeight="14.4" customHeight="1" x14ac:dyDescent="0.25"/>
  <cols>
    <col min="1" max="3" width="1.33203125" style="2" customWidth="1"/>
    <col min="4" max="4" width="53.44140625" style="2" customWidth="1"/>
    <col min="5" max="9" width="10.77734375" style="2" customWidth="1"/>
    <col min="10" max="16384" width="8.88671875" style="2"/>
  </cols>
  <sheetData>
    <row r="3" spans="1:9" ht="14.4" customHeight="1" x14ac:dyDescent="0.25">
      <c r="H3" s="124" t="s">
        <v>258</v>
      </c>
    </row>
    <row r="4" spans="1:9" ht="16.8" customHeight="1" x14ac:dyDescent="0.25">
      <c r="D4" s="378" t="s">
        <v>390</v>
      </c>
      <c r="E4" s="378"/>
      <c r="F4" s="378"/>
      <c r="G4" s="378"/>
      <c r="H4" s="378"/>
      <c r="I4" s="378"/>
    </row>
    <row r="5" spans="1:9" ht="14.4" customHeight="1" x14ac:dyDescent="0.25">
      <c r="E5" s="262">
        <v>2020</v>
      </c>
      <c r="F5" s="4">
        <f t="shared" ref="F5:I5" si="0">E5+1</f>
        <v>2021</v>
      </c>
      <c r="G5" s="4">
        <f t="shared" si="0"/>
        <v>2022</v>
      </c>
      <c r="H5" s="4">
        <f t="shared" si="0"/>
        <v>2023</v>
      </c>
      <c r="I5" s="4">
        <f t="shared" si="0"/>
        <v>2024</v>
      </c>
    </row>
    <row r="6" spans="1:9" ht="14.4" customHeight="1" x14ac:dyDescent="0.25">
      <c r="D6" s="14" t="s">
        <v>1</v>
      </c>
      <c r="E6" s="263" t="s">
        <v>110</v>
      </c>
      <c r="F6" s="3" t="s">
        <v>110</v>
      </c>
      <c r="G6" s="3" t="s">
        <v>110</v>
      </c>
      <c r="H6" s="3" t="s">
        <v>110</v>
      </c>
      <c r="I6" s="3" t="s">
        <v>110</v>
      </c>
    </row>
    <row r="7" spans="1:9" s="1" customFormat="1" ht="14.4" customHeight="1" x14ac:dyDescent="0.25">
      <c r="A7" s="2"/>
      <c r="B7" s="2"/>
      <c r="C7" s="2"/>
      <c r="D7" s="5" t="s">
        <v>106</v>
      </c>
      <c r="E7" s="35"/>
    </row>
    <row r="8" spans="1:9" s="1" customFormat="1" ht="14.4" customHeight="1" x14ac:dyDescent="0.25">
      <c r="A8" s="2"/>
      <c r="B8" s="2"/>
      <c r="C8" s="2"/>
      <c r="D8" s="1" t="s">
        <v>16</v>
      </c>
      <c r="E8" s="73">
        <f>'P&amp;L Inputs'!E26</f>
        <v>807.48000000000059</v>
      </c>
      <c r="F8" s="40">
        <f>'P&amp;L Inputs'!F26</f>
        <v>824.9999999999992</v>
      </c>
      <c r="G8" s="40">
        <f>'P&amp;L Inputs'!G26</f>
        <v>1206.9800000000005</v>
      </c>
      <c r="H8" s="39">
        <f>'P&amp;L Inputs'!H26</f>
        <v>1591.2900000000006</v>
      </c>
      <c r="I8" s="39">
        <f>'P&amp;L Inputs'!I26</f>
        <v>2204.6100000000006</v>
      </c>
    </row>
    <row r="9" spans="1:9" s="1" customFormat="1" ht="14.4" customHeight="1" x14ac:dyDescent="0.25">
      <c r="A9" s="2"/>
      <c r="B9" s="2"/>
      <c r="C9" s="2"/>
      <c r="D9" s="5" t="s">
        <v>393</v>
      </c>
      <c r="E9" s="105"/>
      <c r="F9" s="26"/>
      <c r="G9" s="26"/>
    </row>
    <row r="10" spans="1:9" s="1" customFormat="1" ht="14.4" customHeight="1" x14ac:dyDescent="0.25">
      <c r="A10" s="2"/>
      <c r="B10" s="2"/>
      <c r="C10" s="2"/>
      <c r="D10" s="1" t="s">
        <v>11</v>
      </c>
      <c r="E10" s="264">
        <v>120.58</v>
      </c>
      <c r="F10" s="41">
        <v>127.19</v>
      </c>
      <c r="G10" s="41">
        <v>135.62</v>
      </c>
      <c r="H10" s="40">
        <v>142.04</v>
      </c>
      <c r="I10" s="40">
        <v>159.18</v>
      </c>
    </row>
    <row r="11" spans="1:9" s="1" customFormat="1" ht="14.4" customHeight="1" x14ac:dyDescent="0.25">
      <c r="A11" s="2"/>
      <c r="B11" s="2"/>
      <c r="C11" s="2"/>
      <c r="D11" s="1" t="s">
        <v>10</v>
      </c>
      <c r="E11" s="264">
        <v>21.02</v>
      </c>
      <c r="F11" s="41">
        <v>16.760000000000002</v>
      </c>
      <c r="G11" s="41">
        <v>12.16</v>
      </c>
      <c r="H11" s="40">
        <v>16.239999999999998</v>
      </c>
      <c r="I11" s="40">
        <v>27.4</v>
      </c>
    </row>
    <row r="12" spans="1:9" s="1" customFormat="1" ht="14.4" customHeight="1" x14ac:dyDescent="0.25">
      <c r="A12" s="2"/>
      <c r="B12" s="2"/>
      <c r="C12" s="2"/>
      <c r="D12" s="1" t="s">
        <v>68</v>
      </c>
      <c r="E12" s="264">
        <v>-57.84</v>
      </c>
      <c r="F12" s="41">
        <v>-76.010000000000005</v>
      </c>
      <c r="G12" s="41">
        <v>-58.67</v>
      </c>
      <c r="H12" s="40">
        <v>-73.760000000000005</v>
      </c>
      <c r="I12" s="40">
        <v>-120.68</v>
      </c>
    </row>
    <row r="13" spans="1:9" s="1" customFormat="1" ht="14.4" customHeight="1" x14ac:dyDescent="0.25">
      <c r="A13" s="2"/>
      <c r="B13" s="2"/>
      <c r="C13" s="2"/>
      <c r="D13" s="1" t="s">
        <v>104</v>
      </c>
      <c r="E13" s="264">
        <v>0.01</v>
      </c>
      <c r="F13" s="41">
        <v>0</v>
      </c>
      <c r="G13" s="41">
        <v>0</v>
      </c>
      <c r="H13" s="40">
        <v>0</v>
      </c>
      <c r="I13" s="40">
        <v>0</v>
      </c>
    </row>
    <row r="14" spans="1:9" s="1" customFormat="1" ht="14.4" customHeight="1" x14ac:dyDescent="0.25">
      <c r="A14" s="2"/>
      <c r="B14" s="2"/>
      <c r="C14" s="2"/>
      <c r="D14" s="1" t="s">
        <v>69</v>
      </c>
      <c r="E14" s="264">
        <v>4.08</v>
      </c>
      <c r="F14" s="41">
        <v>20.76</v>
      </c>
      <c r="G14" s="41">
        <v>-6.08</v>
      </c>
      <c r="H14" s="40">
        <v>-2.4900000000000002</v>
      </c>
      <c r="I14" s="40">
        <v>-1.6</v>
      </c>
    </row>
    <row r="15" spans="1:9" s="1" customFormat="1" ht="14.4" customHeight="1" x14ac:dyDescent="0.25">
      <c r="A15" s="2"/>
      <c r="B15" s="2"/>
      <c r="C15" s="2"/>
      <c r="D15" s="1" t="s">
        <v>70</v>
      </c>
      <c r="E15" s="264">
        <v>-31.4</v>
      </c>
      <c r="F15" s="41">
        <v>-23.87</v>
      </c>
      <c r="G15" s="41">
        <v>-17.579999999999998</v>
      </c>
      <c r="H15" s="40">
        <v>-43.89</v>
      </c>
      <c r="I15" s="40">
        <v>-52.2</v>
      </c>
    </row>
    <row r="16" spans="1:9" s="1" customFormat="1" ht="14.4" customHeight="1" x14ac:dyDescent="0.25">
      <c r="A16" s="2"/>
      <c r="B16" s="2"/>
      <c r="C16" s="2"/>
      <c r="D16" s="1" t="s">
        <v>71</v>
      </c>
      <c r="E16" s="264">
        <v>1.78</v>
      </c>
      <c r="F16" s="41">
        <v>2.17</v>
      </c>
      <c r="G16" s="41">
        <v>2.82</v>
      </c>
      <c r="H16" s="40">
        <v>5.23</v>
      </c>
      <c r="I16" s="40">
        <v>10.49</v>
      </c>
    </row>
    <row r="17" spans="1:9" s="1" customFormat="1" ht="14.4" customHeight="1" x14ac:dyDescent="0.25">
      <c r="A17" s="2"/>
      <c r="B17" s="2"/>
      <c r="C17" s="2"/>
      <c r="D17" s="1" t="s">
        <v>72</v>
      </c>
      <c r="E17" s="264">
        <v>-13.16</v>
      </c>
      <c r="F17" s="41">
        <v>-6.7</v>
      </c>
      <c r="G17" s="41">
        <v>-12.24</v>
      </c>
      <c r="H17" s="40">
        <v>-14.07</v>
      </c>
      <c r="I17" s="40">
        <v>-14.16</v>
      </c>
    </row>
    <row r="18" spans="1:9" s="1" customFormat="1" ht="14.4" customHeight="1" x14ac:dyDescent="0.25">
      <c r="A18" s="2"/>
      <c r="B18" s="2"/>
      <c r="C18" s="2"/>
      <c r="D18" s="1" t="s">
        <v>73</v>
      </c>
      <c r="E18" s="264">
        <v>6.72</v>
      </c>
      <c r="F18" s="41">
        <v>0.35</v>
      </c>
      <c r="G18" s="41">
        <v>-0.5</v>
      </c>
      <c r="H18" s="40">
        <v>0.02</v>
      </c>
      <c r="I18" s="40">
        <v>0.31</v>
      </c>
    </row>
    <row r="19" spans="1:9" s="1" customFormat="1" ht="14.4" customHeight="1" x14ac:dyDescent="0.25">
      <c r="A19" s="2"/>
      <c r="B19" s="2"/>
      <c r="C19" s="2"/>
      <c r="D19" s="1" t="s">
        <v>74</v>
      </c>
      <c r="E19" s="264">
        <v>12.73</v>
      </c>
      <c r="F19" s="41">
        <v>-0.96</v>
      </c>
      <c r="G19" s="41">
        <v>-6.62</v>
      </c>
      <c r="H19" s="40">
        <v>1.01</v>
      </c>
      <c r="I19" s="40">
        <v>0.53</v>
      </c>
    </row>
    <row r="20" spans="1:9" s="1" customFormat="1" ht="14.4" customHeight="1" x14ac:dyDescent="0.25">
      <c r="A20" s="2"/>
      <c r="B20" s="2"/>
      <c r="C20" s="2"/>
      <c r="D20" s="1" t="s">
        <v>105</v>
      </c>
      <c r="E20" s="264">
        <v>0</v>
      </c>
      <c r="F20" s="41">
        <v>-0.11</v>
      </c>
      <c r="G20" s="41">
        <v>-0.05</v>
      </c>
      <c r="H20" s="40">
        <v>0</v>
      </c>
      <c r="I20" s="40">
        <v>0</v>
      </c>
    </row>
    <row r="21" spans="1:9" s="1" customFormat="1" ht="14.4" customHeight="1" x14ac:dyDescent="0.25">
      <c r="A21" s="2"/>
      <c r="B21" s="2"/>
      <c r="C21" s="2"/>
      <c r="D21" s="1" t="s">
        <v>75</v>
      </c>
      <c r="E21" s="264">
        <v>-122.26</v>
      </c>
      <c r="F21" s="41">
        <v>-113.12</v>
      </c>
      <c r="G21" s="41">
        <v>-91.15</v>
      </c>
      <c r="H21" s="40">
        <v>-207.98</v>
      </c>
      <c r="I21" s="40">
        <v>-245.16</v>
      </c>
    </row>
    <row r="22" spans="1:9" s="1" customFormat="1" ht="14.4" customHeight="1" x14ac:dyDescent="0.25">
      <c r="A22" s="2"/>
      <c r="B22" s="2"/>
      <c r="C22" s="2"/>
      <c r="D22" s="1" t="s">
        <v>76</v>
      </c>
      <c r="E22" s="264">
        <v>0</v>
      </c>
      <c r="F22" s="41">
        <v>0</v>
      </c>
      <c r="G22" s="41">
        <v>-132.36000000000001</v>
      </c>
      <c r="H22" s="40">
        <v>14.3</v>
      </c>
      <c r="I22" s="40">
        <v>1.7</v>
      </c>
    </row>
    <row r="23" spans="1:9" s="1" customFormat="1" ht="14.4" customHeight="1" x14ac:dyDescent="0.25">
      <c r="A23" s="2"/>
      <c r="B23" s="2"/>
      <c r="C23" s="2"/>
      <c r="D23" s="6" t="s">
        <v>65</v>
      </c>
      <c r="E23" s="106">
        <f t="shared" ref="E23:I23" si="1">SUM(E10:E22)</f>
        <v>-57.740000000000009</v>
      </c>
      <c r="F23" s="38">
        <f t="shared" si="1"/>
        <v>-53.54000000000002</v>
      </c>
      <c r="G23" s="38">
        <f t="shared" si="1"/>
        <v>-174.65000000000003</v>
      </c>
      <c r="H23" s="22">
        <f t="shared" si="1"/>
        <v>-163.34999999999997</v>
      </c>
      <c r="I23" s="22">
        <f t="shared" si="1"/>
        <v>-234.19</v>
      </c>
    </row>
    <row r="24" spans="1:9" s="1" customFormat="1" ht="14.4" customHeight="1" x14ac:dyDescent="0.25">
      <c r="A24" s="2"/>
      <c r="B24" s="2"/>
      <c r="C24" s="2"/>
      <c r="E24" s="36"/>
    </row>
    <row r="25" spans="1:9" s="1" customFormat="1" ht="14.4" customHeight="1" x14ac:dyDescent="0.25">
      <c r="A25" s="2"/>
      <c r="B25" s="2"/>
      <c r="C25" s="2"/>
      <c r="D25" s="5" t="s">
        <v>107</v>
      </c>
      <c r="E25" s="35"/>
    </row>
    <row r="26" spans="1:9" s="1" customFormat="1" ht="14.4" customHeight="1" x14ac:dyDescent="0.25">
      <c r="A26" s="2"/>
      <c r="B26" s="2"/>
      <c r="C26" s="2"/>
      <c r="D26" s="1" t="s">
        <v>39</v>
      </c>
      <c r="E26" s="73">
        <v>148.59</v>
      </c>
      <c r="F26" s="40">
        <v>58.18</v>
      </c>
      <c r="G26" s="40">
        <v>-168.64</v>
      </c>
      <c r="H26" s="40">
        <v>-363.41</v>
      </c>
      <c r="I26" s="40">
        <v>-520.92999999999995</v>
      </c>
    </row>
    <row r="27" spans="1:9" s="1" customFormat="1" ht="14.4" customHeight="1" x14ac:dyDescent="0.25">
      <c r="A27" s="2"/>
      <c r="B27" s="2"/>
      <c r="C27" s="2"/>
      <c r="D27" s="1" t="s">
        <v>37</v>
      </c>
      <c r="E27" s="73">
        <v>55.65</v>
      </c>
      <c r="F27" s="40">
        <v>12.75</v>
      </c>
      <c r="G27" s="40">
        <v>-172.87</v>
      </c>
      <c r="H27" s="40">
        <v>-166.24</v>
      </c>
      <c r="I27" s="40">
        <v>-45.99</v>
      </c>
    </row>
    <row r="28" spans="1:9" s="1" customFormat="1" ht="14.4" customHeight="1" x14ac:dyDescent="0.25">
      <c r="A28" s="2"/>
      <c r="B28" s="2"/>
      <c r="C28" s="2"/>
      <c r="D28" s="1" t="s">
        <v>77</v>
      </c>
      <c r="E28" s="73">
        <v>6.52</v>
      </c>
      <c r="F28" s="40">
        <v>7.7</v>
      </c>
      <c r="G28" s="40">
        <v>12.13</v>
      </c>
      <c r="H28" s="40">
        <v>7.41</v>
      </c>
      <c r="I28" s="40">
        <v>-2.17</v>
      </c>
    </row>
    <row r="29" spans="1:9" s="1" customFormat="1" ht="14.4" customHeight="1" x14ac:dyDescent="0.25">
      <c r="A29" s="2"/>
      <c r="B29" s="2"/>
      <c r="C29" s="2"/>
      <c r="D29" s="1" t="s">
        <v>78</v>
      </c>
      <c r="E29" s="73">
        <v>-20.39</v>
      </c>
      <c r="F29" s="40">
        <v>48.83</v>
      </c>
      <c r="G29" s="40">
        <v>-7.29</v>
      </c>
      <c r="H29" s="40">
        <v>31.37</v>
      </c>
      <c r="I29" s="40">
        <v>-54.34</v>
      </c>
    </row>
    <row r="30" spans="1:9" s="1" customFormat="1" ht="14.4" customHeight="1" x14ac:dyDescent="0.25">
      <c r="A30" s="2"/>
      <c r="B30" s="2"/>
      <c r="C30" s="2"/>
      <c r="D30" s="1" t="s">
        <v>60</v>
      </c>
      <c r="E30" s="73">
        <v>-149.94999999999999</v>
      </c>
      <c r="F30" s="40">
        <v>31.42</v>
      </c>
      <c r="G30" s="40">
        <v>273.16000000000003</v>
      </c>
      <c r="H30" s="40">
        <v>169.46</v>
      </c>
      <c r="I30" s="40">
        <v>285.25</v>
      </c>
    </row>
    <row r="31" spans="1:9" s="1" customFormat="1" ht="14.4" customHeight="1" x14ac:dyDescent="0.25">
      <c r="A31" s="2"/>
      <c r="B31" s="2"/>
      <c r="C31" s="2"/>
      <c r="D31" s="1" t="s">
        <v>79</v>
      </c>
      <c r="E31" s="73">
        <v>7.81</v>
      </c>
      <c r="F31" s="40">
        <v>-60.51</v>
      </c>
      <c r="G31" s="40">
        <v>-32.57</v>
      </c>
      <c r="H31" s="40">
        <v>18.95</v>
      </c>
      <c r="I31" s="40">
        <v>65.83</v>
      </c>
    </row>
    <row r="32" spans="1:9" s="1" customFormat="1" ht="14.4" customHeight="1" x14ac:dyDescent="0.25">
      <c r="A32" s="2"/>
      <c r="B32" s="2"/>
      <c r="C32" s="2"/>
      <c r="D32" s="1" t="s">
        <v>80</v>
      </c>
      <c r="E32" s="73">
        <v>-13.45</v>
      </c>
      <c r="F32" s="40">
        <v>36.28</v>
      </c>
      <c r="G32" s="40">
        <v>28.05</v>
      </c>
      <c r="H32" s="40">
        <v>30.75</v>
      </c>
      <c r="I32" s="40">
        <v>77.47</v>
      </c>
    </row>
    <row r="33" spans="1:9" s="1" customFormat="1" ht="14.4" customHeight="1" x14ac:dyDescent="0.25">
      <c r="A33" s="2"/>
      <c r="B33" s="2"/>
      <c r="C33" s="2"/>
      <c r="D33" s="1" t="s">
        <v>81</v>
      </c>
      <c r="E33" s="73">
        <v>-21.49</v>
      </c>
      <c r="F33" s="40">
        <v>-33.47</v>
      </c>
      <c r="G33" s="40">
        <v>2.2000000000000002</v>
      </c>
      <c r="H33" s="40">
        <v>15.56</v>
      </c>
      <c r="I33" s="40">
        <v>11.04</v>
      </c>
    </row>
    <row r="34" spans="1:9" s="1" customFormat="1" ht="14.4" customHeight="1" x14ac:dyDescent="0.25">
      <c r="A34" s="2"/>
      <c r="B34" s="2"/>
      <c r="C34" s="2"/>
      <c r="D34" s="6" t="s">
        <v>65</v>
      </c>
      <c r="E34" s="106">
        <f t="shared" ref="E34:I34" si="2">SUM(E26:E33)</f>
        <v>13.290000000000017</v>
      </c>
      <c r="F34" s="38">
        <f t="shared" si="2"/>
        <v>101.18</v>
      </c>
      <c r="G34" s="38">
        <f t="shared" si="2"/>
        <v>-65.829999999999984</v>
      </c>
      <c r="H34" s="38">
        <f t="shared" si="2"/>
        <v>-256.15000000000009</v>
      </c>
      <c r="I34" s="38">
        <f t="shared" si="2"/>
        <v>-183.83999999999997</v>
      </c>
    </row>
    <row r="35" spans="1:9" s="1" customFormat="1" ht="14.4" customHeight="1" x14ac:dyDescent="0.25">
      <c r="A35" s="2"/>
      <c r="B35" s="2"/>
      <c r="C35" s="2"/>
      <c r="D35" s="5"/>
      <c r="E35" s="33"/>
      <c r="F35" s="5"/>
      <c r="G35" s="5"/>
      <c r="H35" s="32"/>
      <c r="I35" s="32"/>
    </row>
    <row r="36" spans="1:9" s="1" customFormat="1" ht="14.4" customHeight="1" x14ac:dyDescent="0.25">
      <c r="A36" s="2"/>
      <c r="B36" s="2"/>
      <c r="C36" s="2"/>
      <c r="D36" s="5" t="s">
        <v>82</v>
      </c>
      <c r="E36" s="260">
        <f t="shared" ref="E36:I36" si="3">SUM(E23,E34)</f>
        <v>-44.449999999999989</v>
      </c>
      <c r="F36" s="17">
        <f t="shared" si="3"/>
        <v>47.639999999999986</v>
      </c>
      <c r="G36" s="17">
        <f t="shared" si="3"/>
        <v>-240.48000000000002</v>
      </c>
      <c r="H36" s="32">
        <f t="shared" si="3"/>
        <v>-419.50000000000006</v>
      </c>
      <c r="I36" s="32">
        <f t="shared" si="3"/>
        <v>-418.03</v>
      </c>
    </row>
    <row r="37" spans="1:9" s="1" customFormat="1" ht="14.4" customHeight="1" x14ac:dyDescent="0.25">
      <c r="A37" s="2"/>
      <c r="B37" s="2"/>
      <c r="C37" s="2"/>
      <c r="D37" s="28" t="s">
        <v>67</v>
      </c>
      <c r="E37" s="265">
        <f t="shared" ref="E37" si="4">E8+E36</f>
        <v>763.03000000000065</v>
      </c>
      <c r="F37" s="29">
        <f>F8+F36</f>
        <v>872.63999999999919</v>
      </c>
      <c r="G37" s="29">
        <f t="shared" ref="G37:I37" si="5">G8+G36</f>
        <v>966.50000000000045</v>
      </c>
      <c r="H37" s="29">
        <f t="shared" si="5"/>
        <v>1171.7900000000006</v>
      </c>
      <c r="I37" s="29">
        <f t="shared" si="5"/>
        <v>1786.5800000000006</v>
      </c>
    </row>
    <row r="38" spans="1:9" s="1" customFormat="1" ht="14.4" customHeight="1" x14ac:dyDescent="0.25">
      <c r="A38" s="2"/>
      <c r="B38" s="2"/>
      <c r="C38" s="2"/>
      <c r="D38" s="1" t="s">
        <v>83</v>
      </c>
      <c r="E38" s="72">
        <v>-162.33000000000001</v>
      </c>
      <c r="F38" s="39">
        <v>-83.96</v>
      </c>
      <c r="G38" s="39">
        <v>-254.63</v>
      </c>
      <c r="H38" s="39">
        <v>-352.13</v>
      </c>
      <c r="I38" s="39">
        <v>-501.24</v>
      </c>
    </row>
    <row r="39" spans="1:9" s="1" customFormat="1" ht="14.4" customHeight="1" x14ac:dyDescent="0.25">
      <c r="A39" s="2"/>
      <c r="B39" s="2"/>
      <c r="C39" s="2"/>
      <c r="D39" s="6" t="s">
        <v>84</v>
      </c>
      <c r="E39" s="74">
        <f t="shared" ref="E39:I39" si="6">SUM(E37:E38)</f>
        <v>600.70000000000061</v>
      </c>
      <c r="F39" s="22">
        <f t="shared" si="6"/>
        <v>788.67999999999915</v>
      </c>
      <c r="G39" s="22">
        <f t="shared" si="6"/>
        <v>711.87000000000046</v>
      </c>
      <c r="H39" s="22">
        <f t="shared" si="6"/>
        <v>819.66000000000065</v>
      </c>
      <c r="I39" s="22">
        <f t="shared" si="6"/>
        <v>1285.3400000000006</v>
      </c>
    </row>
    <row r="40" spans="1:9" s="1" customFormat="1" ht="14.4" customHeight="1" x14ac:dyDescent="0.25">
      <c r="A40" s="2"/>
      <c r="B40" s="2"/>
      <c r="C40" s="2"/>
      <c r="E40" s="35"/>
    </row>
    <row r="41" spans="1:9" s="1" customFormat="1" ht="14.4" customHeight="1" x14ac:dyDescent="0.25">
      <c r="A41" s="2"/>
      <c r="B41" s="2"/>
      <c r="C41" s="2"/>
      <c r="D41" s="5" t="s">
        <v>89</v>
      </c>
      <c r="E41" s="35"/>
    </row>
    <row r="42" spans="1:9" s="1" customFormat="1" ht="14.4" customHeight="1" x14ac:dyDescent="0.25">
      <c r="A42" s="2"/>
      <c r="B42" s="2"/>
      <c r="C42" s="2"/>
      <c r="D42" s="1" t="s">
        <v>108</v>
      </c>
      <c r="E42" s="73">
        <v>-248.38</v>
      </c>
      <c r="F42" s="40">
        <v>-77.989999999999995</v>
      </c>
      <c r="G42" s="40">
        <v>-152.02000000000001</v>
      </c>
      <c r="H42" s="40">
        <v>-162.06</v>
      </c>
      <c r="I42" s="40">
        <v>-286.02</v>
      </c>
    </row>
    <row r="43" spans="1:9" s="1" customFormat="1" ht="14.4" customHeight="1" x14ac:dyDescent="0.25">
      <c r="A43" s="2"/>
      <c r="B43" s="2"/>
      <c r="C43" s="2"/>
      <c r="D43" s="1" t="s">
        <v>85</v>
      </c>
      <c r="E43" s="73">
        <v>21.03</v>
      </c>
      <c r="F43" s="40">
        <v>2.16</v>
      </c>
      <c r="G43" s="40">
        <v>174.67</v>
      </c>
      <c r="H43" s="40">
        <v>7.32</v>
      </c>
      <c r="I43" s="40">
        <v>6.05</v>
      </c>
    </row>
    <row r="44" spans="1:9" s="1" customFormat="1" ht="14.4" customHeight="1" x14ac:dyDescent="0.25">
      <c r="A44" s="2"/>
      <c r="B44" s="2"/>
      <c r="C44" s="2"/>
      <c r="D44" s="1" t="s">
        <v>30</v>
      </c>
      <c r="E44" s="73">
        <v>-9.7799999999999994</v>
      </c>
      <c r="F44" s="40">
        <v>-38.340000000000003</v>
      </c>
      <c r="G44" s="40">
        <v>47.71</v>
      </c>
      <c r="H44" s="40">
        <v>0.41</v>
      </c>
      <c r="I44" s="40">
        <v>-2.16</v>
      </c>
    </row>
    <row r="45" spans="1:9" s="1" customFormat="1" ht="14.4" customHeight="1" x14ac:dyDescent="0.25">
      <c r="A45" s="2"/>
      <c r="B45" s="2"/>
      <c r="C45" s="2"/>
      <c r="D45" s="1" t="s">
        <v>86</v>
      </c>
      <c r="E45" s="73">
        <v>57.84</v>
      </c>
      <c r="F45" s="40">
        <v>40.46</v>
      </c>
      <c r="G45" s="40">
        <v>58.52</v>
      </c>
      <c r="H45" s="40">
        <v>73.760000000000005</v>
      </c>
      <c r="I45" s="40">
        <v>120.64</v>
      </c>
    </row>
    <row r="46" spans="1:9" s="1" customFormat="1" ht="14.4" customHeight="1" x14ac:dyDescent="0.25">
      <c r="A46" s="2"/>
      <c r="B46" s="2"/>
      <c r="C46" s="2"/>
      <c r="D46" s="1" t="s">
        <v>409</v>
      </c>
      <c r="E46" s="73">
        <v>75.02</v>
      </c>
      <c r="F46" s="40">
        <v>96.67</v>
      </c>
      <c r="G46" s="40">
        <v>44.56</v>
      </c>
      <c r="H46" s="40">
        <v>112.07</v>
      </c>
      <c r="I46" s="40">
        <v>189.95</v>
      </c>
    </row>
    <row r="47" spans="1:9" s="1" customFormat="1" ht="14.4" customHeight="1" x14ac:dyDescent="0.25">
      <c r="A47" s="2"/>
      <c r="B47" s="2"/>
      <c r="C47" s="2"/>
      <c r="D47" s="5" t="s">
        <v>38</v>
      </c>
      <c r="E47" s="73"/>
      <c r="F47" s="40"/>
      <c r="G47" s="40"/>
      <c r="H47" s="40"/>
      <c r="I47" s="40"/>
    </row>
    <row r="48" spans="1:9" s="1" customFormat="1" ht="14.4" customHeight="1" x14ac:dyDescent="0.25">
      <c r="A48" s="2"/>
      <c r="B48" s="2"/>
      <c r="C48" s="2"/>
      <c r="D48" s="1" t="s">
        <v>87</v>
      </c>
      <c r="E48" s="73">
        <v>-507.45</v>
      </c>
      <c r="F48" s="40">
        <v>478.78</v>
      </c>
      <c r="G48" s="40">
        <v>-228.24</v>
      </c>
      <c r="H48" s="40">
        <v>-426.38</v>
      </c>
      <c r="I48" s="40">
        <v>-78.069999999999993</v>
      </c>
    </row>
    <row r="49" spans="1:9" s="1" customFormat="1" ht="14.4" customHeight="1" x14ac:dyDescent="0.25">
      <c r="A49" s="2"/>
      <c r="B49" s="2"/>
      <c r="C49" s="2"/>
      <c r="D49" s="1" t="s">
        <v>88</v>
      </c>
      <c r="E49" s="73">
        <v>397.81</v>
      </c>
      <c r="F49" s="40">
        <v>-486.29</v>
      </c>
      <c r="G49" s="40">
        <v>-531.45000000000005</v>
      </c>
      <c r="H49" s="40">
        <v>464.02</v>
      </c>
      <c r="I49" s="40">
        <v>-218.62</v>
      </c>
    </row>
    <row r="50" spans="1:9" s="1" customFormat="1" ht="14.4" customHeight="1" x14ac:dyDescent="0.25">
      <c r="A50" s="2"/>
      <c r="B50" s="2"/>
      <c r="C50" s="2"/>
      <c r="D50" s="6" t="s">
        <v>90</v>
      </c>
      <c r="E50" s="74">
        <f t="shared" ref="E50:F50" si="7">SUM(E42:E49)</f>
        <v>-213.91000000000003</v>
      </c>
      <c r="F50" s="22">
        <f t="shared" si="7"/>
        <v>15.449999999999932</v>
      </c>
      <c r="G50" s="22">
        <f>SUM(G42:G49)</f>
        <v>-586.25</v>
      </c>
      <c r="H50" s="22">
        <f t="shared" ref="H50:I50" si="8">SUM(H42:H49)</f>
        <v>69.139999999999986</v>
      </c>
      <c r="I50" s="22">
        <f t="shared" si="8"/>
        <v>-268.23</v>
      </c>
    </row>
    <row r="51" spans="1:9" s="1" customFormat="1" ht="14.4" customHeight="1" x14ac:dyDescent="0.25">
      <c r="A51" s="2"/>
      <c r="B51" s="2"/>
      <c r="C51" s="2"/>
      <c r="E51" s="35"/>
    </row>
    <row r="52" spans="1:9" s="1" customFormat="1" ht="14.4" customHeight="1" x14ac:dyDescent="0.25">
      <c r="A52" s="2"/>
      <c r="B52" s="2"/>
      <c r="C52" s="2"/>
      <c r="D52" s="5" t="s">
        <v>91</v>
      </c>
      <c r="E52" s="35"/>
    </row>
    <row r="53" spans="1:9" s="1" customFormat="1" ht="14.4" customHeight="1" x14ac:dyDescent="0.25">
      <c r="A53" s="2"/>
      <c r="B53" s="2"/>
      <c r="C53" s="2"/>
      <c r="D53" s="1" t="s">
        <v>92</v>
      </c>
      <c r="E53" s="73">
        <v>176.68</v>
      </c>
      <c r="F53" s="40">
        <v>-469.05</v>
      </c>
      <c r="G53" s="40">
        <v>374.46</v>
      </c>
      <c r="H53" s="40">
        <v>-44.64</v>
      </c>
      <c r="I53" s="40">
        <v>-250.04</v>
      </c>
    </row>
    <row r="54" spans="1:9" s="1" customFormat="1" ht="14.4" customHeight="1" x14ac:dyDescent="0.25">
      <c r="A54" s="2"/>
      <c r="B54" s="2"/>
      <c r="C54" s="2"/>
      <c r="D54" s="1" t="s">
        <v>10</v>
      </c>
      <c r="E54" s="73">
        <v>-16.190000000000001</v>
      </c>
      <c r="F54" s="40">
        <v>-11.76</v>
      </c>
      <c r="G54" s="40">
        <v>-8.0299999999999994</v>
      </c>
      <c r="H54" s="40">
        <v>-13.04</v>
      </c>
      <c r="I54" s="40">
        <v>-17.88</v>
      </c>
    </row>
    <row r="55" spans="1:9" s="1" customFormat="1" ht="14.4" customHeight="1" x14ac:dyDescent="0.25">
      <c r="A55" s="2"/>
      <c r="B55" s="2"/>
      <c r="C55" s="2"/>
      <c r="D55" s="1" t="s">
        <v>93</v>
      </c>
      <c r="E55" s="73">
        <v>-4.6500000000000004</v>
      </c>
      <c r="F55" s="40">
        <v>-4.2699999999999996</v>
      </c>
      <c r="G55" s="40">
        <v>-5.16</v>
      </c>
      <c r="H55" s="40">
        <v>-5.96</v>
      </c>
      <c r="I55" s="40">
        <v>-7.01</v>
      </c>
    </row>
    <row r="56" spans="1:9" s="1" customFormat="1" ht="14.4" customHeight="1" x14ac:dyDescent="0.25">
      <c r="A56" s="2"/>
      <c r="B56" s="2"/>
      <c r="C56" s="2"/>
      <c r="D56" s="1" t="s">
        <v>94</v>
      </c>
      <c r="E56" s="73">
        <v>-568.11</v>
      </c>
      <c r="F56" s="40">
        <v>-388.08</v>
      </c>
      <c r="G56" s="40">
        <v>-443.52</v>
      </c>
      <c r="H56" s="40">
        <v>-623.70000000000005</v>
      </c>
      <c r="I56" s="40">
        <v>-859.32</v>
      </c>
    </row>
    <row r="57" spans="1:9" s="1" customFormat="1" ht="14.4" customHeight="1" x14ac:dyDescent="0.25">
      <c r="A57" s="2"/>
      <c r="B57" s="2"/>
      <c r="C57" s="2"/>
      <c r="D57" s="6" t="s">
        <v>95</v>
      </c>
      <c r="E57" s="74">
        <f t="shared" ref="E57:I57" si="9">SUM(E53:E56)</f>
        <v>-412.27</v>
      </c>
      <c r="F57" s="22">
        <f t="shared" si="9"/>
        <v>-873.16</v>
      </c>
      <c r="G57" s="22">
        <f t="shared" si="9"/>
        <v>-82.25</v>
      </c>
      <c r="H57" s="22">
        <f>SUM(H53:H56)</f>
        <v>-687.34</v>
      </c>
      <c r="I57" s="22">
        <f t="shared" si="9"/>
        <v>-1134.25</v>
      </c>
    </row>
    <row r="58" spans="1:9" s="1" customFormat="1" ht="14.4" customHeight="1" x14ac:dyDescent="0.25">
      <c r="A58" s="2"/>
      <c r="B58" s="2"/>
      <c r="C58" s="2"/>
      <c r="E58" s="35"/>
    </row>
    <row r="59" spans="1:9" s="1" customFormat="1" ht="14.4" customHeight="1" x14ac:dyDescent="0.25">
      <c r="A59" s="2"/>
      <c r="B59" s="2"/>
      <c r="C59" s="2"/>
      <c r="D59" s="8" t="s">
        <v>96</v>
      </c>
      <c r="E59" s="266">
        <f t="shared" ref="E59:I59" si="10">SUM(E39,E50,E57)</f>
        <v>-25.479999999999393</v>
      </c>
      <c r="F59" s="30">
        <f t="shared" si="10"/>
        <v>-69.030000000000882</v>
      </c>
      <c r="G59" s="30">
        <f t="shared" si="10"/>
        <v>43.370000000000459</v>
      </c>
      <c r="H59" s="30">
        <f>SUM(H39,H50,H57)</f>
        <v>201.4600000000006</v>
      </c>
      <c r="I59" s="30">
        <f t="shared" si="10"/>
        <v>-117.13999999999942</v>
      </c>
    </row>
    <row r="60" spans="1:9" s="1" customFormat="1" ht="14.4" customHeight="1" x14ac:dyDescent="0.25">
      <c r="A60" s="2"/>
      <c r="B60" s="2"/>
      <c r="C60" s="2"/>
      <c r="D60" s="1" t="s">
        <v>99</v>
      </c>
      <c r="E60" s="73">
        <v>11.49</v>
      </c>
      <c r="F60" s="40">
        <v>9.16</v>
      </c>
      <c r="G60" s="40">
        <v>12.46</v>
      </c>
      <c r="H60" s="40">
        <v>17.8</v>
      </c>
      <c r="I60" s="40">
        <v>20.34</v>
      </c>
    </row>
    <row r="61" spans="1:9" s="1" customFormat="1" ht="14.4" customHeight="1" thickBot="1" x14ac:dyDescent="0.3">
      <c r="A61" s="2"/>
      <c r="B61" s="2"/>
      <c r="C61" s="2"/>
      <c r="D61" s="1" t="s">
        <v>98</v>
      </c>
      <c r="E61" s="73">
        <v>195.46</v>
      </c>
      <c r="F61" s="40">
        <v>181.47</v>
      </c>
      <c r="G61" s="40">
        <v>121.6</v>
      </c>
      <c r="H61" s="40">
        <f t="shared" ref="H61:I61" si="11">G62</f>
        <v>177.43000000000046</v>
      </c>
      <c r="I61" s="40">
        <f t="shared" si="11"/>
        <v>396.69000000000108</v>
      </c>
    </row>
    <row r="62" spans="1:9" s="1" customFormat="1" ht="14.4" customHeight="1" thickTop="1" thickBot="1" x14ac:dyDescent="0.3">
      <c r="A62" s="2"/>
      <c r="B62" s="2"/>
      <c r="C62" s="2"/>
      <c r="D62" s="7" t="s">
        <v>97</v>
      </c>
      <c r="E62" s="104">
        <f>SUM(E59:E61)</f>
        <v>181.47000000000062</v>
      </c>
      <c r="F62" s="23">
        <f>SUM(F59:F61)</f>
        <v>121.59999999999911</v>
      </c>
      <c r="G62" s="23">
        <f t="shared" ref="G62:I62" si="12">SUM(G59:G61)</f>
        <v>177.43000000000046</v>
      </c>
      <c r="H62" s="23">
        <f t="shared" si="12"/>
        <v>396.69000000000108</v>
      </c>
      <c r="I62" s="23">
        <f t="shared" si="12"/>
        <v>299.89000000000169</v>
      </c>
    </row>
    <row r="63" spans="1:9" ht="14.4" customHeight="1" thickTop="1" x14ac:dyDescent="0.25"/>
  </sheetData>
  <mergeCells count="1">
    <mergeCell ref="D4:I4"/>
  </mergeCells>
  <pageMargins left="0.7" right="0.7" top="0.75" bottom="0.75" header="0.3" footer="0.3"/>
  <ignoredErrors>
    <ignoredError sqref="E23:I23" formulaRange="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060E-51A4-42FB-B145-74F66EE75B1D}">
  <dimension ref="D1:S30"/>
  <sheetViews>
    <sheetView showGridLines="0" topLeftCell="C6" workbookViewId="0">
      <selection activeCell="J15" sqref="J15"/>
    </sheetView>
  </sheetViews>
  <sheetFormatPr defaultRowHeight="14.4" customHeight="1" x14ac:dyDescent="0.25"/>
  <cols>
    <col min="1" max="3" width="1.33203125" style="1" customWidth="1"/>
    <col min="4" max="4" width="35.77734375" style="1" customWidth="1"/>
    <col min="5" max="19" width="10.77734375" style="1" customWidth="1"/>
    <col min="20" max="16384" width="8.88671875" style="1"/>
  </cols>
  <sheetData>
    <row r="1" spans="4:19" customFormat="1" ht="14.4" customHeight="1" x14ac:dyDescent="0.3"/>
    <row r="2" spans="4:19" customFormat="1" ht="14.4" customHeight="1" x14ac:dyDescent="0.3"/>
    <row r="3" spans="4:19" customFormat="1" ht="14.4" customHeight="1" x14ac:dyDescent="0.3">
      <c r="R3" s="124" t="s">
        <v>258</v>
      </c>
    </row>
    <row r="4" spans="4:19" customFormat="1" ht="16.8" customHeight="1" x14ac:dyDescent="0.3">
      <c r="D4" s="410" t="s">
        <v>109</v>
      </c>
      <c r="E4" s="411"/>
      <c r="F4" s="411"/>
      <c r="G4" s="411"/>
      <c r="H4" s="411"/>
      <c r="I4" s="411"/>
      <c r="J4" s="411"/>
      <c r="K4" s="411"/>
      <c r="L4" s="411"/>
      <c r="M4" s="411"/>
      <c r="N4" s="411"/>
      <c r="O4" s="411"/>
      <c r="P4" s="411"/>
      <c r="Q4" s="411"/>
      <c r="R4" s="411"/>
      <c r="S4" s="411"/>
    </row>
    <row r="5" spans="4:19" customFormat="1" ht="14.4" customHeight="1" x14ac:dyDescent="0.3">
      <c r="E5" s="70">
        <v>2020</v>
      </c>
      <c r="F5" s="46">
        <f t="shared" ref="F5:S5" si="0">E5+1</f>
        <v>2021</v>
      </c>
      <c r="G5" s="46">
        <f t="shared" si="0"/>
        <v>2022</v>
      </c>
      <c r="H5" s="46">
        <f t="shared" si="0"/>
        <v>2023</v>
      </c>
      <c r="I5" s="46">
        <f t="shared" si="0"/>
        <v>2024</v>
      </c>
      <c r="J5" s="46">
        <f t="shared" si="0"/>
        <v>2025</v>
      </c>
      <c r="K5" s="46">
        <f t="shared" si="0"/>
        <v>2026</v>
      </c>
      <c r="L5" s="46">
        <f t="shared" si="0"/>
        <v>2027</v>
      </c>
      <c r="M5" s="46">
        <f t="shared" si="0"/>
        <v>2028</v>
      </c>
      <c r="N5" s="46">
        <f t="shared" si="0"/>
        <v>2029</v>
      </c>
      <c r="O5" s="46">
        <f t="shared" si="0"/>
        <v>2030</v>
      </c>
      <c r="P5" s="46">
        <f t="shared" si="0"/>
        <v>2031</v>
      </c>
      <c r="Q5" s="46">
        <f t="shared" si="0"/>
        <v>2032</v>
      </c>
      <c r="R5" s="46">
        <f t="shared" si="0"/>
        <v>2033</v>
      </c>
      <c r="S5" s="46">
        <f t="shared" si="0"/>
        <v>2034</v>
      </c>
    </row>
    <row r="6" spans="4:19" ht="14.4" customHeight="1" x14ac:dyDescent="0.25">
      <c r="D6" s="8" t="s">
        <v>1</v>
      </c>
      <c r="E6" s="71" t="s">
        <v>110</v>
      </c>
      <c r="F6" s="68" t="s">
        <v>110</v>
      </c>
      <c r="G6" s="68" t="s">
        <v>110</v>
      </c>
      <c r="H6" s="68" t="s">
        <v>110</v>
      </c>
      <c r="I6" s="68" t="s">
        <v>110</v>
      </c>
      <c r="J6" s="69" t="s">
        <v>111</v>
      </c>
      <c r="K6" s="69" t="s">
        <v>111</v>
      </c>
      <c r="L6" s="69" t="s">
        <v>111</v>
      </c>
      <c r="M6" s="69" t="s">
        <v>111</v>
      </c>
      <c r="N6" s="69" t="s">
        <v>111</v>
      </c>
      <c r="O6" s="69" t="s">
        <v>111</v>
      </c>
      <c r="P6" s="69" t="s">
        <v>111</v>
      </c>
      <c r="Q6" s="69" t="s">
        <v>111</v>
      </c>
      <c r="R6" s="69" t="s">
        <v>111</v>
      </c>
      <c r="S6" s="69" t="s">
        <v>111</v>
      </c>
    </row>
    <row r="7" spans="4:19" ht="14.4" customHeight="1" x14ac:dyDescent="0.25">
      <c r="E7" s="35"/>
      <c r="J7" s="49"/>
      <c r="K7" s="49"/>
      <c r="L7" s="49"/>
      <c r="M7" s="49"/>
      <c r="N7" s="49"/>
      <c r="O7" s="49"/>
      <c r="P7" s="49"/>
      <c r="Q7" s="49"/>
      <c r="R7" s="49"/>
      <c r="S7" s="49"/>
    </row>
    <row r="8" spans="4:19" ht="14.4" customHeight="1" x14ac:dyDescent="0.25">
      <c r="D8" s="1" t="s">
        <v>112</v>
      </c>
      <c r="E8" s="72">
        <v>5095.87</v>
      </c>
      <c r="F8" s="39">
        <v>4287.49</v>
      </c>
      <c r="G8" s="39">
        <v>6056.56</v>
      </c>
      <c r="H8" s="39">
        <v>7641.4</v>
      </c>
      <c r="I8" s="39">
        <v>8859.99</v>
      </c>
      <c r="J8" s="67">
        <f>J24</f>
        <v>10482.521898469246</v>
      </c>
      <c r="K8" s="67">
        <f t="shared" ref="K8:S8" si="1">K24</f>
        <v>12073.581940930821</v>
      </c>
      <c r="L8" s="67">
        <f t="shared" si="1"/>
        <v>13718.299700506335</v>
      </c>
      <c r="M8" s="67">
        <f t="shared" si="1"/>
        <v>15395.519543378363</v>
      </c>
      <c r="N8" s="67">
        <f t="shared" si="1"/>
        <v>17084.865170118195</v>
      </c>
      <c r="O8" s="67">
        <f t="shared" si="1"/>
        <v>18767.423680345011</v>
      </c>
      <c r="P8" s="67">
        <f t="shared" si="1"/>
        <v>20426.237846116393</v>
      </c>
      <c r="Q8" s="67">
        <f t="shared" si="1"/>
        <v>22046.614281876999</v>
      </c>
      <c r="R8" s="67">
        <f t="shared" si="1"/>
        <v>23616.26815301364</v>
      </c>
      <c r="S8" s="67">
        <f t="shared" si="1"/>
        <v>25125.332366374023</v>
      </c>
    </row>
    <row r="9" spans="4:19" ht="14.4" customHeight="1" x14ac:dyDescent="0.25">
      <c r="D9" s="1" t="s">
        <v>113</v>
      </c>
      <c r="E9" s="73">
        <v>95.58</v>
      </c>
      <c r="F9" s="40">
        <v>72.59</v>
      </c>
      <c r="G9" s="40">
        <v>114.84</v>
      </c>
      <c r="H9" s="39">
        <v>130.69</v>
      </c>
      <c r="I9" s="39">
        <v>140.21</v>
      </c>
      <c r="J9" s="66">
        <f>J8*J10</f>
        <v>183.60396425692485</v>
      </c>
      <c r="K9" s="66">
        <f t="shared" ref="K9:S9" si="2">K8*K10</f>
        <v>211.47177450298742</v>
      </c>
      <c r="L9" s="66">
        <f t="shared" si="2"/>
        <v>240.27941293834616</v>
      </c>
      <c r="M9" s="66">
        <f t="shared" si="2"/>
        <v>269.65633340312951</v>
      </c>
      <c r="N9" s="66">
        <f>N8*N10</f>
        <v>299.24563997207895</v>
      </c>
      <c r="O9" s="66">
        <f t="shared" si="2"/>
        <v>328.71606851628081</v>
      </c>
      <c r="P9" s="66">
        <f t="shared" si="2"/>
        <v>357.77060899338153</v>
      </c>
      <c r="Q9" s="66">
        <f t="shared" si="2"/>
        <v>386.15190312047497</v>
      </c>
      <c r="R9" s="66">
        <f t="shared" si="2"/>
        <v>413.64477898024307</v>
      </c>
      <c r="S9" s="66">
        <f t="shared" si="2"/>
        <v>440.07641199516524</v>
      </c>
    </row>
    <row r="10" spans="4:19" ht="14.4" customHeight="1" x14ac:dyDescent="0.25">
      <c r="D10" s="48" t="s">
        <v>114</v>
      </c>
      <c r="E10" s="367">
        <f t="shared" ref="E10:I10" si="3">E9/E8</f>
        <v>1.8756365448883115E-2</v>
      </c>
      <c r="F10" s="51">
        <f t="shared" si="3"/>
        <v>1.6930651733298507E-2</v>
      </c>
      <c r="G10" s="51">
        <f t="shared" si="3"/>
        <v>1.8961258536198764E-2</v>
      </c>
      <c r="H10" s="51">
        <f t="shared" si="3"/>
        <v>1.7102886905540869E-2</v>
      </c>
      <c r="I10" s="51">
        <f t="shared" si="3"/>
        <v>1.5825074294666248E-2</v>
      </c>
      <c r="J10" s="445">
        <f>AVERAGE(E10:I10)</f>
        <v>1.75152473837175E-2</v>
      </c>
      <c r="K10" s="444">
        <f t="shared" ref="K10:S10" si="4">J10</f>
        <v>1.75152473837175E-2</v>
      </c>
      <c r="L10" s="444">
        <f t="shared" si="4"/>
        <v>1.75152473837175E-2</v>
      </c>
      <c r="M10" s="444">
        <f t="shared" si="4"/>
        <v>1.75152473837175E-2</v>
      </c>
      <c r="N10" s="444">
        <f t="shared" si="4"/>
        <v>1.75152473837175E-2</v>
      </c>
      <c r="O10" s="444">
        <f t="shared" si="4"/>
        <v>1.75152473837175E-2</v>
      </c>
      <c r="P10" s="444">
        <f t="shared" si="4"/>
        <v>1.75152473837175E-2</v>
      </c>
      <c r="Q10" s="444">
        <f t="shared" si="4"/>
        <v>1.75152473837175E-2</v>
      </c>
      <c r="R10" s="444">
        <f t="shared" si="4"/>
        <v>1.75152473837175E-2</v>
      </c>
      <c r="S10" s="444">
        <f t="shared" si="4"/>
        <v>1.75152473837175E-2</v>
      </c>
    </row>
    <row r="11" spans="4:19" ht="14.4" customHeight="1" x14ac:dyDescent="0.25">
      <c r="E11" s="35"/>
      <c r="J11" s="49"/>
      <c r="K11" s="49"/>
      <c r="L11" s="49"/>
      <c r="M11" s="49"/>
      <c r="N11" s="49"/>
      <c r="O11" s="49"/>
      <c r="P11" s="49"/>
      <c r="Q11" s="49"/>
      <c r="R11" s="49"/>
      <c r="S11" s="49"/>
    </row>
    <row r="12" spans="4:19" ht="14.4" customHeight="1" x14ac:dyDescent="0.25">
      <c r="D12" s="5" t="s">
        <v>115</v>
      </c>
      <c r="E12" s="74">
        <f t="shared" ref="E12:S12" si="5">SUM(E8:E9)</f>
        <v>5191.45</v>
      </c>
      <c r="F12" s="22">
        <f t="shared" si="5"/>
        <v>4360.08</v>
      </c>
      <c r="G12" s="22">
        <f t="shared" si="5"/>
        <v>6171.4000000000005</v>
      </c>
      <c r="H12" s="22">
        <f t="shared" si="5"/>
        <v>7772.0899999999992</v>
      </c>
      <c r="I12" s="22">
        <f t="shared" si="5"/>
        <v>9000.1999999999989</v>
      </c>
      <c r="J12" s="91">
        <f t="shared" si="5"/>
        <v>10666.12586272617</v>
      </c>
      <c r="K12" s="91">
        <f t="shared" si="5"/>
        <v>12285.053715433807</v>
      </c>
      <c r="L12" s="91">
        <f t="shared" si="5"/>
        <v>13958.579113444681</v>
      </c>
      <c r="M12" s="91">
        <f t="shared" si="5"/>
        <v>15665.175876781492</v>
      </c>
      <c r="N12" s="91">
        <f t="shared" si="5"/>
        <v>17384.110810090275</v>
      </c>
      <c r="O12" s="91">
        <f t="shared" si="5"/>
        <v>19096.139748861293</v>
      </c>
      <c r="P12" s="91">
        <f t="shared" si="5"/>
        <v>20784.008455109775</v>
      </c>
      <c r="Q12" s="91">
        <f t="shared" si="5"/>
        <v>22432.766184997472</v>
      </c>
      <c r="R12" s="91">
        <f t="shared" si="5"/>
        <v>24029.912931993884</v>
      </c>
      <c r="S12" s="91">
        <f t="shared" si="5"/>
        <v>25565.408778369187</v>
      </c>
    </row>
    <row r="13" spans="4:19" ht="14.4" customHeight="1" x14ac:dyDescent="0.25">
      <c r="D13" s="48" t="s">
        <v>116</v>
      </c>
      <c r="E13" s="35"/>
      <c r="F13" s="50">
        <f t="shared" ref="F13:S13" si="6">F12/E12-1</f>
        <v>-0.16014215681553323</v>
      </c>
      <c r="G13" s="50">
        <f t="shared" si="6"/>
        <v>0.41543274435331479</v>
      </c>
      <c r="H13" s="50">
        <f t="shared" si="6"/>
        <v>0.2593722656123405</v>
      </c>
      <c r="I13" s="50">
        <f t="shared" si="6"/>
        <v>0.15801541155596488</v>
      </c>
      <c r="J13" s="64">
        <f t="shared" si="6"/>
        <v>0.18509876033045614</v>
      </c>
      <c r="K13" s="64">
        <f t="shared" si="6"/>
        <v>0.15178218160401991</v>
      </c>
      <c r="L13" s="64">
        <f t="shared" si="6"/>
        <v>0.13622450798960783</v>
      </c>
      <c r="M13" s="64">
        <f t="shared" si="6"/>
        <v>0.12226149592067315</v>
      </c>
      <c r="N13" s="64">
        <f t="shared" si="6"/>
        <v>0.10972969258880405</v>
      </c>
      <c r="O13" s="64">
        <f t="shared" si="6"/>
        <v>9.8482399098451578E-2</v>
      </c>
      <c r="P13" s="64">
        <f t="shared" si="6"/>
        <v>8.8387953190860458E-2</v>
      </c>
      <c r="Q13" s="64">
        <f t="shared" si="6"/>
        <v>7.9328187988797039E-2</v>
      </c>
      <c r="R13" s="64">
        <f t="shared" si="6"/>
        <v>7.1197048719945588E-2</v>
      </c>
      <c r="S13" s="64">
        <f t="shared" si="6"/>
        <v>6.389935122615098E-2</v>
      </c>
    </row>
    <row r="14" spans="4:19" ht="14.4" customHeight="1" x14ac:dyDescent="0.25">
      <c r="E14" s="35"/>
      <c r="J14" s="49"/>
      <c r="K14" s="49"/>
      <c r="L14" s="49"/>
      <c r="M14" s="49"/>
      <c r="N14" s="49"/>
      <c r="O14" s="49"/>
      <c r="P14" s="49"/>
      <c r="Q14" s="49"/>
      <c r="R14" s="49"/>
      <c r="S14" s="49"/>
    </row>
    <row r="15" spans="4:19" ht="14.4" customHeight="1" x14ac:dyDescent="0.25">
      <c r="D15" s="1" t="s">
        <v>117</v>
      </c>
      <c r="E15" s="75">
        <f>'P&amp;L Inputs'!E9</f>
        <v>257.49</v>
      </c>
      <c r="F15" s="42">
        <f>'P&amp;L Inputs'!F9</f>
        <v>273.77999999999997</v>
      </c>
      <c r="G15" s="42">
        <f>'P&amp;L Inputs'!G9</f>
        <v>243.19</v>
      </c>
      <c r="H15" s="42">
        <f>'P&amp;L Inputs'!H9</f>
        <v>308.14999999999998</v>
      </c>
      <c r="I15" s="42">
        <f>'P&amp;L Inputs'!I9</f>
        <v>378.07</v>
      </c>
      <c r="J15" s="67">
        <f>J8*J16</f>
        <v>497.99492569791283</v>
      </c>
      <c r="K15" s="67">
        <f t="shared" ref="K15:S15" si="7">K8*K16</f>
        <v>573.58168194807388</v>
      </c>
      <c r="L15" s="67">
        <f t="shared" si="7"/>
        <v>651.7175643633019</v>
      </c>
      <c r="M15" s="67">
        <f t="shared" si="7"/>
        <v>731.39752870013683</v>
      </c>
      <c r="N15" s="67">
        <f t="shared" si="7"/>
        <v>811.65355468461382</v>
      </c>
      <c r="O15" s="67">
        <f t="shared" si="7"/>
        <v>891.5871439867409</v>
      </c>
      <c r="P15" s="67">
        <f t="shared" si="7"/>
        <v>970.39270673501392</v>
      </c>
      <c r="Q15" s="67">
        <f t="shared" si="7"/>
        <v>1047.3722017978469</v>
      </c>
      <c r="R15" s="67">
        <f t="shared" si="7"/>
        <v>1121.9420114771647</v>
      </c>
      <c r="S15" s="67">
        <f t="shared" si="7"/>
        <v>1193.6333781239184</v>
      </c>
    </row>
    <row r="16" spans="4:19" ht="14.4" customHeight="1" x14ac:dyDescent="0.25">
      <c r="E16" s="367">
        <f>E15/E8</f>
        <v>5.0529154001181353E-2</v>
      </c>
      <c r="F16" s="51">
        <f t="shared" ref="F16:I16" si="8">F15/F8</f>
        <v>6.3855542520215788E-2</v>
      </c>
      <c r="G16" s="51">
        <f t="shared" si="8"/>
        <v>4.015315624711057E-2</v>
      </c>
      <c r="H16" s="51">
        <f t="shared" si="8"/>
        <v>4.0326379982725674E-2</v>
      </c>
      <c r="I16" s="51">
        <f t="shared" si="8"/>
        <v>4.2671605724159963E-2</v>
      </c>
      <c r="J16" s="444">
        <f>AVERAGE(E16:I16)</f>
        <v>4.7507167695078664E-2</v>
      </c>
      <c r="K16" s="444">
        <f t="array" ref="K16:S16">J16</f>
        <v>4.7507167695078664E-2</v>
      </c>
      <c r="L16" s="444">
        <v>4.7507167695078664E-2</v>
      </c>
      <c r="M16" s="444">
        <v>4.7507167695078664E-2</v>
      </c>
      <c r="N16" s="444">
        <v>4.7507167695078664E-2</v>
      </c>
      <c r="O16" s="444">
        <v>4.7507167695078664E-2</v>
      </c>
      <c r="P16" s="444">
        <v>4.7507167695078664E-2</v>
      </c>
      <c r="Q16" s="444">
        <v>4.7507167695078664E-2</v>
      </c>
      <c r="R16" s="444">
        <v>4.7507167695078664E-2</v>
      </c>
      <c r="S16" s="444">
        <v>4.7507167695078664E-2</v>
      </c>
    </row>
    <row r="17" spans="4:19" ht="14.4" customHeight="1" x14ac:dyDescent="0.25">
      <c r="E17" s="35"/>
      <c r="J17" s="49"/>
      <c r="K17" s="49"/>
      <c r="L17" s="49"/>
      <c r="M17" s="49"/>
      <c r="N17" s="49"/>
      <c r="O17" s="49"/>
      <c r="P17" s="49"/>
      <c r="Q17" s="49"/>
      <c r="R17" s="49"/>
      <c r="S17" s="49"/>
    </row>
    <row r="18" spans="4:19" ht="14.4" customHeight="1" x14ac:dyDescent="0.25">
      <c r="D18" s="1" t="s">
        <v>125</v>
      </c>
      <c r="E18" s="75">
        <f>'P&amp;L Inputs'!E25</f>
        <v>122.26</v>
      </c>
      <c r="F18" s="42">
        <f>'P&amp;L Inputs'!F25</f>
        <v>113.12</v>
      </c>
      <c r="G18" s="42">
        <f>'P&amp;L Inputs'!G25</f>
        <v>91.15</v>
      </c>
      <c r="H18" s="42">
        <f>'P&amp;L Inputs'!H25</f>
        <v>207.98</v>
      </c>
      <c r="I18" s="42">
        <f>'P&amp;L Inputs'!I25</f>
        <v>245.16</v>
      </c>
      <c r="J18" s="67">
        <f>J8*J19</f>
        <v>252.23777083224809</v>
      </c>
      <c r="K18" s="67">
        <f t="shared" ref="K18:S18" si="9">K8*K19</f>
        <v>290.52296997210152</v>
      </c>
      <c r="L18" s="67">
        <f t="shared" si="9"/>
        <v>330.09931861623068</v>
      </c>
      <c r="M18" s="67">
        <f t="shared" si="9"/>
        <v>370.45775511264594</v>
      </c>
      <c r="N18" s="67">
        <f t="shared" si="9"/>
        <v>411.10797069829505</v>
      </c>
      <c r="O18" s="67">
        <f t="shared" si="9"/>
        <v>451.59486994115906</v>
      </c>
      <c r="P18" s="67">
        <f t="shared" si="9"/>
        <v>491.51041616675099</v>
      </c>
      <c r="Q18" s="67">
        <f t="shared" si="9"/>
        <v>530.50104685887891</v>
      </c>
      <c r="R18" s="67">
        <f t="shared" si="9"/>
        <v>568.27115573807259</v>
      </c>
      <c r="S18" s="67">
        <f t="shared" si="9"/>
        <v>604.58331391027048</v>
      </c>
    </row>
    <row r="19" spans="4:19" ht="14.4" customHeight="1" x14ac:dyDescent="0.25">
      <c r="E19" s="367">
        <f>E18/E8</f>
        <v>2.3991977817330506E-2</v>
      </c>
      <c r="F19" s="51">
        <f t="shared" ref="F19:I19" si="10">F18/F8</f>
        <v>2.6383735005795935E-2</v>
      </c>
      <c r="G19" s="51">
        <f t="shared" si="10"/>
        <v>1.5049797244640522E-2</v>
      </c>
      <c r="H19" s="51">
        <f t="shared" si="10"/>
        <v>2.7217525584317011E-2</v>
      </c>
      <c r="I19" s="51">
        <f t="shared" si="10"/>
        <v>2.7670460124672829E-2</v>
      </c>
      <c r="J19" s="444">
        <f>AVERAGE(E19:I19)</f>
        <v>2.4062699155351364E-2</v>
      </c>
      <c r="K19" s="444">
        <f t="shared" ref="K19:S19" si="11">J19</f>
        <v>2.4062699155351364E-2</v>
      </c>
      <c r="L19" s="444">
        <f t="shared" si="11"/>
        <v>2.4062699155351364E-2</v>
      </c>
      <c r="M19" s="444">
        <f t="shared" si="11"/>
        <v>2.4062699155351364E-2</v>
      </c>
      <c r="N19" s="444">
        <f t="shared" si="11"/>
        <v>2.4062699155351364E-2</v>
      </c>
      <c r="O19" s="444">
        <f t="shared" si="11"/>
        <v>2.4062699155351364E-2</v>
      </c>
      <c r="P19" s="444">
        <f t="shared" si="11"/>
        <v>2.4062699155351364E-2</v>
      </c>
      <c r="Q19" s="444">
        <f t="shared" si="11"/>
        <v>2.4062699155351364E-2</v>
      </c>
      <c r="R19" s="444">
        <f t="shared" si="11"/>
        <v>2.4062699155351364E-2</v>
      </c>
      <c r="S19" s="444">
        <f t="shared" si="11"/>
        <v>2.4062699155351364E-2</v>
      </c>
    </row>
    <row r="20" spans="4:19" ht="14.4" customHeight="1" x14ac:dyDescent="0.25">
      <c r="E20" s="35"/>
      <c r="J20" s="49"/>
      <c r="K20" s="49"/>
      <c r="L20" s="49"/>
      <c r="M20" s="49"/>
      <c r="N20" s="49"/>
      <c r="O20" s="49"/>
      <c r="P20" s="49"/>
      <c r="Q20" s="49"/>
      <c r="R20" s="49"/>
      <c r="S20" s="49"/>
    </row>
    <row r="21" spans="4:19" ht="14.4" customHeight="1" x14ac:dyDescent="0.25">
      <c r="D21" s="5" t="s">
        <v>118</v>
      </c>
      <c r="E21" s="35"/>
      <c r="J21" s="49"/>
      <c r="K21" s="49"/>
      <c r="L21" s="49"/>
      <c r="M21" s="49"/>
      <c r="N21" s="49"/>
      <c r="O21" s="49"/>
      <c r="P21" s="49"/>
      <c r="Q21" s="49"/>
      <c r="R21" s="49"/>
      <c r="S21" s="49"/>
    </row>
    <row r="22" spans="4:19" ht="14.4" customHeight="1" x14ac:dyDescent="0.25">
      <c r="D22" s="1" t="s">
        <v>119</v>
      </c>
      <c r="E22" s="72">
        <v>3991.92</v>
      </c>
      <c r="F22" s="39">
        <v>3151.3</v>
      </c>
      <c r="G22" s="39">
        <v>4493.4399999999996</v>
      </c>
      <c r="H22" s="39">
        <v>5919.3</v>
      </c>
      <c r="I22" s="39">
        <v>7413.25</v>
      </c>
      <c r="J22" s="67">
        <f>(J24*I22)/I24</f>
        <v>8666.9539083855161</v>
      </c>
      <c r="K22" s="67">
        <f t="shared" ref="K22:S22" si="12">(K24*J22)/J24</f>
        <v>9982.4430804617568</v>
      </c>
      <c r="L22" s="67">
        <f t="shared" si="12"/>
        <v>11342.296477631924</v>
      </c>
      <c r="M22" s="67">
        <f t="shared" si="12"/>
        <v>12729.022612162986</v>
      </c>
      <c r="N22" s="67">
        <f t="shared" si="12"/>
        <v>14125.774350351565</v>
      </c>
      <c r="O22" s="67">
        <f t="shared" si="12"/>
        <v>15516.914497497559</v>
      </c>
      <c r="P22" s="67">
        <f t="shared" si="12"/>
        <v>16888.422809768956</v>
      </c>
      <c r="Q22" s="67">
        <f t="shared" si="12"/>
        <v>18228.150789256597</v>
      </c>
      <c r="R22" s="67">
        <f t="shared" si="12"/>
        <v>19525.941329073808</v>
      </c>
      <c r="S22" s="67">
        <f t="shared" si="12"/>
        <v>20773.636312081515</v>
      </c>
    </row>
    <row r="23" spans="4:19" ht="14.4" customHeight="1" x14ac:dyDescent="0.25">
      <c r="D23" s="1" t="s">
        <v>120</v>
      </c>
      <c r="E23" s="72">
        <v>1151.5999999999999</v>
      </c>
      <c r="F23" s="39">
        <v>1192.96</v>
      </c>
      <c r="G23" s="39">
        <v>1620.74</v>
      </c>
      <c r="H23" s="39">
        <v>1828.55</v>
      </c>
      <c r="I23" s="39">
        <v>1552.94</v>
      </c>
      <c r="J23" s="67">
        <f t="shared" ref="J23:S23" si="13">J24-J22</f>
        <v>1815.5679900837295</v>
      </c>
      <c r="K23" s="67">
        <f t="shared" si="13"/>
        <v>2091.1388604690637</v>
      </c>
      <c r="L23" s="67">
        <f t="shared" si="13"/>
        <v>2376.0032228744112</v>
      </c>
      <c r="M23" s="67">
        <f t="shared" si="13"/>
        <v>2666.4969312153771</v>
      </c>
      <c r="N23" s="67">
        <f t="shared" si="13"/>
        <v>2959.0908197666304</v>
      </c>
      <c r="O23" s="67">
        <f t="shared" si="13"/>
        <v>3250.5091828474524</v>
      </c>
      <c r="P23" s="67">
        <f t="shared" si="13"/>
        <v>3537.8150363474379</v>
      </c>
      <c r="Q23" s="67">
        <f t="shared" si="13"/>
        <v>3818.4634926204017</v>
      </c>
      <c r="R23" s="67">
        <f t="shared" si="13"/>
        <v>4090.3268239398312</v>
      </c>
      <c r="S23" s="67">
        <f t="shared" si="13"/>
        <v>4351.6960542925081</v>
      </c>
    </row>
    <row r="24" spans="4:19" ht="14.4" customHeight="1" x14ac:dyDescent="0.25">
      <c r="E24" s="76">
        <f t="shared" ref="E24:I24" si="14">SUM(E22:E23)</f>
        <v>5143.5200000000004</v>
      </c>
      <c r="F24" s="27">
        <f t="shared" si="14"/>
        <v>4344.26</v>
      </c>
      <c r="G24" s="27">
        <f t="shared" si="14"/>
        <v>6114.1799999999994</v>
      </c>
      <c r="H24" s="27">
        <f t="shared" si="14"/>
        <v>7747.85</v>
      </c>
      <c r="I24" s="27">
        <f t="shared" si="14"/>
        <v>8966.19</v>
      </c>
      <c r="J24" s="65">
        <f t="shared" ref="J24:S24" si="15">I24*(1+J26)</f>
        <v>10482.521898469246</v>
      </c>
      <c r="K24" s="65">
        <f t="shared" si="15"/>
        <v>12073.581940930821</v>
      </c>
      <c r="L24" s="65">
        <f t="shared" si="15"/>
        <v>13718.299700506335</v>
      </c>
      <c r="M24" s="65">
        <f t="shared" si="15"/>
        <v>15395.519543378363</v>
      </c>
      <c r="N24" s="65">
        <f t="shared" si="15"/>
        <v>17084.865170118195</v>
      </c>
      <c r="O24" s="65">
        <f t="shared" si="15"/>
        <v>18767.423680345011</v>
      </c>
      <c r="P24" s="65">
        <f t="shared" si="15"/>
        <v>20426.237846116393</v>
      </c>
      <c r="Q24" s="65">
        <f t="shared" si="15"/>
        <v>22046.614281876999</v>
      </c>
      <c r="R24" s="65">
        <f t="shared" si="15"/>
        <v>23616.26815301364</v>
      </c>
      <c r="S24" s="65">
        <f t="shared" si="15"/>
        <v>25125.332366374023</v>
      </c>
    </row>
    <row r="25" spans="4:19" ht="14.4" customHeight="1" x14ac:dyDescent="0.25">
      <c r="E25" s="35"/>
      <c r="J25" s="49"/>
      <c r="K25" s="49"/>
      <c r="L25" s="49"/>
      <c r="M25" s="49"/>
      <c r="N25" s="49"/>
      <c r="O25" s="49"/>
      <c r="P25" s="49"/>
      <c r="Q25" s="49"/>
      <c r="R25" s="49"/>
      <c r="S25" s="49"/>
    </row>
    <row r="26" spans="4:19" ht="14.4" customHeight="1" x14ac:dyDescent="0.25">
      <c r="D26" s="48" t="s">
        <v>116</v>
      </c>
      <c r="E26" s="77"/>
      <c r="F26" s="51">
        <f t="shared" ref="F26:I26" si="16">F24/E24-1</f>
        <v>-0.1553916384110493</v>
      </c>
      <c r="G26" s="51">
        <f t="shared" si="16"/>
        <v>0.407415762408327</v>
      </c>
      <c r="H26" s="51">
        <f t="shared" si="16"/>
        <v>0.26719363839468269</v>
      </c>
      <c r="I26" s="51">
        <f t="shared" si="16"/>
        <v>0.15724878514684715</v>
      </c>
      <c r="J26" s="443">
        <f>CHOOSE(Assumptions!$H$15,'Revenue Buildup'!J28:S28,'Revenue Buildup'!J29:S29,'Revenue Buildup'!J30:S30)</f>
        <v>0.16911663688470188</v>
      </c>
      <c r="K26" s="443">
        <f>CHOOSE(Assumptions!$H$15,'Revenue Buildup'!K28:T28,'Revenue Buildup'!K29:T29,'Revenue Buildup'!K30:T30)</f>
        <v>0.15178218160401993</v>
      </c>
      <c r="L26" s="443">
        <f>CHOOSE(Assumptions!$H$15,'Revenue Buildup'!L28:U28,'Revenue Buildup'!L29:U29,'Revenue Buildup'!L30:U30)</f>
        <v>0.13622450798960789</v>
      </c>
      <c r="M26" s="443">
        <f>CHOOSE(Assumptions!$H$15,'Revenue Buildup'!M28:V28,'Revenue Buildup'!M29:V29,'Revenue Buildup'!M30:V30)</f>
        <v>0.12226149592067308</v>
      </c>
      <c r="N26" s="443">
        <f>CHOOSE(Assumptions!$H$15,'Revenue Buildup'!N28:W28,'Revenue Buildup'!N29:W29,'Revenue Buildup'!N30:W30)</f>
        <v>0.10972969258880408</v>
      </c>
      <c r="O26" s="443">
        <f>CHOOSE(Assumptions!$H$15,'Revenue Buildup'!O28:X28,'Revenue Buildup'!O29:X29,'Revenue Buildup'!O30:X30)</f>
        <v>9.8482399098451662E-2</v>
      </c>
      <c r="P26" s="443">
        <f>CHOOSE(Assumptions!$H$15,'Revenue Buildup'!P28:Y28,'Revenue Buildup'!P29:Y29,'Revenue Buildup'!P30:Y30)</f>
        <v>8.8387953190860361E-2</v>
      </c>
      <c r="Q26" s="443">
        <f>CHOOSE(Assumptions!$H$15,'Revenue Buildup'!Q28:Z28,'Revenue Buildup'!Q29:Z29,'Revenue Buildup'!Q30:Z30)</f>
        <v>7.9328187988797164E-2</v>
      </c>
      <c r="R26" s="443">
        <f>CHOOSE(Assumptions!$H$15,'Revenue Buildup'!R28:AA28,'Revenue Buildup'!R29:AA29,'Revenue Buildup'!R30:AA30)</f>
        <v>7.1197048719945449E-2</v>
      </c>
      <c r="S26" s="443">
        <f>CHOOSE(Assumptions!$H$15,'Revenue Buildup'!S28:AB28,'Revenue Buildup'!S29:AB29,'Revenue Buildup'!S30:AB30)</f>
        <v>6.3899351226151035E-2</v>
      </c>
    </row>
    <row r="27" spans="4:19" ht="14.4" customHeight="1" x14ac:dyDescent="0.25">
      <c r="D27" s="47" t="s">
        <v>121</v>
      </c>
      <c r="E27" s="35"/>
      <c r="J27" s="49"/>
      <c r="K27" s="49"/>
      <c r="L27" s="49"/>
      <c r="M27" s="49"/>
      <c r="N27" s="49"/>
      <c r="O27" s="49"/>
      <c r="P27" s="49"/>
      <c r="Q27" s="49"/>
      <c r="R27" s="49"/>
      <c r="S27" s="49"/>
    </row>
    <row r="28" spans="4:19" ht="14.4" customHeight="1" x14ac:dyDescent="0.25">
      <c r="D28" s="48" t="s">
        <v>122</v>
      </c>
      <c r="E28" s="78"/>
      <c r="F28" s="52"/>
      <c r="G28" s="52"/>
      <c r="H28" s="52"/>
      <c r="I28" s="52"/>
      <c r="J28" s="63">
        <f>J29+5%</f>
        <v>0.2191166368847019</v>
      </c>
      <c r="K28" s="63">
        <f>J28*(1-Assumptions!$I$31)</f>
        <v>0.19665718160401996</v>
      </c>
      <c r="L28" s="63">
        <f>K28*(1-Assumptions!$I$31)</f>
        <v>0.17649982048960791</v>
      </c>
      <c r="M28" s="63">
        <f>L28*(1-Assumptions!$I$31)</f>
        <v>0.15840858888942311</v>
      </c>
      <c r="N28" s="63">
        <f>M28*(1-Assumptions!$I$31)</f>
        <v>0.14217170852825722</v>
      </c>
      <c r="O28" s="63">
        <f>N28*(1-Assumptions!$I$31)</f>
        <v>0.12759910840411084</v>
      </c>
      <c r="P28" s="63">
        <f>O28*(1-Assumptions!$I$31)</f>
        <v>0.11452019979268947</v>
      </c>
      <c r="Q28" s="63">
        <f>P28*(1-Assumptions!$I$31)</f>
        <v>0.1027818793139388</v>
      </c>
      <c r="R28" s="63">
        <f>Q28*(1-Assumptions!$I$31)</f>
        <v>9.2246736684260061E-2</v>
      </c>
      <c r="S28" s="63">
        <f>R28*(1-Assumptions!$I$31)</f>
        <v>8.2791446174123401E-2</v>
      </c>
    </row>
    <row r="29" spans="4:19" ht="14.4" customHeight="1" x14ac:dyDescent="0.25">
      <c r="D29" s="48" t="s">
        <v>123</v>
      </c>
      <c r="E29" s="78"/>
      <c r="F29" s="52"/>
      <c r="G29" s="52"/>
      <c r="H29" s="52"/>
      <c r="I29" s="52"/>
      <c r="J29" s="63">
        <f>AVERAGE(F26:I26)</f>
        <v>0.16911663688470188</v>
      </c>
      <c r="K29" s="63">
        <f>J29*(1-Assumptions!$I$31)</f>
        <v>0.15178218160401993</v>
      </c>
      <c r="L29" s="63">
        <f>K29*(1-Assumptions!$I$31)</f>
        <v>0.13622450798960789</v>
      </c>
      <c r="M29" s="63">
        <f>L29*(1-Assumptions!$I$31)</f>
        <v>0.12226149592067308</v>
      </c>
      <c r="N29" s="63">
        <f>M29*(1-Assumptions!$I$31)</f>
        <v>0.10972969258880408</v>
      </c>
      <c r="O29" s="63">
        <f>N29*(1-Assumptions!$I$31)</f>
        <v>9.8482399098451662E-2</v>
      </c>
      <c r="P29" s="63">
        <f>O29*(1-Assumptions!$I$31)</f>
        <v>8.8387953190860361E-2</v>
      </c>
      <c r="Q29" s="63">
        <f>P29*(1-Assumptions!$I$31)</f>
        <v>7.9328187988797164E-2</v>
      </c>
      <c r="R29" s="63">
        <f>Q29*(1-Assumptions!$I$31)</f>
        <v>7.1197048719945449E-2</v>
      </c>
      <c r="S29" s="63">
        <f>R29*(1-Assumptions!$I$31)</f>
        <v>6.3899351226151035E-2</v>
      </c>
    </row>
    <row r="30" spans="4:19" ht="14.4" customHeight="1" x14ac:dyDescent="0.25">
      <c r="D30" s="48" t="s">
        <v>124</v>
      </c>
      <c r="E30" s="78"/>
      <c r="F30" s="52"/>
      <c r="G30" s="52"/>
      <c r="H30" s="52"/>
      <c r="I30" s="52"/>
      <c r="J30" s="63">
        <f>J29-5%</f>
        <v>0.11911663688470188</v>
      </c>
      <c r="K30" s="63">
        <f>J30*(1-Assumptions!$I$31)</f>
        <v>0.10690718160401994</v>
      </c>
      <c r="L30" s="63">
        <f>K30*(1-Assumptions!$I$31)</f>
        <v>9.5949195489607883E-2</v>
      </c>
      <c r="M30" s="63">
        <f>L30*(1-Assumptions!$I$31)</f>
        <v>8.6114402951923075E-2</v>
      </c>
      <c r="N30" s="63">
        <f>M30*(1-Assumptions!$I$31)</f>
        <v>7.7287676649350961E-2</v>
      </c>
      <c r="O30" s="63">
        <f>N30*(1-Assumptions!$I$31)</f>
        <v>6.9365689792792479E-2</v>
      </c>
      <c r="P30" s="63">
        <f>O30*(1-Assumptions!$I$31)</f>
        <v>6.2255706589031248E-2</v>
      </c>
      <c r="Q30" s="63">
        <f>P30*(1-Assumptions!$I$31)</f>
        <v>5.5874496663655543E-2</v>
      </c>
      <c r="R30" s="63">
        <f>Q30*(1-Assumptions!$I$31)</f>
        <v>5.0147360755630845E-2</v>
      </c>
      <c r="S30" s="63">
        <f>R30*(1-Assumptions!$I$31)</f>
        <v>4.5007256278178684E-2</v>
      </c>
    </row>
  </sheetData>
  <mergeCells count="1">
    <mergeCell ref="D4:S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7023D-525E-4231-8BDD-5515F7D8F1F1}">
  <dimension ref="A1:S30"/>
  <sheetViews>
    <sheetView showGridLines="0" topLeftCell="B7" workbookViewId="0">
      <selection activeCell="J21" sqref="J21"/>
    </sheetView>
  </sheetViews>
  <sheetFormatPr defaultRowHeight="14.4" x14ac:dyDescent="0.3"/>
  <cols>
    <col min="1" max="3" width="1.33203125" style="79" customWidth="1"/>
    <col min="4" max="4" width="35.77734375" style="94" customWidth="1"/>
    <col min="5" max="19" width="10.77734375" style="94" customWidth="1"/>
    <col min="20" max="16384" width="8.88671875" style="94"/>
  </cols>
  <sheetData>
    <row r="1" spans="4:19" s="79" customFormat="1" x14ac:dyDescent="0.3"/>
    <row r="2" spans="4:19" s="79" customFormat="1" x14ac:dyDescent="0.3"/>
    <row r="3" spans="4:19" s="79" customFormat="1" x14ac:dyDescent="0.3">
      <c r="R3" s="317" t="s">
        <v>258</v>
      </c>
    </row>
    <row r="4" spans="4:19" s="79" customFormat="1" ht="16.8" customHeight="1" x14ac:dyDescent="0.3">
      <c r="D4" s="412" t="s">
        <v>151</v>
      </c>
      <c r="E4" s="413"/>
      <c r="F4" s="413"/>
      <c r="G4" s="413"/>
      <c r="H4" s="413"/>
      <c r="I4" s="413"/>
      <c r="J4" s="413"/>
      <c r="K4" s="413"/>
      <c r="L4" s="413"/>
      <c r="M4" s="413"/>
      <c r="N4" s="413"/>
      <c r="O4" s="413"/>
      <c r="P4" s="413"/>
      <c r="Q4" s="413"/>
      <c r="R4" s="413"/>
      <c r="S4" s="413"/>
    </row>
    <row r="5" spans="4:19" s="79" customFormat="1" x14ac:dyDescent="0.3">
      <c r="E5" s="80">
        <v>2020</v>
      </c>
      <c r="F5" s="81">
        <f t="shared" ref="F5:S5" si="0">E5+1</f>
        <v>2021</v>
      </c>
      <c r="G5" s="81">
        <f t="shared" si="0"/>
        <v>2022</v>
      </c>
      <c r="H5" s="81">
        <f t="shared" si="0"/>
        <v>2023</v>
      </c>
      <c r="I5" s="81">
        <f t="shared" si="0"/>
        <v>2024</v>
      </c>
      <c r="J5" s="81">
        <f t="shared" si="0"/>
        <v>2025</v>
      </c>
      <c r="K5" s="81">
        <f t="shared" si="0"/>
        <v>2026</v>
      </c>
      <c r="L5" s="81">
        <f t="shared" si="0"/>
        <v>2027</v>
      </c>
      <c r="M5" s="81">
        <f t="shared" si="0"/>
        <v>2028</v>
      </c>
      <c r="N5" s="81">
        <f t="shared" si="0"/>
        <v>2029</v>
      </c>
      <c r="O5" s="81">
        <f t="shared" si="0"/>
        <v>2030</v>
      </c>
      <c r="P5" s="81">
        <f t="shared" si="0"/>
        <v>2031</v>
      </c>
      <c r="Q5" s="81">
        <f t="shared" si="0"/>
        <v>2032</v>
      </c>
      <c r="R5" s="81">
        <f t="shared" si="0"/>
        <v>2033</v>
      </c>
      <c r="S5" s="81">
        <f t="shared" si="0"/>
        <v>2034</v>
      </c>
    </row>
    <row r="6" spans="4:19" s="79" customFormat="1" x14ac:dyDescent="0.3">
      <c r="D6" s="82" t="s">
        <v>1</v>
      </c>
      <c r="E6" s="83" t="s">
        <v>110</v>
      </c>
      <c r="F6" s="84" t="s">
        <v>110</v>
      </c>
      <c r="G6" s="84" t="s">
        <v>110</v>
      </c>
      <c r="H6" s="84" t="s">
        <v>110</v>
      </c>
      <c r="I6" s="84" t="s">
        <v>110</v>
      </c>
      <c r="J6" s="85" t="s">
        <v>111</v>
      </c>
      <c r="K6" s="85" t="s">
        <v>111</v>
      </c>
      <c r="L6" s="85" t="s">
        <v>111</v>
      </c>
      <c r="M6" s="85" t="s">
        <v>111</v>
      </c>
      <c r="N6" s="85" t="s">
        <v>111</v>
      </c>
      <c r="O6" s="85" t="s">
        <v>111</v>
      </c>
      <c r="P6" s="85" t="s">
        <v>111</v>
      </c>
      <c r="Q6" s="85" t="s">
        <v>111</v>
      </c>
      <c r="R6" s="85" t="s">
        <v>111</v>
      </c>
      <c r="S6" s="85" t="s">
        <v>111</v>
      </c>
    </row>
    <row r="7" spans="4:19" s="79" customFormat="1" x14ac:dyDescent="0.3">
      <c r="E7" s="347"/>
      <c r="J7" s="348"/>
      <c r="K7" s="348"/>
      <c r="L7" s="348"/>
      <c r="M7" s="348"/>
      <c r="N7" s="348"/>
      <c r="O7" s="348"/>
      <c r="P7" s="348"/>
      <c r="Q7" s="348"/>
      <c r="R7" s="348"/>
      <c r="S7" s="348"/>
    </row>
    <row r="8" spans="4:19" x14ac:dyDescent="0.3">
      <c r="D8" s="253" t="s">
        <v>152</v>
      </c>
      <c r="E8" s="349">
        <f>'Revenue Buildup'!E12</f>
        <v>5191.45</v>
      </c>
      <c r="F8" s="255">
        <f>'Revenue Buildup'!F12</f>
        <v>4360.08</v>
      </c>
      <c r="G8" s="255">
        <f>'Revenue Buildup'!G12</f>
        <v>6171.4000000000005</v>
      </c>
      <c r="H8" s="255">
        <f>'Revenue Buildup'!H12</f>
        <v>7772.0899999999992</v>
      </c>
      <c r="I8" s="255">
        <f>'Revenue Buildup'!I12</f>
        <v>9000.1999999999989</v>
      </c>
      <c r="J8" s="350">
        <f>'Revenue Buildup'!J12</f>
        <v>10666.12586272617</v>
      </c>
      <c r="K8" s="350">
        <f>'Revenue Buildup'!K12</f>
        <v>12285.053715433807</v>
      </c>
      <c r="L8" s="350">
        <f>'Revenue Buildup'!L12</f>
        <v>13958.579113444681</v>
      </c>
      <c r="M8" s="350">
        <f>'Revenue Buildup'!M12</f>
        <v>15665.175876781492</v>
      </c>
      <c r="N8" s="350">
        <f>'Revenue Buildup'!N12</f>
        <v>17384.110810090275</v>
      </c>
      <c r="O8" s="350">
        <f>'Revenue Buildup'!O12</f>
        <v>19096.139748861293</v>
      </c>
      <c r="P8" s="350">
        <f>'Revenue Buildup'!P12</f>
        <v>20784.008455109775</v>
      </c>
      <c r="Q8" s="350">
        <f>'Revenue Buildup'!Q12</f>
        <v>22432.766184997472</v>
      </c>
      <c r="R8" s="350">
        <f>'Revenue Buildup'!R12</f>
        <v>24029.912931993884</v>
      </c>
      <c r="S8" s="350">
        <f>'Revenue Buildup'!S12</f>
        <v>25565.408778369187</v>
      </c>
    </row>
    <row r="9" spans="4:19" x14ac:dyDescent="0.3">
      <c r="E9" s="308"/>
      <c r="J9" s="309"/>
      <c r="K9" s="309"/>
      <c r="L9" s="309"/>
      <c r="M9" s="309"/>
      <c r="N9" s="309"/>
      <c r="O9" s="309"/>
      <c r="P9" s="309"/>
      <c r="Q9" s="309"/>
      <c r="R9" s="309"/>
      <c r="S9" s="309"/>
    </row>
    <row r="10" spans="4:19" x14ac:dyDescent="0.3">
      <c r="D10" s="94" t="s">
        <v>155</v>
      </c>
      <c r="E10" s="351">
        <f>SUM('P&amp;L Inputs'!E13:E15)</f>
        <v>3371.7899999999995</v>
      </c>
      <c r="F10" s="352">
        <f>SUM('P&amp;L Inputs'!F13:F15)</f>
        <v>2763.6200000000003</v>
      </c>
      <c r="G10" s="352">
        <f>SUM('P&amp;L Inputs'!G13:G15)</f>
        <v>4107.16</v>
      </c>
      <c r="H10" s="352">
        <f>SUM('P&amp;L Inputs'!H13:H15)</f>
        <v>5222.5199999999995</v>
      </c>
      <c r="I10" s="352">
        <f>SUM('P&amp;L Inputs'!I13:I15)</f>
        <v>5770.92</v>
      </c>
      <c r="J10" s="307">
        <f>J8*J11</f>
        <v>6958.5969064897099</v>
      </c>
      <c r="K10" s="307">
        <f t="shared" ref="K10:S10" si="1">K8*K11</f>
        <v>8014.7879258597022</v>
      </c>
      <c r="L10" s="307">
        <f t="shared" si="1"/>
        <v>9106.5984677009892</v>
      </c>
      <c r="M10" s="307">
        <f t="shared" si="1"/>
        <v>10219.984819111023</v>
      </c>
      <c r="N10" s="307">
        <f t="shared" si="1"/>
        <v>11341.42061157432</v>
      </c>
      <c r="O10" s="307">
        <f t="shared" si="1"/>
        <v>12458.350922586787</v>
      </c>
      <c r="P10" s="307">
        <f t="shared" si="1"/>
        <v>13559.519060767701</v>
      </c>
      <c r="Q10" s="307">
        <f t="shared" si="1"/>
        <v>14635.17113785796</v>
      </c>
      <c r="R10" s="307">
        <f t="shared" si="1"/>
        <v>15677.152130384773</v>
      </c>
      <c r="S10" s="307">
        <f t="shared" si="1"/>
        <v>16678.91198059003</v>
      </c>
    </row>
    <row r="11" spans="4:19" x14ac:dyDescent="0.3">
      <c r="D11" s="353" t="s">
        <v>154</v>
      </c>
      <c r="E11" s="368">
        <f t="shared" ref="E11:I11" si="2">E10/E8</f>
        <v>0.6494890637490488</v>
      </c>
      <c r="F11" s="369">
        <f t="shared" si="2"/>
        <v>0.63384616796022097</v>
      </c>
      <c r="G11" s="369">
        <f t="shared" si="2"/>
        <v>0.66551511812554676</v>
      </c>
      <c r="H11" s="369">
        <f t="shared" si="2"/>
        <v>0.67195825061212622</v>
      </c>
      <c r="I11" s="369">
        <f t="shared" si="2"/>
        <v>0.64119908446478979</v>
      </c>
      <c r="J11" s="370">
        <f>AVERAGE(E11:I11)</f>
        <v>0.65240153698234649</v>
      </c>
      <c r="K11" s="370">
        <f t="shared" ref="K11:S11" si="3">J11</f>
        <v>0.65240153698234649</v>
      </c>
      <c r="L11" s="370">
        <f t="shared" si="3"/>
        <v>0.65240153698234649</v>
      </c>
      <c r="M11" s="370">
        <f t="shared" si="3"/>
        <v>0.65240153698234649</v>
      </c>
      <c r="N11" s="370">
        <f t="shared" si="3"/>
        <v>0.65240153698234649</v>
      </c>
      <c r="O11" s="370">
        <f t="shared" si="3"/>
        <v>0.65240153698234649</v>
      </c>
      <c r="P11" s="370">
        <f t="shared" si="3"/>
        <v>0.65240153698234649</v>
      </c>
      <c r="Q11" s="370">
        <f t="shared" si="3"/>
        <v>0.65240153698234649</v>
      </c>
      <c r="R11" s="370">
        <f t="shared" si="3"/>
        <v>0.65240153698234649</v>
      </c>
      <c r="S11" s="370">
        <f t="shared" si="3"/>
        <v>0.65240153698234649</v>
      </c>
    </row>
    <row r="12" spans="4:19" x14ac:dyDescent="0.3">
      <c r="E12" s="308"/>
      <c r="J12" s="309"/>
      <c r="K12" s="309"/>
      <c r="L12" s="309"/>
      <c r="M12" s="309"/>
      <c r="N12" s="309"/>
      <c r="O12" s="309"/>
      <c r="P12" s="309"/>
      <c r="Q12" s="309"/>
      <c r="R12" s="309"/>
      <c r="S12" s="309"/>
    </row>
    <row r="13" spans="4:19" x14ac:dyDescent="0.3">
      <c r="D13" s="253" t="s">
        <v>156</v>
      </c>
      <c r="E13" s="371">
        <f>(E8-E10)/E8</f>
        <v>0.35051093625095114</v>
      </c>
      <c r="F13" s="372">
        <f>(F8-F10)/F8</f>
        <v>0.36615383203977897</v>
      </c>
      <c r="G13" s="372">
        <f>(G8-G10)/G8</f>
        <v>0.33448488187445319</v>
      </c>
      <c r="H13" s="372">
        <f>(H8-H10)/H8</f>
        <v>0.32804174938787378</v>
      </c>
      <c r="I13" s="372">
        <f>(I8-I10)/I8</f>
        <v>0.35880091553521026</v>
      </c>
      <c r="J13" s="373">
        <f>AVERAGE(E13:I13)</f>
        <v>0.34759846301765351</v>
      </c>
      <c r="K13" s="373">
        <f t="shared" ref="K13:S13" si="4">J13</f>
        <v>0.34759846301765351</v>
      </c>
      <c r="L13" s="373">
        <f t="shared" si="4"/>
        <v>0.34759846301765351</v>
      </c>
      <c r="M13" s="373">
        <f t="shared" si="4"/>
        <v>0.34759846301765351</v>
      </c>
      <c r="N13" s="373">
        <f t="shared" si="4"/>
        <v>0.34759846301765351</v>
      </c>
      <c r="O13" s="373">
        <f t="shared" si="4"/>
        <v>0.34759846301765351</v>
      </c>
      <c r="P13" s="373">
        <f t="shared" si="4"/>
        <v>0.34759846301765351</v>
      </c>
      <c r="Q13" s="373">
        <f t="shared" si="4"/>
        <v>0.34759846301765351</v>
      </c>
      <c r="R13" s="373">
        <f t="shared" si="4"/>
        <v>0.34759846301765351</v>
      </c>
      <c r="S13" s="373">
        <f t="shared" si="4"/>
        <v>0.34759846301765351</v>
      </c>
    </row>
    <row r="14" spans="4:19" x14ac:dyDescent="0.3">
      <c r="E14" s="308"/>
      <c r="J14" s="309"/>
      <c r="K14" s="309"/>
      <c r="L14" s="309"/>
      <c r="M14" s="309"/>
      <c r="N14" s="309"/>
      <c r="O14" s="309"/>
      <c r="P14" s="309"/>
      <c r="Q14" s="309"/>
      <c r="R14" s="309"/>
      <c r="S14" s="309"/>
    </row>
    <row r="15" spans="4:19" x14ac:dyDescent="0.3">
      <c r="D15" s="94" t="s">
        <v>157</v>
      </c>
      <c r="E15" s="351">
        <f>'P&amp;L Inputs'!E16</f>
        <v>577.75</v>
      </c>
      <c r="F15" s="352">
        <f>'P&amp;L Inputs'!F16</f>
        <v>509.77</v>
      </c>
      <c r="G15" s="352">
        <f>'P&amp;L Inputs'!G16</f>
        <v>614.53</v>
      </c>
      <c r="H15" s="352">
        <f>'P&amp;L Inputs'!H16</f>
        <v>648.88</v>
      </c>
      <c r="I15" s="352">
        <f>'P&amp;L Inputs'!I16</f>
        <v>801.37</v>
      </c>
      <c r="J15" s="307">
        <f t="shared" ref="J15:S15" si="5">J8*J16</f>
        <v>1067.2760821520512</v>
      </c>
      <c r="K15" s="307">
        <f t="shared" si="5"/>
        <v>1229.2695742748806</v>
      </c>
      <c r="L15" s="307">
        <f t="shared" si="5"/>
        <v>1396.7262172170708</v>
      </c>
      <c r="M15" s="307">
        <f t="shared" si="5"/>
        <v>1567.4920539256532</v>
      </c>
      <c r="N15" s="307">
        <f t="shared" si="5"/>
        <v>1739.4924751383082</v>
      </c>
      <c r="O15" s="307">
        <f t="shared" si="5"/>
        <v>1910.8018673036324</v>
      </c>
      <c r="P15" s="307">
        <f t="shared" si="5"/>
        <v>2079.6937333078749</v>
      </c>
      <c r="Q15" s="307">
        <f t="shared" si="5"/>
        <v>2244.6720687428451</v>
      </c>
      <c r="R15" s="307">
        <f t="shared" si="5"/>
        <v>2404.4860953814305</v>
      </c>
      <c r="S15" s="307">
        <f t="shared" si="5"/>
        <v>2558.1311969086046</v>
      </c>
    </row>
    <row r="16" spans="4:19" x14ac:dyDescent="0.3">
      <c r="D16" s="353" t="s">
        <v>154</v>
      </c>
      <c r="E16" s="368">
        <f>E15/E8</f>
        <v>0.11128875362374674</v>
      </c>
      <c r="F16" s="369">
        <f>F15/F8</f>
        <v>0.11691757949395423</v>
      </c>
      <c r="G16" s="369">
        <f>G15/G8</f>
        <v>9.9577081375376728E-2</v>
      </c>
      <c r="H16" s="369">
        <f>H15/H8</f>
        <v>8.3488482505992598E-2</v>
      </c>
      <c r="I16" s="369">
        <f>I15/I8</f>
        <v>8.9039132463723039E-2</v>
      </c>
      <c r="J16" s="356">
        <f>AVERAGE(E16:I16)</f>
        <v>0.10006220589255868</v>
      </c>
      <c r="K16" s="356">
        <f t="shared" ref="K16:S16" si="6">J16</f>
        <v>0.10006220589255868</v>
      </c>
      <c r="L16" s="356">
        <f t="shared" si="6"/>
        <v>0.10006220589255868</v>
      </c>
      <c r="M16" s="356">
        <f t="shared" si="6"/>
        <v>0.10006220589255868</v>
      </c>
      <c r="N16" s="356">
        <f t="shared" si="6"/>
        <v>0.10006220589255868</v>
      </c>
      <c r="O16" s="356">
        <f t="shared" si="6"/>
        <v>0.10006220589255868</v>
      </c>
      <c r="P16" s="356">
        <f t="shared" si="6"/>
        <v>0.10006220589255868</v>
      </c>
      <c r="Q16" s="356">
        <f t="shared" si="6"/>
        <v>0.10006220589255868</v>
      </c>
      <c r="R16" s="356">
        <f t="shared" si="6"/>
        <v>0.10006220589255868</v>
      </c>
      <c r="S16" s="356">
        <f t="shared" si="6"/>
        <v>0.10006220589255868</v>
      </c>
    </row>
    <row r="17" spans="4:19" x14ac:dyDescent="0.3">
      <c r="E17" s="308"/>
      <c r="J17" s="309"/>
      <c r="K17" s="309"/>
      <c r="L17" s="309"/>
      <c r="M17" s="309"/>
      <c r="N17" s="309"/>
      <c r="O17" s="309"/>
      <c r="P17" s="309"/>
      <c r="Q17" s="309"/>
      <c r="R17" s="309"/>
      <c r="S17" s="309"/>
    </row>
    <row r="18" spans="4:19" x14ac:dyDescent="0.3">
      <c r="D18" s="94" t="s">
        <v>12</v>
      </c>
      <c r="E18" s="351">
        <f>'P&amp;L Inputs'!E19</f>
        <v>652.73</v>
      </c>
      <c r="F18" s="352">
        <f>'P&amp;L Inputs'!F19</f>
        <v>504.64</v>
      </c>
      <c r="G18" s="352">
        <f>'P&amp;L Inputs'!G19</f>
        <v>561.16999999999996</v>
      </c>
      <c r="H18" s="352">
        <f>'P&amp;L Inputs'!H19</f>
        <v>652.95000000000005</v>
      </c>
      <c r="I18" s="352">
        <f>'P&amp;L Inputs'!I19</f>
        <v>658.25</v>
      </c>
      <c r="J18" s="307">
        <f t="shared" ref="J18:R18" si="7">J8*J19</f>
        <v>882.01806962507487</v>
      </c>
      <c r="K18" s="307">
        <f t="shared" si="7"/>
        <v>1015.892696446935</v>
      </c>
      <c r="L18" s="307">
        <f t="shared" si="7"/>
        <v>1154.2821791906547</v>
      </c>
      <c r="M18" s="307">
        <f t="shared" si="7"/>
        <v>1295.4064451330787</v>
      </c>
      <c r="N18" s="307">
        <f t="shared" si="7"/>
        <v>1437.550996135087</v>
      </c>
      <c r="O18" s="307">
        <f t="shared" si="7"/>
        <v>1579.1244670608394</v>
      </c>
      <c r="P18" s="307">
        <f t="shared" si="7"/>
        <v>1718.7000465379554</v>
      </c>
      <c r="Q18" s="307">
        <f t="shared" si="7"/>
        <v>1855.0414069260726</v>
      </c>
      <c r="R18" s="307">
        <f t="shared" si="7"/>
        <v>1987.1148803525045</v>
      </c>
      <c r="S18" s="307">
        <f>S8*S19</f>
        <v>2114.0902320188598</v>
      </c>
    </row>
    <row r="19" spans="4:19" x14ac:dyDescent="0.3">
      <c r="D19" s="353" t="s">
        <v>154</v>
      </c>
      <c r="E19" s="368">
        <f>E18/E8</f>
        <v>0.12573173198239412</v>
      </c>
      <c r="F19" s="369">
        <f>F18/F8</f>
        <v>0.11574099557806279</v>
      </c>
      <c r="G19" s="369">
        <f>G18/G8</f>
        <v>9.093074504974559E-2</v>
      </c>
      <c r="H19" s="369">
        <f>H18/H8</f>
        <v>8.401215117169257E-2</v>
      </c>
      <c r="I19" s="369">
        <f>I18/I8</f>
        <v>7.3137263616364093E-2</v>
      </c>
      <c r="J19" s="356">
        <f>AVERAGE(G19:I19)</f>
        <v>8.2693386612600742E-2</v>
      </c>
      <c r="K19" s="356">
        <f t="shared" ref="K19:S19" si="8">J19</f>
        <v>8.2693386612600742E-2</v>
      </c>
      <c r="L19" s="356">
        <f t="shared" si="8"/>
        <v>8.2693386612600742E-2</v>
      </c>
      <c r="M19" s="356">
        <f t="shared" si="8"/>
        <v>8.2693386612600742E-2</v>
      </c>
      <c r="N19" s="356">
        <f t="shared" si="8"/>
        <v>8.2693386612600742E-2</v>
      </c>
      <c r="O19" s="356">
        <f t="shared" si="8"/>
        <v>8.2693386612600742E-2</v>
      </c>
      <c r="P19" s="356">
        <f t="shared" si="8"/>
        <v>8.2693386612600742E-2</v>
      </c>
      <c r="Q19" s="356">
        <f t="shared" si="8"/>
        <v>8.2693386612600742E-2</v>
      </c>
      <c r="R19" s="356">
        <f t="shared" si="8"/>
        <v>8.2693386612600742E-2</v>
      </c>
      <c r="S19" s="356">
        <f t="shared" si="8"/>
        <v>8.2693386612600742E-2</v>
      </c>
    </row>
    <row r="20" spans="4:19" x14ac:dyDescent="0.3">
      <c r="E20" s="308"/>
      <c r="J20" s="309"/>
      <c r="K20" s="309"/>
      <c r="L20" s="309"/>
      <c r="M20" s="309"/>
      <c r="N20" s="309"/>
      <c r="O20" s="309"/>
      <c r="P20" s="309"/>
      <c r="Q20" s="309"/>
      <c r="R20" s="309"/>
      <c r="S20" s="309"/>
    </row>
    <row r="21" spans="4:19" x14ac:dyDescent="0.3">
      <c r="D21" s="94" t="s">
        <v>173</v>
      </c>
      <c r="E21" s="351">
        <f>'P&amp;L Inputs'!E18</f>
        <v>120.58</v>
      </c>
      <c r="F21" s="352">
        <f>'P&amp;L Inputs'!F18</f>
        <v>127.19</v>
      </c>
      <c r="G21" s="352">
        <f>'P&amp;L Inputs'!G18</f>
        <v>135.62</v>
      </c>
      <c r="H21" s="352">
        <f>'P&amp;L Inputs'!H18</f>
        <v>142.04</v>
      </c>
      <c r="I21" s="352">
        <f>'P&amp;L Inputs'!I18</f>
        <v>159.18</v>
      </c>
      <c r="J21" s="312">
        <f>-'Supporting Schedules'!J23</f>
        <v>181.85409999999999</v>
      </c>
      <c r="K21" s="312">
        <f>-'Supporting Schedules'!K23</f>
        <v>177.16567912240839</v>
      </c>
      <c r="L21" s="312">
        <f>-'Supporting Schedules'!L23</f>
        <v>172.90277028967824</v>
      </c>
      <c r="M21" s="312">
        <f>-'Supporting Schedules'!M23</f>
        <v>190.10683337153017</v>
      </c>
      <c r="N21" s="312">
        <f>-'Supporting Schedules'!N23</f>
        <v>184.25722089546232</v>
      </c>
      <c r="O21" s="312">
        <f>-'Supporting Schedules'!O23</f>
        <v>178.99175703102264</v>
      </c>
      <c r="P21" s="312">
        <f>-'Supporting Schedules'!P23</f>
        <v>193.57636585002331</v>
      </c>
      <c r="Q21" s="312">
        <f>-'Supporting Schedules'!Q23</f>
        <v>186.91981501413392</v>
      </c>
      <c r="R21" s="312">
        <f>-'Supporting Schedules'!R23</f>
        <v>180.9939758660561</v>
      </c>
      <c r="S21" s="312">
        <f>-'Supporting Schedules'!S23</f>
        <v>193.26286329260176</v>
      </c>
    </row>
    <row r="22" spans="4:19" x14ac:dyDescent="0.3">
      <c r="D22" s="353" t="s">
        <v>179</v>
      </c>
      <c r="E22" s="368">
        <f>E21/'Supporting Schedules'!E24</f>
        <v>5.1577303933100914E-2</v>
      </c>
      <c r="F22" s="369">
        <f>F21/'Supporting Schedules'!F24</f>
        <v>5.6105232047781423E-2</v>
      </c>
      <c r="G22" s="369">
        <f>G21/'Supporting Schedules'!G24</f>
        <v>6.0895881602816247E-2</v>
      </c>
      <c r="H22" s="369">
        <f>H21/'Supporting Schedules'!H24</f>
        <v>6.3715067509980697E-2</v>
      </c>
      <c r="I22" s="369">
        <f>I21/'Supporting Schedules'!I24</f>
        <v>7.0203447986910181E-2</v>
      </c>
      <c r="J22" s="356">
        <f>I22+0.01</f>
        <v>8.0203447986910176E-2</v>
      </c>
      <c r="K22" s="356">
        <f t="shared" ref="K22:L22" si="9">J22</f>
        <v>8.0203447986910176E-2</v>
      </c>
      <c r="L22" s="356">
        <f t="shared" si="9"/>
        <v>8.0203447986910176E-2</v>
      </c>
      <c r="M22" s="356">
        <f>L22+0.01</f>
        <v>9.0203447986910171E-2</v>
      </c>
      <c r="N22" s="356">
        <f t="shared" ref="N22:O22" si="10">M22</f>
        <v>9.0203447986910171E-2</v>
      </c>
      <c r="O22" s="356">
        <f t="shared" si="10"/>
        <v>9.0203447986910171E-2</v>
      </c>
      <c r="P22" s="356">
        <f>O22+0.01</f>
        <v>0.10020344798691017</v>
      </c>
      <c r="Q22" s="356">
        <f t="shared" ref="Q22:R22" si="11">P22</f>
        <v>0.10020344798691017</v>
      </c>
      <c r="R22" s="356">
        <f t="shared" si="11"/>
        <v>0.10020344798691017</v>
      </c>
      <c r="S22" s="356">
        <f>R22+0.01</f>
        <v>0.11020344798691016</v>
      </c>
    </row>
    <row r="23" spans="4:19" x14ac:dyDescent="0.3">
      <c r="D23" s="353"/>
      <c r="E23" s="308"/>
      <c r="J23" s="309"/>
      <c r="K23" s="309"/>
      <c r="L23" s="309"/>
      <c r="M23" s="309"/>
      <c r="N23" s="309"/>
      <c r="O23" s="309"/>
      <c r="P23" s="309"/>
      <c r="Q23" s="309"/>
      <c r="R23" s="309"/>
      <c r="S23" s="309"/>
    </row>
    <row r="24" spans="4:19" x14ac:dyDescent="0.3">
      <c r="D24" s="94" t="s">
        <v>158</v>
      </c>
      <c r="E24" s="351">
        <f>'P&amp;L Inputs'!E17</f>
        <v>21.02</v>
      </c>
      <c r="F24" s="352">
        <f>'P&amp;L Inputs'!F17</f>
        <v>16.760000000000002</v>
      </c>
      <c r="G24" s="352">
        <f>'P&amp;L Inputs'!G17</f>
        <v>12.16</v>
      </c>
      <c r="H24" s="352">
        <f>'P&amp;L Inputs'!H17</f>
        <v>16.239999999999998</v>
      </c>
      <c r="I24" s="352">
        <f>'P&amp;L Inputs'!I17</f>
        <v>27.4</v>
      </c>
      <c r="J24" s="312">
        <f>-'Supporting Schedules'!J30</f>
        <v>27.4</v>
      </c>
      <c r="K24" s="312">
        <f>-'Supporting Schedules'!K30</f>
        <v>27.4</v>
      </c>
      <c r="L24" s="312">
        <f>-'Supporting Schedules'!L30</f>
        <v>27.4</v>
      </c>
      <c r="M24" s="312">
        <f>-'Supporting Schedules'!M30</f>
        <v>27.4</v>
      </c>
      <c r="N24" s="312">
        <f>-'Supporting Schedules'!N30</f>
        <v>27.4</v>
      </c>
      <c r="O24" s="312">
        <f>-'Supporting Schedules'!O30</f>
        <v>27.4</v>
      </c>
      <c r="P24" s="312">
        <f>-'Supporting Schedules'!P30</f>
        <v>27.4</v>
      </c>
      <c r="Q24" s="312">
        <f>-'Supporting Schedules'!Q30</f>
        <v>27.4</v>
      </c>
      <c r="R24" s="312">
        <f>-'Supporting Schedules'!R30</f>
        <v>27.4</v>
      </c>
      <c r="S24" s="312">
        <f>-'Supporting Schedules'!S30</f>
        <v>27.4</v>
      </c>
    </row>
    <row r="25" spans="4:19" x14ac:dyDescent="0.3">
      <c r="D25" s="353" t="s">
        <v>159</v>
      </c>
      <c r="E25" s="368">
        <f>E24/'Supporting Schedules'!E29</f>
        <v>4.1073138323856423E-2</v>
      </c>
      <c r="F25" s="369">
        <f>F24/'Supporting Schedules'!F29</f>
        <v>0.42205993452530854</v>
      </c>
      <c r="G25" s="369">
        <f>G24/'Supporting Schedules'!G29</f>
        <v>2.9123655785213035E-2</v>
      </c>
      <c r="H25" s="369">
        <f>H24/'Supporting Schedules'!H29</f>
        <v>4.3181153447313138E-2</v>
      </c>
      <c r="I25" s="369">
        <f>I24/'Supporting Schedules'!I29</f>
        <v>0.21578201291541976</v>
      </c>
      <c r="J25" s="356">
        <f>I25</f>
        <v>0.21578201291541976</v>
      </c>
      <c r="K25" s="356">
        <f t="shared" ref="K25:S25" si="12">J25</f>
        <v>0.21578201291541976</v>
      </c>
      <c r="L25" s="356">
        <f t="shared" si="12"/>
        <v>0.21578201291541976</v>
      </c>
      <c r="M25" s="356">
        <f t="shared" si="12"/>
        <v>0.21578201291541976</v>
      </c>
      <c r="N25" s="356">
        <f t="shared" si="12"/>
        <v>0.21578201291541976</v>
      </c>
      <c r="O25" s="356">
        <f t="shared" si="12"/>
        <v>0.21578201291541976</v>
      </c>
      <c r="P25" s="356">
        <f t="shared" si="12"/>
        <v>0.21578201291541976</v>
      </c>
      <c r="Q25" s="356">
        <f t="shared" si="12"/>
        <v>0.21578201291541976</v>
      </c>
      <c r="R25" s="356">
        <f t="shared" si="12"/>
        <v>0.21578201291541976</v>
      </c>
      <c r="S25" s="356">
        <f t="shared" si="12"/>
        <v>0.21578201291541976</v>
      </c>
    </row>
    <row r="26" spans="4:19" x14ac:dyDescent="0.3">
      <c r="E26" s="308"/>
      <c r="J26" s="309"/>
      <c r="K26" s="309"/>
      <c r="L26" s="309"/>
      <c r="M26" s="309"/>
      <c r="N26" s="309"/>
      <c r="O26" s="309"/>
      <c r="P26" s="309"/>
      <c r="Q26" s="309"/>
      <c r="R26" s="309"/>
      <c r="S26" s="309"/>
    </row>
    <row r="27" spans="4:19" x14ac:dyDescent="0.3">
      <c r="D27" s="94" t="s">
        <v>160</v>
      </c>
      <c r="E27" s="354">
        <f>-'Income Statement'!E20/'Income Statement'!E19</f>
        <v>0.1261579234160598</v>
      </c>
      <c r="F27" s="355">
        <f>-'Income Statement'!F20/'Income Statement'!F19</f>
        <v>0.23026666666666679</v>
      </c>
      <c r="G27" s="355">
        <f>-'Income Statement'!G20/'Income Statement'!G19</f>
        <v>0.2262932105411358</v>
      </c>
      <c r="H27" s="355">
        <f>-'Income Statement'!H20/'Income Statement'!H19</f>
        <v>0.22820478982460776</v>
      </c>
      <c r="I27" s="355">
        <f>-'Income Statement'!I20/'Income Statement'!I19</f>
        <v>0.21955357183356705</v>
      </c>
      <c r="J27" s="356">
        <f>I27+0.005</f>
        <v>0.22455357183356706</v>
      </c>
      <c r="K27" s="356">
        <f t="shared" ref="K27:L27" si="13">J27</f>
        <v>0.22455357183356706</v>
      </c>
      <c r="L27" s="356">
        <f t="shared" si="13"/>
        <v>0.22455357183356706</v>
      </c>
      <c r="M27" s="356">
        <f t="shared" ref="M27:S27" si="14">L27+0.005</f>
        <v>0.22955357183356706</v>
      </c>
      <c r="N27" s="356">
        <f t="shared" ref="N27:O27" si="15">M27</f>
        <v>0.22955357183356706</v>
      </c>
      <c r="O27" s="356">
        <f t="shared" si="15"/>
        <v>0.22955357183356706</v>
      </c>
      <c r="P27" s="356">
        <f t="shared" si="14"/>
        <v>0.23455357183356706</v>
      </c>
      <c r="Q27" s="356">
        <f t="shared" ref="Q27:R27" si="16">P27</f>
        <v>0.23455357183356706</v>
      </c>
      <c r="R27" s="356">
        <f t="shared" si="16"/>
        <v>0.23455357183356706</v>
      </c>
      <c r="S27" s="356">
        <f t="shared" si="14"/>
        <v>0.23955357183356707</v>
      </c>
    </row>
    <row r="28" spans="4:19" x14ac:dyDescent="0.3">
      <c r="E28" s="308"/>
      <c r="J28" s="309"/>
      <c r="K28" s="309"/>
      <c r="L28" s="309"/>
      <c r="M28" s="309"/>
      <c r="N28" s="309"/>
      <c r="O28" s="309"/>
      <c r="P28" s="309"/>
      <c r="Q28" s="309"/>
      <c r="R28" s="309"/>
      <c r="S28" s="309"/>
    </row>
    <row r="29" spans="4:19" x14ac:dyDescent="0.3">
      <c r="D29" s="94" t="s">
        <v>246</v>
      </c>
      <c r="E29" s="357">
        <f>'Cash Flow Statement'!E28</f>
        <v>-568.11</v>
      </c>
      <c r="F29" s="358">
        <f>'Cash Flow Statement'!F28</f>
        <v>-388.08</v>
      </c>
      <c r="G29" s="358">
        <f>'Cash Flow Statement'!G28</f>
        <v>-443.52</v>
      </c>
      <c r="H29" s="358">
        <f>'Cash Flow Statement'!H28</f>
        <v>-623.70000000000005</v>
      </c>
      <c r="I29" s="358">
        <f>'Cash Flow Statement'!I28</f>
        <v>-859.32</v>
      </c>
      <c r="J29" s="307">
        <f>-'Income Statement'!J21*'Cost Buildup'!J30</f>
        <v>-880.77411167839387</v>
      </c>
      <c r="K29" s="307">
        <f>-'Income Statement'!K21*'Cost Buildup'!K30</f>
        <v>-1028.4228531112112</v>
      </c>
      <c r="L29" s="307">
        <f>-'Income Statement'!L21*'Cost Buildup'!L30</f>
        <v>-1180.8274021478967</v>
      </c>
      <c r="M29" s="307">
        <f>-'Income Statement'!M21*'Cost Buildup'!M30</f>
        <v>-1319.4252028086389</v>
      </c>
      <c r="N29" s="307">
        <f>-'Income Statement'!N21*'Cost Buildup'!N30</f>
        <v>-1475.5156368718701</v>
      </c>
      <c r="O29" s="307">
        <f>-'Income Statement'!O21*'Cost Buildup'!O30</f>
        <v>-1630.7655760420096</v>
      </c>
      <c r="P29" s="307">
        <f>-'Income Statement'!P21*'Cost Buildup'!P30</f>
        <v>-1764.7701227066605</v>
      </c>
      <c r="Q29" s="307">
        <f>-'Income Statement'!Q21*'Cost Buildup'!Q30</f>
        <v>-1913.9118187005129</v>
      </c>
      <c r="R29" s="307">
        <f>-'Income Statement'!R21*'Cost Buildup'!R30</f>
        <v>-2058.1874230293788</v>
      </c>
      <c r="S29" s="307">
        <f>-'Income Statement'!S21*'Cost Buildup'!S30</f>
        <v>-2175.7942733679538</v>
      </c>
    </row>
    <row r="30" spans="4:19" x14ac:dyDescent="0.3">
      <c r="D30" s="353" t="s">
        <v>247</v>
      </c>
      <c r="E30" s="368">
        <f>-'Cash Flow Statement'!E28/'Income Statement'!E21</f>
        <v>0.8051331472059633</v>
      </c>
      <c r="F30" s="369">
        <f>-'Cash Flow Statement'!F28/'Income Statement'!F21</f>
        <v>0.6111207344534908</v>
      </c>
      <c r="G30" s="369">
        <f>-'Cash Flow Statement'!G28/'Income Statement'!G21</f>
        <v>0.4747489884609617</v>
      </c>
      <c r="H30" s="369">
        <f>-'Cash Flow Statement'!H28/'Income Statement'!H21</f>
        <v>0.50783699059561149</v>
      </c>
      <c r="I30" s="369">
        <f>-'Cash Flow Statement'!I28/'Income Statement'!I21</f>
        <v>0.49943623661788505</v>
      </c>
      <c r="J30" s="356">
        <f>AVERAGE(G30:I30)</f>
        <v>0.4940074052248194</v>
      </c>
      <c r="K30" s="356">
        <f t="shared" ref="K30:S30" si="17">J30</f>
        <v>0.4940074052248194</v>
      </c>
      <c r="L30" s="356">
        <f t="shared" si="17"/>
        <v>0.4940074052248194</v>
      </c>
      <c r="M30" s="356">
        <f t="shared" si="17"/>
        <v>0.4940074052248194</v>
      </c>
      <c r="N30" s="356">
        <f t="shared" si="17"/>
        <v>0.4940074052248194</v>
      </c>
      <c r="O30" s="356">
        <f t="shared" si="17"/>
        <v>0.4940074052248194</v>
      </c>
      <c r="P30" s="356">
        <f t="shared" si="17"/>
        <v>0.4940074052248194</v>
      </c>
      <c r="Q30" s="356">
        <f t="shared" si="17"/>
        <v>0.4940074052248194</v>
      </c>
      <c r="R30" s="356">
        <f t="shared" si="17"/>
        <v>0.4940074052248194</v>
      </c>
      <c r="S30" s="356">
        <f t="shared" si="17"/>
        <v>0.4940074052248194</v>
      </c>
    </row>
  </sheetData>
  <mergeCells count="1">
    <mergeCell ref="D4:S4"/>
  </mergeCells>
  <pageMargins left="0.7" right="0.7" top="0.75" bottom="0.75" header="0.3" footer="0.3"/>
  <ignoredErrors>
    <ignoredError sqref="E10:I10" formulaRange="1"/>
    <ignoredError sqref="M27 P27 M22 P22" formula="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7D0A0-8F6B-4F0A-9066-CE1808B60A24}">
  <dimension ref="D3:U30"/>
  <sheetViews>
    <sheetView showGridLines="0" topLeftCell="A10" workbookViewId="0">
      <selection activeCell="F24" sqref="F24"/>
    </sheetView>
  </sheetViews>
  <sheetFormatPr defaultRowHeight="14.4" x14ac:dyDescent="0.3"/>
  <cols>
    <col min="1" max="3" width="1.33203125" customWidth="1"/>
    <col min="4" max="4" width="35.77734375" customWidth="1"/>
  </cols>
  <sheetData>
    <row r="3" spans="4:21" x14ac:dyDescent="0.3">
      <c r="R3" s="124" t="s">
        <v>258</v>
      </c>
    </row>
    <row r="4" spans="4:21" ht="16.8" customHeight="1" x14ac:dyDescent="0.3">
      <c r="D4" s="378" t="s">
        <v>204</v>
      </c>
      <c r="E4" s="378"/>
      <c r="F4" s="378"/>
      <c r="G4" s="378"/>
      <c r="H4" s="378"/>
      <c r="I4" s="378"/>
      <c r="J4" s="378"/>
      <c r="K4" s="378"/>
      <c r="L4" s="378"/>
      <c r="M4" s="378"/>
      <c r="N4" s="378"/>
      <c r="O4" s="378"/>
      <c r="P4" s="378"/>
      <c r="Q4" s="378"/>
      <c r="R4" s="378"/>
      <c r="S4" s="378"/>
    </row>
    <row r="5" spans="4:21" x14ac:dyDescent="0.3">
      <c r="D5" s="1"/>
      <c r="E5" s="33">
        <v>2020</v>
      </c>
      <c r="F5" s="5">
        <f t="shared" ref="F5:S5" si="0">E5+1</f>
        <v>2021</v>
      </c>
      <c r="G5" s="5">
        <f t="shared" si="0"/>
        <v>2022</v>
      </c>
      <c r="H5" s="5">
        <f t="shared" si="0"/>
        <v>2023</v>
      </c>
      <c r="I5" s="5">
        <f t="shared" si="0"/>
        <v>2024</v>
      </c>
      <c r="J5" s="5">
        <f t="shared" si="0"/>
        <v>2025</v>
      </c>
      <c r="K5" s="5">
        <f t="shared" si="0"/>
        <v>2026</v>
      </c>
      <c r="L5" s="5">
        <f t="shared" si="0"/>
        <v>2027</v>
      </c>
      <c r="M5" s="5">
        <f t="shared" si="0"/>
        <v>2028</v>
      </c>
      <c r="N5" s="5">
        <f t="shared" si="0"/>
        <v>2029</v>
      </c>
      <c r="O5" s="5">
        <f t="shared" si="0"/>
        <v>2030</v>
      </c>
      <c r="P5" s="5">
        <f t="shared" si="0"/>
        <v>2031</v>
      </c>
      <c r="Q5" s="5">
        <f t="shared" si="0"/>
        <v>2032</v>
      </c>
      <c r="R5" s="5">
        <f t="shared" si="0"/>
        <v>2033</v>
      </c>
      <c r="S5" s="5">
        <f t="shared" si="0"/>
        <v>2034</v>
      </c>
    </row>
    <row r="6" spans="4:21" x14ac:dyDescent="0.3">
      <c r="D6" s="8" t="s">
        <v>1</v>
      </c>
      <c r="E6" s="34" t="s">
        <v>110</v>
      </c>
      <c r="F6" s="10" t="s">
        <v>110</v>
      </c>
      <c r="G6" s="10" t="s">
        <v>110</v>
      </c>
      <c r="H6" s="10" t="s">
        <v>110</v>
      </c>
      <c r="I6" s="10" t="s">
        <v>110</v>
      </c>
      <c r="J6" s="93" t="s">
        <v>111</v>
      </c>
      <c r="K6" s="93" t="s">
        <v>111</v>
      </c>
      <c r="L6" s="93" t="s">
        <v>111</v>
      </c>
      <c r="M6" s="93" t="s">
        <v>111</v>
      </c>
      <c r="N6" s="93" t="s">
        <v>111</v>
      </c>
      <c r="O6" s="93" t="s">
        <v>111</v>
      </c>
      <c r="P6" s="93" t="s">
        <v>111</v>
      </c>
      <c r="Q6" s="93" t="s">
        <v>111</v>
      </c>
      <c r="R6" s="93" t="s">
        <v>111</v>
      </c>
      <c r="S6" s="93" t="s">
        <v>111</v>
      </c>
    </row>
    <row r="7" spans="4:21" x14ac:dyDescent="0.3">
      <c r="E7" s="100"/>
      <c r="J7" s="90"/>
      <c r="K7" s="90"/>
      <c r="L7" s="90"/>
      <c r="M7" s="90"/>
      <c r="N7" s="90"/>
      <c r="O7" s="90"/>
      <c r="P7" s="90"/>
      <c r="Q7" s="90"/>
      <c r="R7" s="90"/>
      <c r="S7" s="90"/>
    </row>
    <row r="8" spans="4:21" x14ac:dyDescent="0.3">
      <c r="D8" s="1" t="s">
        <v>225</v>
      </c>
      <c r="E8" s="75">
        <f>'CF Inputs'!E26</f>
        <v>148.59</v>
      </c>
      <c r="F8" s="42">
        <f>'CF Inputs'!F26</f>
        <v>58.18</v>
      </c>
      <c r="G8" s="42">
        <f>'CF Inputs'!G26</f>
        <v>-168.64</v>
      </c>
      <c r="H8" s="42">
        <f>'CF Inputs'!H26</f>
        <v>-363.41</v>
      </c>
      <c r="I8" s="42">
        <f>'CF Inputs'!I26</f>
        <v>-520.92999999999995</v>
      </c>
      <c r="J8" s="67">
        <f>'Balance Sheet'!I12-'Balance Sheet'!J12</f>
        <v>-285.33522024707872</v>
      </c>
      <c r="K8" s="67">
        <f>'Balance Sheet'!J12-'Balance Sheet'!K12</f>
        <v>-359.82777462550803</v>
      </c>
      <c r="L8" s="67">
        <f>'Balance Sheet'!K12-'Balance Sheet'!L12</f>
        <v>-371.96278928574884</v>
      </c>
      <c r="M8" s="67">
        <f>'Balance Sheet'!L12-'Balance Sheet'!M12</f>
        <v>-379.31333042886172</v>
      </c>
      <c r="N8" s="67">
        <f>'Balance Sheet'!M12-'Balance Sheet'!N12</f>
        <v>-382.05564920269717</v>
      </c>
      <c r="O8" s="67">
        <f>'Balance Sheet'!N12-'Balance Sheet'!O12</f>
        <v>-380.52070208201985</v>
      </c>
      <c r="P8" s="67">
        <f>'Balance Sheet'!O12-'Balance Sheet'!P12</f>
        <v>-375.15077612239111</v>
      </c>
      <c r="Q8" s="67">
        <f>'Balance Sheet'!P12-'Balance Sheet'!Q12</f>
        <v>-366.45785286222599</v>
      </c>
      <c r="R8" s="67">
        <f>'Balance Sheet'!Q12-'Balance Sheet'!R12</f>
        <v>-354.98664054788605</v>
      </c>
      <c r="S8" s="67">
        <f>'Balance Sheet'!R12-'Balance Sheet'!S12</f>
        <v>-341.28392591668853</v>
      </c>
      <c r="T8" s="446"/>
      <c r="U8" s="446"/>
    </row>
    <row r="9" spans="4:21" x14ac:dyDescent="0.3">
      <c r="D9" s="1" t="s">
        <v>184</v>
      </c>
      <c r="E9" s="75">
        <f>'CF Inputs'!E27</f>
        <v>55.65</v>
      </c>
      <c r="F9" s="42">
        <f>'CF Inputs'!F27</f>
        <v>12.75</v>
      </c>
      <c r="G9" s="42">
        <f>'CF Inputs'!G27</f>
        <v>-172.87</v>
      </c>
      <c r="H9" s="42">
        <f>'CF Inputs'!H27</f>
        <v>-166.24</v>
      </c>
      <c r="I9" s="42">
        <f>'CF Inputs'!I27</f>
        <v>-45.99</v>
      </c>
      <c r="J9" s="67">
        <f>'Balance Sheet'!I13-'Balance Sheet'!J13</f>
        <v>-292.47496584943804</v>
      </c>
      <c r="K9" s="67">
        <f>'Balance Sheet'!J13-'Balance Sheet'!K13</f>
        <v>-188.53243714144628</v>
      </c>
      <c r="L9" s="67">
        <f>'Balance Sheet'!K13-'Balance Sheet'!L13</f>
        <v>-194.89060082412311</v>
      </c>
      <c r="M9" s="67">
        <f>'Balance Sheet'!L13-'Balance Sheet'!M13</f>
        <v>-198.74193063728717</v>
      </c>
      <c r="N9" s="67">
        <f>'Balance Sheet'!M13-'Balance Sheet'!N13</f>
        <v>-200.17877370029987</v>
      </c>
      <c r="O9" s="67">
        <f>'Balance Sheet'!N13-'Balance Sheet'!O13</f>
        <v>-199.37453527861044</v>
      </c>
      <c r="P9" s="67">
        <f>'Balance Sheet'!O13-'Balance Sheet'!P13</f>
        <v>-196.56095250420867</v>
      </c>
      <c r="Q9" s="67">
        <f>'Balance Sheet'!P13-'Balance Sheet'!Q13</f>
        <v>-192.00627906403815</v>
      </c>
      <c r="R9" s="67">
        <f>'Balance Sheet'!Q13-'Balance Sheet'!R13</f>
        <v>-185.99591586503175</v>
      </c>
      <c r="S9" s="67">
        <f>'Balance Sheet'!R13-'Balance Sheet'!S13</f>
        <v>-178.81635284335516</v>
      </c>
    </row>
    <row r="10" spans="4:21" x14ac:dyDescent="0.3">
      <c r="D10" s="1" t="s">
        <v>226</v>
      </c>
      <c r="E10" s="75">
        <f>'CF Inputs'!E30</f>
        <v>-149.94999999999999</v>
      </c>
      <c r="F10" s="42">
        <f>'CF Inputs'!F30</f>
        <v>31.42</v>
      </c>
      <c r="G10" s="42">
        <f>'CF Inputs'!G30</f>
        <v>273.16000000000003</v>
      </c>
      <c r="H10" s="42">
        <f>'CF Inputs'!H30</f>
        <v>169.46</v>
      </c>
      <c r="I10" s="42">
        <f>'CF Inputs'!I30</f>
        <v>285.25</v>
      </c>
      <c r="J10" s="66">
        <f>'Balance Sheet'!J27-'Balance Sheet'!I27</f>
        <v>30.378928839439823</v>
      </c>
      <c r="K10" s="66">
        <f>'Balance Sheet'!K27-'Balance Sheet'!J27</f>
        <v>680.88576101009039</v>
      </c>
      <c r="L10" s="66">
        <f>'Balance Sheet'!L27-'Balance Sheet'!K27</f>
        <v>96.505293056254686</v>
      </c>
      <c r="M10" s="66">
        <f>'Balance Sheet'!M27-'Balance Sheet'!L27</f>
        <v>32.924365640150882</v>
      </c>
      <c r="N10" s="66">
        <f>'Balance Sheet'!N27-'Balance Sheet'!M27</f>
        <v>519.15020770637011</v>
      </c>
      <c r="O10" s="66">
        <f>'Balance Sheet'!O27-'Balance Sheet'!N27</f>
        <v>168.94118333027973</v>
      </c>
      <c r="P10" s="66">
        <f>'Balance Sheet'!P27-'Balance Sheet'!O27</f>
        <v>259.64453920576898</v>
      </c>
      <c r="Q10" s="66">
        <f>'Balance Sheet'!Q27-'Balance Sheet'!P27</f>
        <v>253.62810475355718</v>
      </c>
      <c r="R10" s="66">
        <f>'Balance Sheet'!R27-'Balance Sheet'!Q27</f>
        <v>245.68879654720467</v>
      </c>
      <c r="S10" s="66">
        <f>'Balance Sheet'!S27-'Balance Sheet'!R27</f>
        <v>236.20504960401558</v>
      </c>
    </row>
    <row r="11" spans="4:21" x14ac:dyDescent="0.3">
      <c r="D11" s="1" t="s">
        <v>227</v>
      </c>
      <c r="E11" s="75">
        <f>SUM('CF Inputs'!E28:E29,'CF Inputs'!E31:E33)</f>
        <v>-41</v>
      </c>
      <c r="F11" s="42">
        <f>SUM('CF Inputs'!F28:F29,'CF Inputs'!F31:F33)</f>
        <v>-1.1699999999999946</v>
      </c>
      <c r="G11" s="42">
        <f>SUM('CF Inputs'!G28:G29,'CF Inputs'!G31:G33)</f>
        <v>2.5200000000000005</v>
      </c>
      <c r="H11" s="42">
        <f>SUM('CF Inputs'!H28:H29,'CF Inputs'!H31:H33)</f>
        <v>104.04</v>
      </c>
      <c r="I11" s="42">
        <f>SUM('CF Inputs'!I28:I29,'CF Inputs'!I31:I33)</f>
        <v>97.829999999999984</v>
      </c>
      <c r="J11" s="274">
        <v>0</v>
      </c>
      <c r="K11" s="274">
        <v>0</v>
      </c>
      <c r="L11" s="274">
        <v>0</v>
      </c>
      <c r="M11" s="274">
        <v>0</v>
      </c>
      <c r="N11" s="274">
        <v>0</v>
      </c>
      <c r="O11" s="274">
        <v>0</v>
      </c>
      <c r="P11" s="274">
        <v>0</v>
      </c>
      <c r="Q11" s="274">
        <v>0</v>
      </c>
      <c r="R11" s="274">
        <v>0</v>
      </c>
      <c r="S11" s="274">
        <v>0</v>
      </c>
    </row>
    <row r="12" spans="4:21" x14ac:dyDescent="0.3">
      <c r="D12" s="99" t="s">
        <v>65</v>
      </c>
      <c r="E12" s="106">
        <f t="shared" ref="E12:I12" si="1">SUM(E8:E11)</f>
        <v>13.29000000000002</v>
      </c>
      <c r="F12" s="38">
        <f t="shared" si="1"/>
        <v>101.18</v>
      </c>
      <c r="G12" s="38">
        <f t="shared" si="1"/>
        <v>-65.82999999999997</v>
      </c>
      <c r="H12" s="38">
        <f t="shared" si="1"/>
        <v>-256.15000000000003</v>
      </c>
      <c r="I12" s="38">
        <f t="shared" si="1"/>
        <v>-183.83999999999997</v>
      </c>
      <c r="J12" s="91">
        <f t="shared" ref="J12:S12" si="2">SUM(J8:J11)</f>
        <v>-547.43125725707694</v>
      </c>
      <c r="K12" s="91">
        <f t="shared" si="2"/>
        <v>132.52554924313608</v>
      </c>
      <c r="L12" s="91">
        <f t="shared" si="2"/>
        <v>-470.34809705361727</v>
      </c>
      <c r="M12" s="91">
        <f t="shared" si="2"/>
        <v>-545.13089542599801</v>
      </c>
      <c r="N12" s="91">
        <f t="shared" si="2"/>
        <v>-63.084215196626928</v>
      </c>
      <c r="O12" s="91">
        <f t="shared" si="2"/>
        <v>-410.95405403035056</v>
      </c>
      <c r="P12" s="91">
        <f t="shared" si="2"/>
        <v>-312.0671894208308</v>
      </c>
      <c r="Q12" s="91">
        <f t="shared" si="2"/>
        <v>-304.83602717270696</v>
      </c>
      <c r="R12" s="91">
        <f t="shared" si="2"/>
        <v>-295.29375986571313</v>
      </c>
      <c r="S12" s="91">
        <f t="shared" si="2"/>
        <v>-283.89522915602811</v>
      </c>
    </row>
    <row r="13" spans="4:21" x14ac:dyDescent="0.3">
      <c r="D13" s="1"/>
      <c r="E13" s="35"/>
      <c r="F13" s="1"/>
      <c r="G13" s="1"/>
      <c r="H13" s="1"/>
      <c r="I13" s="1"/>
      <c r="J13" s="49"/>
      <c r="K13" s="49"/>
      <c r="L13" s="49"/>
      <c r="M13" s="49"/>
      <c r="N13" s="49"/>
      <c r="O13" s="49"/>
      <c r="P13" s="49"/>
      <c r="Q13" s="49"/>
      <c r="R13" s="49"/>
      <c r="S13" s="49"/>
    </row>
    <row r="14" spans="4:21" x14ac:dyDescent="0.3">
      <c r="D14" s="1" t="s">
        <v>228</v>
      </c>
      <c r="E14" s="105">
        <f>'Balance Sheet'!E12/'Income Statement'!E8*365</f>
        <v>80.556694179853409</v>
      </c>
      <c r="F14" s="26">
        <f>'Balance Sheet'!F12/'Income Statement'!F8*365</f>
        <v>91.08843186363552</v>
      </c>
      <c r="G14" s="26">
        <f>'Balance Sheet'!G12/'Income Statement'!G8*365</f>
        <v>74.408805133357077</v>
      </c>
      <c r="H14" s="26">
        <f>'Balance Sheet'!H12/'Income Statement'!H8*365</f>
        <v>75.005410385108775</v>
      </c>
      <c r="I14" s="26">
        <f>'Balance Sheet'!I12/'Income Statement'!I8*365</f>
        <v>84.570648430034893</v>
      </c>
      <c r="J14" s="230">
        <f>AVERAGE(E14:I14)</f>
        <v>81.125997998397935</v>
      </c>
      <c r="K14" s="230">
        <f t="shared" ref="K14:S14" si="3">J14</f>
        <v>81.125997998397935</v>
      </c>
      <c r="L14" s="230">
        <f t="shared" si="3"/>
        <v>81.125997998397935</v>
      </c>
      <c r="M14" s="230">
        <f t="shared" si="3"/>
        <v>81.125997998397935</v>
      </c>
      <c r="N14" s="230">
        <f t="shared" si="3"/>
        <v>81.125997998397935</v>
      </c>
      <c r="O14" s="230">
        <f t="shared" si="3"/>
        <v>81.125997998397935</v>
      </c>
      <c r="P14" s="230">
        <f t="shared" si="3"/>
        <v>81.125997998397935</v>
      </c>
      <c r="Q14" s="230">
        <f t="shared" si="3"/>
        <v>81.125997998397935</v>
      </c>
      <c r="R14" s="230">
        <f t="shared" si="3"/>
        <v>81.125997998397935</v>
      </c>
      <c r="S14" s="230">
        <f t="shared" si="3"/>
        <v>81.125997998397935</v>
      </c>
    </row>
    <row r="15" spans="4:21" x14ac:dyDescent="0.3">
      <c r="D15" s="1" t="s">
        <v>229</v>
      </c>
      <c r="E15" s="105">
        <f>-'Balance Sheet'!E13/'Income Statement'!E9*365</f>
        <v>62.485786481364507</v>
      </c>
      <c r="F15" s="26">
        <f>-'Balance Sheet'!F13/'Income Statement'!F9*365</f>
        <v>74.516992205874899</v>
      </c>
      <c r="G15" s="26">
        <f>-'Balance Sheet'!G13/'Income Statement'!G9*365</f>
        <v>65.543696861091362</v>
      </c>
      <c r="H15" s="26">
        <f>-'Balance Sheet'!H13/'Income Statement'!H9*365</f>
        <v>63.156464695204619</v>
      </c>
      <c r="I15" s="26">
        <f>-'Balance Sheet'!I13/'Income Statement'!I9*365</f>
        <v>60.063603376931233</v>
      </c>
      <c r="J15" s="230">
        <f>AVERAGE(E15:I15)</f>
        <v>65.153308724093321</v>
      </c>
      <c r="K15" s="230">
        <f t="shared" ref="K15:S15" si="4">J15</f>
        <v>65.153308724093321</v>
      </c>
      <c r="L15" s="230">
        <f t="shared" si="4"/>
        <v>65.153308724093321</v>
      </c>
      <c r="M15" s="230">
        <f t="shared" si="4"/>
        <v>65.153308724093321</v>
      </c>
      <c r="N15" s="230">
        <f t="shared" si="4"/>
        <v>65.153308724093321</v>
      </c>
      <c r="O15" s="230">
        <f t="shared" si="4"/>
        <v>65.153308724093321</v>
      </c>
      <c r="P15" s="230">
        <f t="shared" si="4"/>
        <v>65.153308724093321</v>
      </c>
      <c r="Q15" s="230">
        <f t="shared" si="4"/>
        <v>65.153308724093321</v>
      </c>
      <c r="R15" s="230">
        <f t="shared" si="4"/>
        <v>65.153308724093321</v>
      </c>
      <c r="S15" s="230">
        <f t="shared" si="4"/>
        <v>65.153308724093321</v>
      </c>
    </row>
    <row r="16" spans="4:21" x14ac:dyDescent="0.3">
      <c r="D16" s="1" t="s">
        <v>230</v>
      </c>
      <c r="E16" s="105">
        <f>-'Balance Sheet'!E27/'Income Statement'!E9*365</f>
        <v>75.487826940586473</v>
      </c>
      <c r="F16" s="26">
        <f>-'Balance Sheet'!F27/'Income Statement'!F9*365</f>
        <v>96.548114429624903</v>
      </c>
      <c r="G16" s="26">
        <f>-'Balance Sheet'!G27/'Income Statement'!G9*365</f>
        <v>88.840756142930886</v>
      </c>
      <c r="H16" s="26">
        <f>-'Balance Sheet'!H27/'Income Statement'!H9*365</f>
        <v>80.338131783123856</v>
      </c>
      <c r="I16" s="26">
        <f>-'Balance Sheet'!I27/'Income Statement'!I9*365</f>
        <v>89.102092907196791</v>
      </c>
      <c r="J16" s="230">
        <f>AVERAGE(E16:I16)</f>
        <v>86.063384440692587</v>
      </c>
      <c r="K16" s="230">
        <f t="shared" ref="K16:S16" si="5">J16</f>
        <v>86.063384440692587</v>
      </c>
      <c r="L16" s="230">
        <f t="shared" si="5"/>
        <v>86.063384440692587</v>
      </c>
      <c r="M16" s="230">
        <f t="shared" si="5"/>
        <v>86.063384440692587</v>
      </c>
      <c r="N16" s="230">
        <f t="shared" si="5"/>
        <v>86.063384440692587</v>
      </c>
      <c r="O16" s="230">
        <f t="shared" si="5"/>
        <v>86.063384440692587</v>
      </c>
      <c r="P16" s="230">
        <f t="shared" si="5"/>
        <v>86.063384440692587</v>
      </c>
      <c r="Q16" s="230">
        <f t="shared" si="5"/>
        <v>86.063384440692587</v>
      </c>
      <c r="R16" s="230">
        <f t="shared" si="5"/>
        <v>86.063384440692587</v>
      </c>
      <c r="S16" s="230">
        <f t="shared" si="5"/>
        <v>86.063384440692587</v>
      </c>
    </row>
    <row r="17" spans="4:19" x14ac:dyDescent="0.3">
      <c r="D17" s="1"/>
      <c r="E17" s="35"/>
      <c r="F17" s="1"/>
      <c r="G17" s="1"/>
      <c r="H17" s="1"/>
      <c r="I17" s="1"/>
      <c r="J17" s="49"/>
      <c r="K17" s="49"/>
      <c r="L17" s="49"/>
      <c r="M17" s="49"/>
      <c r="N17" s="49"/>
      <c r="O17" s="49"/>
      <c r="P17" s="49"/>
      <c r="Q17" s="49"/>
      <c r="R17" s="49"/>
      <c r="S17" s="49"/>
    </row>
    <row r="18" spans="4:19" x14ac:dyDescent="0.3">
      <c r="D18" s="6" t="s">
        <v>231</v>
      </c>
      <c r="E18" s="106">
        <f t="shared" ref="E18:S18" si="6">E14+E15-E16</f>
        <v>67.55465372063145</v>
      </c>
      <c r="F18" s="38">
        <f t="shared" si="6"/>
        <v>69.057309639885531</v>
      </c>
      <c r="G18" s="38">
        <f t="shared" si="6"/>
        <v>51.11174585151754</v>
      </c>
      <c r="H18" s="38">
        <f t="shared" si="6"/>
        <v>57.823743297189537</v>
      </c>
      <c r="I18" s="38">
        <f t="shared" si="6"/>
        <v>55.532158899769328</v>
      </c>
      <c r="J18" s="110">
        <f t="shared" si="6"/>
        <v>60.215922281798655</v>
      </c>
      <c r="K18" s="110">
        <f t="shared" si="6"/>
        <v>60.215922281798655</v>
      </c>
      <c r="L18" s="110">
        <f t="shared" si="6"/>
        <v>60.215922281798655</v>
      </c>
      <c r="M18" s="110">
        <f>M14+M15-M16</f>
        <v>60.215922281798655</v>
      </c>
      <c r="N18" s="110">
        <f t="shared" si="6"/>
        <v>60.215922281798655</v>
      </c>
      <c r="O18" s="110">
        <f t="shared" si="6"/>
        <v>60.215922281798655</v>
      </c>
      <c r="P18" s="110">
        <f t="shared" si="6"/>
        <v>60.215922281798655</v>
      </c>
      <c r="Q18" s="110">
        <f t="shared" si="6"/>
        <v>60.215922281798655</v>
      </c>
      <c r="R18" s="110">
        <f t="shared" si="6"/>
        <v>60.215922281798655</v>
      </c>
      <c r="S18" s="110">
        <f t="shared" si="6"/>
        <v>60.215922281798655</v>
      </c>
    </row>
    <row r="19" spans="4:19" x14ac:dyDescent="0.3">
      <c r="D19" s="1"/>
      <c r="E19" s="35"/>
      <c r="F19" s="1"/>
      <c r="G19" s="1"/>
      <c r="H19" s="1"/>
      <c r="I19" s="1"/>
      <c r="J19" s="49"/>
      <c r="K19" s="49"/>
      <c r="L19" s="49"/>
      <c r="M19" s="49"/>
      <c r="N19" s="49"/>
      <c r="O19" s="49"/>
      <c r="P19" s="49"/>
      <c r="Q19" s="49"/>
      <c r="R19" s="49"/>
      <c r="S19" s="49"/>
    </row>
    <row r="20" spans="4:19" x14ac:dyDescent="0.3">
      <c r="D20" s="5" t="s">
        <v>232</v>
      </c>
      <c r="E20" s="35"/>
      <c r="F20" s="1"/>
      <c r="G20" s="1"/>
      <c r="H20" s="1"/>
      <c r="I20" s="1"/>
      <c r="J20" s="49"/>
      <c r="K20" s="49"/>
      <c r="L20" s="49"/>
      <c r="M20" s="49"/>
      <c r="N20" s="49"/>
      <c r="O20" s="49"/>
      <c r="P20" s="49"/>
      <c r="Q20" s="49"/>
      <c r="R20" s="49"/>
      <c r="S20" s="49"/>
    </row>
    <row r="21" spans="4:19" x14ac:dyDescent="0.3">
      <c r="D21" s="1" t="s">
        <v>233</v>
      </c>
      <c r="E21" s="109"/>
      <c r="F21" s="43">
        <f t="shared" ref="F21:I21" si="7">E24</f>
        <v>2337.8500000000004</v>
      </c>
      <c r="G21" s="43">
        <f t="shared" si="7"/>
        <v>2266.9899999999998</v>
      </c>
      <c r="H21" s="43">
        <f t="shared" si="7"/>
        <v>2227.08</v>
      </c>
      <c r="I21" s="43">
        <f t="shared" si="7"/>
        <v>2229.3000000000002</v>
      </c>
      <c r="J21" s="67">
        <f t="shared" ref="J21:S21" si="8">I24</f>
        <v>2267.41</v>
      </c>
      <c r="K21" s="67">
        <f t="shared" si="8"/>
        <v>2208.9533999999999</v>
      </c>
      <c r="L21" s="67">
        <f t="shared" si="8"/>
        <v>2155.8022083775913</v>
      </c>
      <c r="M21" s="67">
        <f t="shared" si="8"/>
        <v>2107.533998025413</v>
      </c>
      <c r="N21" s="67">
        <f t="shared" si="8"/>
        <v>2042.6848973910701</v>
      </c>
      <c r="O21" s="67">
        <f t="shared" si="8"/>
        <v>1984.3116978964811</v>
      </c>
      <c r="P21" s="67">
        <f t="shared" si="8"/>
        <v>1931.833382373336</v>
      </c>
      <c r="Q21" s="67">
        <f t="shared" si="8"/>
        <v>1865.4030252387297</v>
      </c>
      <c r="R21" s="67">
        <f t="shared" si="8"/>
        <v>1806.2649489835899</v>
      </c>
      <c r="S21" s="67">
        <f t="shared" si="8"/>
        <v>1753.6916205703228</v>
      </c>
    </row>
    <row r="22" spans="4:19" x14ac:dyDescent="0.3">
      <c r="D22" s="1" t="s">
        <v>234</v>
      </c>
      <c r="E22" s="109"/>
      <c r="F22" s="447">
        <f>F24-F21-F23</f>
        <v>56.329999999999416</v>
      </c>
      <c r="G22" s="447">
        <f t="shared" ref="F22:I22" si="9">G24-G21-G23</f>
        <v>95.71000000000015</v>
      </c>
      <c r="H22" s="447">
        <f t="shared" si="9"/>
        <v>144.26000000000025</v>
      </c>
      <c r="I22" s="447">
        <f t="shared" si="9"/>
        <v>197.28999999999968</v>
      </c>
      <c r="J22" s="67">
        <f>AVERAGE(F22:I22)</f>
        <v>123.39749999999988</v>
      </c>
      <c r="K22" s="66">
        <f>J22*(1+0.5%)</f>
        <v>124.01448749999986</v>
      </c>
      <c r="L22" s="66">
        <f>K22*(1+0.5%)</f>
        <v>124.63455993749984</v>
      </c>
      <c r="M22" s="66">
        <f>L22*(1+0.5%)</f>
        <v>125.25773273718733</v>
      </c>
      <c r="N22" s="66">
        <f t="shared" ref="N22:S22" si="10">M22*(1+0.5%)</f>
        <v>125.88402140087325</v>
      </c>
      <c r="O22" s="66">
        <f>N22*(1+0.5%)</f>
        <v>126.5134415078776</v>
      </c>
      <c r="P22" s="66">
        <f t="shared" si="10"/>
        <v>127.14600871541698</v>
      </c>
      <c r="Q22" s="66">
        <f t="shared" si="10"/>
        <v>127.78173875899405</v>
      </c>
      <c r="R22" s="66">
        <f t="shared" si="10"/>
        <v>128.42064745278901</v>
      </c>
      <c r="S22" s="66">
        <f t="shared" si="10"/>
        <v>129.06275069005295</v>
      </c>
    </row>
    <row r="23" spans="4:19" x14ac:dyDescent="0.3">
      <c r="D23" s="1" t="s">
        <v>235</v>
      </c>
      <c r="E23" s="92">
        <f>-'P&amp;L Inputs'!E18</f>
        <v>-120.58</v>
      </c>
      <c r="F23" s="43">
        <f>-'P&amp;L Inputs'!F18</f>
        <v>-127.19</v>
      </c>
      <c r="G23" s="43">
        <f>-'P&amp;L Inputs'!G18</f>
        <v>-135.62</v>
      </c>
      <c r="H23" s="43">
        <f>-'P&amp;L Inputs'!H18</f>
        <v>-142.04</v>
      </c>
      <c r="I23" s="43">
        <f>-'P&amp;L Inputs'!I18</f>
        <v>-159.18</v>
      </c>
      <c r="J23" s="66">
        <f>-J21*'Cost Buildup'!J22</f>
        <v>-181.85409999999999</v>
      </c>
      <c r="K23" s="66">
        <f>-K21*'Cost Buildup'!K22</f>
        <v>-177.16567912240839</v>
      </c>
      <c r="L23" s="66">
        <f>-L21*'Cost Buildup'!L22</f>
        <v>-172.90277028967824</v>
      </c>
      <c r="M23" s="66">
        <f>-M21*'Cost Buildup'!M22</f>
        <v>-190.10683337153017</v>
      </c>
      <c r="N23" s="66">
        <f>-N21*'Cost Buildup'!N22</f>
        <v>-184.25722089546232</v>
      </c>
      <c r="O23" s="66">
        <f>-O21*'Cost Buildup'!O22</f>
        <v>-178.99175703102264</v>
      </c>
      <c r="P23" s="66">
        <f>-P21*'Cost Buildup'!P22</f>
        <v>-193.57636585002331</v>
      </c>
      <c r="Q23" s="66">
        <f>-Q21*'Cost Buildup'!Q22</f>
        <v>-186.91981501413392</v>
      </c>
      <c r="R23" s="66">
        <f>-R21*'Cost Buildup'!R22</f>
        <v>-180.9939758660561</v>
      </c>
      <c r="S23" s="66">
        <f>-S21*'Cost Buildup'!S22</f>
        <v>-193.26286329260176</v>
      </c>
    </row>
    <row r="24" spans="4:19" x14ac:dyDescent="0.3">
      <c r="D24" s="99" t="s">
        <v>236</v>
      </c>
      <c r="E24" s="74">
        <f>SUM('BS Inputs'!E9:E12)</f>
        <v>2337.8500000000004</v>
      </c>
      <c r="F24" s="22">
        <f>SUM('BS Inputs'!F9:F12)</f>
        <v>2266.9899999999998</v>
      </c>
      <c r="G24" s="22">
        <f>SUM('BS Inputs'!G9:G12)</f>
        <v>2227.08</v>
      </c>
      <c r="H24" s="22">
        <f>SUM('BS Inputs'!H9:H12)</f>
        <v>2229.3000000000002</v>
      </c>
      <c r="I24" s="22">
        <f>SUM('BS Inputs'!I9:I12)</f>
        <v>2267.41</v>
      </c>
      <c r="J24" s="91">
        <f t="shared" ref="J24:S24" si="11">SUM(J21:J23)</f>
        <v>2208.9533999999999</v>
      </c>
      <c r="K24" s="91">
        <f t="shared" si="11"/>
        <v>2155.8022083775913</v>
      </c>
      <c r="L24" s="91">
        <f t="shared" si="11"/>
        <v>2107.533998025413</v>
      </c>
      <c r="M24" s="91">
        <f t="shared" si="11"/>
        <v>2042.6848973910701</v>
      </c>
      <c r="N24" s="91">
        <f t="shared" si="11"/>
        <v>1984.3116978964811</v>
      </c>
      <c r="O24" s="91">
        <f t="shared" si="11"/>
        <v>1931.833382373336</v>
      </c>
      <c r="P24" s="91">
        <f t="shared" si="11"/>
        <v>1865.4030252387297</v>
      </c>
      <c r="Q24" s="91">
        <f t="shared" si="11"/>
        <v>1806.2649489835899</v>
      </c>
      <c r="R24" s="91">
        <f t="shared" si="11"/>
        <v>1753.6916205703228</v>
      </c>
      <c r="S24" s="91">
        <f t="shared" si="11"/>
        <v>1689.4915079677739</v>
      </c>
    </row>
    <row r="25" spans="4:19" x14ac:dyDescent="0.3">
      <c r="D25" s="1"/>
      <c r="E25" s="35"/>
      <c r="F25" s="1"/>
      <c r="G25" s="1"/>
      <c r="H25" s="1"/>
      <c r="I25" s="1"/>
      <c r="J25" s="49"/>
      <c r="K25" s="49"/>
      <c r="L25" s="49"/>
      <c r="M25" s="49"/>
      <c r="N25" s="49"/>
      <c r="O25" s="49"/>
      <c r="P25" s="49"/>
      <c r="Q25" s="49"/>
      <c r="R25" s="49"/>
      <c r="S25" s="49"/>
    </row>
    <row r="26" spans="4:19" x14ac:dyDescent="0.3">
      <c r="D26" s="5" t="s">
        <v>237</v>
      </c>
      <c r="E26" s="35"/>
      <c r="F26" s="1"/>
      <c r="G26" s="1"/>
      <c r="H26" s="1"/>
      <c r="I26" s="1"/>
      <c r="J26" s="49"/>
      <c r="K26" s="49"/>
      <c r="L26" s="49"/>
      <c r="M26" s="49"/>
      <c r="N26" s="49"/>
      <c r="O26" s="49"/>
      <c r="P26" s="49"/>
      <c r="Q26" s="49"/>
      <c r="R26" s="49"/>
      <c r="S26" s="49"/>
    </row>
    <row r="27" spans="4:19" x14ac:dyDescent="0.3">
      <c r="D27" s="1" t="s">
        <v>238</v>
      </c>
      <c r="E27" s="35"/>
      <c r="F27" s="42">
        <f t="shared" ref="F27:I27" si="12">E29</f>
        <v>511.77</v>
      </c>
      <c r="G27" s="42">
        <f t="shared" si="12"/>
        <v>39.71</v>
      </c>
      <c r="H27" s="42">
        <f t="shared" si="12"/>
        <v>417.53000000000003</v>
      </c>
      <c r="I27" s="42">
        <f t="shared" si="12"/>
        <v>376.09000000000003</v>
      </c>
      <c r="J27" s="66">
        <f t="shared" ref="J27:S27" si="13">I29</f>
        <v>126.97999999999999</v>
      </c>
      <c r="K27" s="66">
        <f t="shared" si="13"/>
        <v>126.97999999999999</v>
      </c>
      <c r="L27" s="66">
        <f t="shared" si="13"/>
        <v>126.97999999999999</v>
      </c>
      <c r="M27" s="66">
        <f t="shared" si="13"/>
        <v>126.97999999999999</v>
      </c>
      <c r="N27" s="66">
        <f t="shared" si="13"/>
        <v>126.97999999999999</v>
      </c>
      <c r="O27" s="66">
        <f t="shared" si="13"/>
        <v>126.97999999999999</v>
      </c>
      <c r="P27" s="66">
        <f t="shared" si="13"/>
        <v>126.97999999999999</v>
      </c>
      <c r="Q27" s="66">
        <f t="shared" si="13"/>
        <v>126.97999999999999</v>
      </c>
      <c r="R27" s="66">
        <f t="shared" si="13"/>
        <v>126.97999999999999</v>
      </c>
      <c r="S27" s="66">
        <f t="shared" si="13"/>
        <v>126.97999999999999</v>
      </c>
    </row>
    <row r="28" spans="4:19" x14ac:dyDescent="0.3">
      <c r="D28" s="1" t="s">
        <v>239</v>
      </c>
      <c r="E28" s="35"/>
      <c r="F28" s="42">
        <f t="shared" ref="F28:I28" si="14">F29-F27</f>
        <v>-472.06</v>
      </c>
      <c r="G28" s="42">
        <f t="shared" si="14"/>
        <v>377.82000000000005</v>
      </c>
      <c r="H28" s="42">
        <f t="shared" si="14"/>
        <v>-41.44</v>
      </c>
      <c r="I28" s="42">
        <f t="shared" si="14"/>
        <v>-249.11000000000004</v>
      </c>
      <c r="J28" s="274">
        <v>0</v>
      </c>
      <c r="K28" s="274">
        <v>0</v>
      </c>
      <c r="L28" s="274">
        <v>0</v>
      </c>
      <c r="M28" s="274">
        <v>0</v>
      </c>
      <c r="N28" s="274">
        <v>0</v>
      </c>
      <c r="O28" s="274">
        <v>0</v>
      </c>
      <c r="P28" s="274">
        <v>0</v>
      </c>
      <c r="Q28" s="274">
        <v>0</v>
      </c>
      <c r="R28" s="274">
        <v>0</v>
      </c>
      <c r="S28" s="274">
        <v>0</v>
      </c>
    </row>
    <row r="29" spans="4:19" x14ac:dyDescent="0.3">
      <c r="D29" s="99" t="s">
        <v>240</v>
      </c>
      <c r="E29" s="106">
        <f>SUM('BS Inputs'!E47,'BS Inputs'!E56,'BS Inputs'!E60)</f>
        <v>511.77</v>
      </c>
      <c r="F29" s="38">
        <f>SUM('BS Inputs'!F47,'BS Inputs'!F56,'BS Inputs'!F60)</f>
        <v>39.71</v>
      </c>
      <c r="G29" s="38">
        <f>SUM('BS Inputs'!G47,'BS Inputs'!G56,'BS Inputs'!G60)</f>
        <v>417.53000000000003</v>
      </c>
      <c r="H29" s="38">
        <f>SUM('BS Inputs'!H47,'BS Inputs'!H56,'BS Inputs'!H60)</f>
        <v>376.09000000000003</v>
      </c>
      <c r="I29" s="38">
        <f>SUM('BS Inputs'!I47,'BS Inputs'!I56,'BS Inputs'!I60)</f>
        <v>126.97999999999999</v>
      </c>
      <c r="J29" s="108">
        <f t="shared" ref="J29:S29" si="15">SUM(J27:J28)</f>
        <v>126.97999999999999</v>
      </c>
      <c r="K29" s="108">
        <f t="shared" si="15"/>
        <v>126.97999999999999</v>
      </c>
      <c r="L29" s="108">
        <f t="shared" si="15"/>
        <v>126.97999999999999</v>
      </c>
      <c r="M29" s="108">
        <f t="shared" si="15"/>
        <v>126.97999999999999</v>
      </c>
      <c r="N29" s="108">
        <f t="shared" si="15"/>
        <v>126.97999999999999</v>
      </c>
      <c r="O29" s="108">
        <f t="shared" si="15"/>
        <v>126.97999999999999</v>
      </c>
      <c r="P29" s="108">
        <f t="shared" si="15"/>
        <v>126.97999999999999</v>
      </c>
      <c r="Q29" s="108">
        <f t="shared" si="15"/>
        <v>126.97999999999999</v>
      </c>
      <c r="R29" s="108">
        <f t="shared" si="15"/>
        <v>126.97999999999999</v>
      </c>
      <c r="S29" s="108">
        <f t="shared" si="15"/>
        <v>126.97999999999999</v>
      </c>
    </row>
    <row r="30" spans="4:19" x14ac:dyDescent="0.3">
      <c r="D30" s="1" t="s">
        <v>241</v>
      </c>
      <c r="E30" s="92">
        <f>-'Cost Buildup'!E24</f>
        <v>-21.02</v>
      </c>
      <c r="F30" s="43">
        <f>-'Cost Buildup'!F24</f>
        <v>-16.760000000000002</v>
      </c>
      <c r="G30" s="43">
        <f>-'Cost Buildup'!G24</f>
        <v>-12.16</v>
      </c>
      <c r="H30" s="43">
        <f>-'Cost Buildup'!H24</f>
        <v>-16.239999999999998</v>
      </c>
      <c r="I30" s="43">
        <f>-'Cost Buildup'!I24</f>
        <v>-27.4</v>
      </c>
      <c r="J30" s="66">
        <f>-J29*'Cost Buildup'!J25</f>
        <v>-27.4</v>
      </c>
      <c r="K30" s="66">
        <f>-K29*'Cost Buildup'!K25</f>
        <v>-27.4</v>
      </c>
      <c r="L30" s="66">
        <f>-L29*'Cost Buildup'!L25</f>
        <v>-27.4</v>
      </c>
      <c r="M30" s="66">
        <f>-M29*'Cost Buildup'!M25</f>
        <v>-27.4</v>
      </c>
      <c r="N30" s="66">
        <f>-N29*'Cost Buildup'!N25</f>
        <v>-27.4</v>
      </c>
      <c r="O30" s="66">
        <f>-O29*'Cost Buildup'!O25</f>
        <v>-27.4</v>
      </c>
      <c r="P30" s="66">
        <f>-P29*'Cost Buildup'!P25</f>
        <v>-27.4</v>
      </c>
      <c r="Q30" s="66">
        <f>-Q29*'Cost Buildup'!Q25</f>
        <v>-27.4</v>
      </c>
      <c r="R30" s="66">
        <f>-R29*'Cost Buildup'!R25</f>
        <v>-27.4</v>
      </c>
      <c r="S30" s="66">
        <f>-S29*'Cost Buildup'!S25</f>
        <v>-27.4</v>
      </c>
    </row>
  </sheetData>
  <mergeCells count="1">
    <mergeCell ref="D4:S4"/>
  </mergeCells>
  <pageMargins left="0.7" right="0.7" top="0.75" bottom="0.75" header="0.3" footer="0.3"/>
  <ignoredErrors>
    <ignoredError sqref="E24:I24" formulaRange="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D600-40DD-484B-AC4B-C2A2149C84B5}">
  <dimension ref="B4:I97"/>
  <sheetViews>
    <sheetView showGridLines="0" topLeftCell="A25" workbookViewId="0">
      <selection activeCell="L40" sqref="L40"/>
    </sheetView>
  </sheetViews>
  <sheetFormatPr defaultRowHeight="14.4" customHeight="1" x14ac:dyDescent="0.3"/>
  <cols>
    <col min="1" max="3" width="1.33203125" style="79" customWidth="1"/>
    <col min="4" max="4" width="35.77734375" style="79" customWidth="1"/>
    <col min="5" max="16384" width="8.88671875" style="79"/>
  </cols>
  <sheetData>
    <row r="4" spans="3:9" ht="16.8" customHeight="1" x14ac:dyDescent="0.3">
      <c r="C4" s="94"/>
      <c r="D4" s="378" t="s">
        <v>249</v>
      </c>
      <c r="E4" s="378"/>
      <c r="F4" s="378"/>
      <c r="G4" s="378"/>
      <c r="H4" s="378"/>
      <c r="I4" s="378"/>
    </row>
    <row r="5" spans="3:9" ht="16.8" customHeight="1" x14ac:dyDescent="0.3">
      <c r="C5" s="94"/>
      <c r="D5" s="154"/>
      <c r="E5" s="154"/>
      <c r="F5" s="154"/>
      <c r="G5" s="154"/>
      <c r="H5" s="154"/>
      <c r="I5" s="154"/>
    </row>
    <row r="6" spans="3:9" ht="16.8" customHeight="1" x14ac:dyDescent="0.3">
      <c r="C6" s="94"/>
      <c r="D6" s="378" t="s">
        <v>167</v>
      </c>
      <c r="E6" s="378"/>
      <c r="F6" s="378"/>
      <c r="G6" s="378"/>
      <c r="H6" s="378"/>
      <c r="I6" s="378"/>
    </row>
    <row r="7" spans="3:9" ht="14.4" customHeight="1" x14ac:dyDescent="0.3">
      <c r="C7" s="94"/>
      <c r="D7" s="94"/>
      <c r="E7" s="318">
        <v>2020</v>
      </c>
      <c r="F7" s="95">
        <f t="shared" ref="F7:I7" si="0">E7+1</f>
        <v>2021</v>
      </c>
      <c r="G7" s="95">
        <f t="shared" si="0"/>
        <v>2022</v>
      </c>
      <c r="H7" s="95">
        <f t="shared" si="0"/>
        <v>2023</v>
      </c>
      <c r="I7" s="95">
        <f t="shared" si="0"/>
        <v>2024</v>
      </c>
    </row>
    <row r="8" spans="3:9" ht="14.4" customHeight="1" x14ac:dyDescent="0.3">
      <c r="C8" s="94"/>
      <c r="D8" s="82" t="s">
        <v>1</v>
      </c>
      <c r="E8" s="319" t="s">
        <v>110</v>
      </c>
      <c r="F8" s="320" t="s">
        <v>110</v>
      </c>
      <c r="G8" s="320" t="s">
        <v>110</v>
      </c>
      <c r="H8" s="320" t="s">
        <v>110</v>
      </c>
      <c r="I8" s="320" t="s">
        <v>110</v>
      </c>
    </row>
    <row r="9" spans="3:9" ht="14.4" customHeight="1" x14ac:dyDescent="0.3">
      <c r="C9" s="94"/>
      <c r="D9" s="94"/>
      <c r="E9" s="308"/>
      <c r="F9" s="94"/>
      <c r="G9" s="94"/>
      <c r="H9" s="94"/>
      <c r="I9" s="94"/>
    </row>
    <row r="10" spans="3:9" ht="14.4" customHeight="1" x14ac:dyDescent="0.3">
      <c r="C10" s="94"/>
      <c r="D10" s="94" t="s">
        <v>168</v>
      </c>
      <c r="E10" s="336">
        <f>'Income Statement'!E8/'Income Statement'!E$8</f>
        <v>1</v>
      </c>
      <c r="F10" s="337">
        <f>'Income Statement'!F8/'Income Statement'!F$8</f>
        <v>1</v>
      </c>
      <c r="G10" s="337">
        <f>'Income Statement'!G8/'Income Statement'!G$8</f>
        <v>1</v>
      </c>
      <c r="H10" s="337">
        <f>'Income Statement'!H8/'Income Statement'!H$8</f>
        <v>1</v>
      </c>
      <c r="I10" s="337">
        <f>'Income Statement'!I8/'Income Statement'!I$8</f>
        <v>1</v>
      </c>
    </row>
    <row r="11" spans="3:9" ht="14.4" customHeight="1" x14ac:dyDescent="0.3">
      <c r="C11" s="94"/>
      <c r="D11" s="94" t="s">
        <v>153</v>
      </c>
      <c r="E11" s="336">
        <f>'Income Statement'!E9/'Income Statement'!E$8</f>
        <v>-0.6494890637490488</v>
      </c>
      <c r="F11" s="337">
        <f>'Income Statement'!F9/'Income Statement'!F$8</f>
        <v>-0.63384616796022097</v>
      </c>
      <c r="G11" s="337">
        <f>'Income Statement'!G9/'Income Statement'!G$8</f>
        <v>-0.66551511812554676</v>
      </c>
      <c r="H11" s="337">
        <f>'Income Statement'!H9/'Income Statement'!H$8</f>
        <v>-0.67195825061212622</v>
      </c>
      <c r="I11" s="337">
        <f>'Income Statement'!I9/'Income Statement'!I$8</f>
        <v>-0.64119908446478979</v>
      </c>
    </row>
    <row r="12" spans="3:9" ht="14.4" customHeight="1" x14ac:dyDescent="0.3">
      <c r="C12" s="94"/>
      <c r="D12" s="326" t="s">
        <v>169</v>
      </c>
      <c r="E12" s="338">
        <f>'Income Statement'!E10/'Income Statement'!E$8</f>
        <v>0.35051093625095114</v>
      </c>
      <c r="F12" s="339">
        <f>'Income Statement'!F10/'Income Statement'!F$8</f>
        <v>0.36615383203977897</v>
      </c>
      <c r="G12" s="339">
        <f>'Income Statement'!G10/'Income Statement'!G$8</f>
        <v>0.33448488187445319</v>
      </c>
      <c r="H12" s="339">
        <f>'Income Statement'!H10/'Income Statement'!H$8</f>
        <v>0.32804174938787378</v>
      </c>
      <c r="I12" s="339">
        <f>'Income Statement'!I10/'Income Statement'!I$8</f>
        <v>0.35880091553521026</v>
      </c>
    </row>
    <row r="13" spans="3:9" ht="14.4" customHeight="1" x14ac:dyDescent="0.3">
      <c r="C13" s="94"/>
      <c r="D13" s="94" t="s">
        <v>170</v>
      </c>
      <c r="E13" s="336">
        <f>'Income Statement'!E11/'Income Statement'!E$8</f>
        <v>-0.11128875362374674</v>
      </c>
      <c r="F13" s="337">
        <f>'Income Statement'!F11/'Income Statement'!F$8</f>
        <v>-0.11691757949395423</v>
      </c>
      <c r="G13" s="337">
        <f>'Income Statement'!G11/'Income Statement'!G$8</f>
        <v>-9.9577081375376728E-2</v>
      </c>
      <c r="H13" s="337">
        <f>'Income Statement'!H11/'Income Statement'!H$8</f>
        <v>-8.3488482505992598E-2</v>
      </c>
      <c r="I13" s="337">
        <f>'Income Statement'!I11/'Income Statement'!I$8</f>
        <v>-8.9039132463723039E-2</v>
      </c>
    </row>
    <row r="14" spans="3:9" ht="14.4" customHeight="1" x14ac:dyDescent="0.3">
      <c r="C14" s="94"/>
      <c r="D14" s="94" t="s">
        <v>171</v>
      </c>
      <c r="E14" s="336">
        <f>'Income Statement'!E12/'Income Statement'!E$8</f>
        <v>-0.12573173198239412</v>
      </c>
      <c r="F14" s="337">
        <f>'Income Statement'!F12/'Income Statement'!F$8</f>
        <v>-0.11574099557806279</v>
      </c>
      <c r="G14" s="337">
        <f>'Income Statement'!G12/'Income Statement'!G$8</f>
        <v>-9.093074504974559E-2</v>
      </c>
      <c r="H14" s="337">
        <f>'Income Statement'!H12/'Income Statement'!H$8</f>
        <v>-8.401215117169257E-2</v>
      </c>
      <c r="I14" s="337">
        <f>'Income Statement'!I12/'Income Statement'!I$8</f>
        <v>-7.3137263616364093E-2</v>
      </c>
    </row>
    <row r="15" spans="3:9" ht="14.4" customHeight="1" x14ac:dyDescent="0.3">
      <c r="C15" s="94"/>
      <c r="D15" s="326" t="s">
        <v>172</v>
      </c>
      <c r="E15" s="338">
        <f>'Income Statement'!E13/'Income Statement'!E$8</f>
        <v>0.11349045064481028</v>
      </c>
      <c r="F15" s="339">
        <f>'Income Statement'!F13/'Income Statement'!F$8</f>
        <v>0.13349525696776196</v>
      </c>
      <c r="G15" s="339">
        <f>'Income Statement'!G13/'Income Statement'!G$8</f>
        <v>0.1439770554493309</v>
      </c>
      <c r="H15" s="339">
        <f>'Income Statement'!H13/'Income Statement'!H$8</f>
        <v>0.16054111571018859</v>
      </c>
      <c r="I15" s="339">
        <f>'Income Statement'!I13/'Income Statement'!I$8</f>
        <v>0.19662451945512313</v>
      </c>
    </row>
    <row r="16" spans="3:9" ht="14.4" customHeight="1" x14ac:dyDescent="0.3">
      <c r="C16" s="94"/>
      <c r="D16" s="94" t="s">
        <v>173</v>
      </c>
      <c r="E16" s="336">
        <f>'Income Statement'!E14/'Income Statement'!E$8</f>
        <v>-2.3226651513546311E-2</v>
      </c>
      <c r="F16" s="337">
        <f>'Income Statement'!F14/'Income Statement'!F$8</f>
        <v>-2.9171483092053356E-2</v>
      </c>
      <c r="G16" s="337">
        <f>'Income Statement'!G14/'Income Statement'!G$8</f>
        <v>-2.1975564701688433E-2</v>
      </c>
      <c r="H16" s="337">
        <f>'Income Statement'!H14/'Income Statement'!H$8</f>
        <v>-1.8275650436369112E-2</v>
      </c>
      <c r="I16" s="337">
        <f>'Income Statement'!I14/'Income Statement'!I$8</f>
        <v>-1.7686273638363594E-2</v>
      </c>
    </row>
    <row r="17" spans="2:9" ht="14.4" customHeight="1" x14ac:dyDescent="0.3">
      <c r="C17" s="94"/>
      <c r="D17" s="326" t="s">
        <v>174</v>
      </c>
      <c r="E17" s="338">
        <f>'Income Statement'!E15/'Income Statement'!E$8</f>
        <v>9.0263799131263964E-2</v>
      </c>
      <c r="F17" s="339">
        <f>'Income Statement'!F15/'Income Statement'!F$8</f>
        <v>0.10432377387570861</v>
      </c>
      <c r="G17" s="339">
        <f>'Income Statement'!G15/'Income Statement'!G$8</f>
        <v>0.12200149074764247</v>
      </c>
      <c r="H17" s="339">
        <f>'Income Statement'!H15/'Income Statement'!H$8</f>
        <v>0.14226546527381947</v>
      </c>
      <c r="I17" s="339">
        <f>'Income Statement'!I15/'Income Statement'!I$8</f>
        <v>0.17893824581675952</v>
      </c>
    </row>
    <row r="18" spans="2:9" ht="14.4" customHeight="1" x14ac:dyDescent="0.3">
      <c r="C18" s="94"/>
      <c r="D18" s="94" t="s">
        <v>248</v>
      </c>
      <c r="E18" s="336">
        <f>'Income Statement'!E16/'Income Statement'!E$8</f>
        <v>-4.0489651253503359E-3</v>
      </c>
      <c r="F18" s="337">
        <f>'Income Statement'!F16/'Income Statement'!F$8</f>
        <v>-3.8439661657584268E-3</v>
      </c>
      <c r="G18" s="337">
        <f>'Income Statement'!G16/'Income Statement'!G$8</f>
        <v>-1.9703794924976503E-3</v>
      </c>
      <c r="H18" s="337">
        <f>'Income Statement'!H16/'Income Statement'!H$8</f>
        <v>-2.0895280420067191E-3</v>
      </c>
      <c r="I18" s="337">
        <f>'Income Statement'!I16/'Income Statement'!I$8</f>
        <v>-3.0443767916268532E-3</v>
      </c>
    </row>
    <row r="19" spans="2:9" ht="14.4" customHeight="1" x14ac:dyDescent="0.3">
      <c r="C19" s="94"/>
      <c r="D19" s="94" t="s">
        <v>175</v>
      </c>
      <c r="E19" s="336">
        <f>'Income Statement'!E17/'Income Statement'!E$8</f>
        <v>2.3550260524516274E-2</v>
      </c>
      <c r="F19" s="337">
        <f>'Income Statement'!F17/'Income Statement'!F$8</f>
        <v>2.5944478082970956E-2</v>
      </c>
      <c r="G19" s="337">
        <f>'Income Statement'!G17/'Income Statement'!G$8</f>
        <v>1.4769744304371779E-2</v>
      </c>
      <c r="H19" s="337">
        <f>'Income Statement'!H17/'Income Statement'!H$8</f>
        <v>2.6759854813827429E-2</v>
      </c>
      <c r="I19" s="337">
        <f>'Income Statement'!I17/'Income Statement'!I$8</f>
        <v>2.7239394680118222E-2</v>
      </c>
    </row>
    <row r="20" spans="2:9" ht="14.4" customHeight="1" x14ac:dyDescent="0.3">
      <c r="C20" s="94"/>
      <c r="D20" s="94" t="s">
        <v>117</v>
      </c>
      <c r="E20" s="336">
        <f>'Income Statement'!E18/'Income Statement'!E$8</f>
        <v>4.5775265099346048E-2</v>
      </c>
      <c r="F20" s="337">
        <f>'Income Statement'!F18/'Income Statement'!F$8</f>
        <v>6.2792425827049039E-2</v>
      </c>
      <c r="G20" s="337">
        <f>'Income Statement'!G18/'Income Statement'!G$8</f>
        <v>6.0853290987458272E-2</v>
      </c>
      <c r="H20" s="337">
        <f>'Income Statement'!H18/'Income Statement'!H$8</f>
        <v>3.7808363001457783E-2</v>
      </c>
      <c r="I20" s="337">
        <f>'Income Statement'!I18/'Income Statement'!I$8</f>
        <v>4.1817959600897764E-2</v>
      </c>
    </row>
    <row r="21" spans="2:9" ht="14.4" customHeight="1" x14ac:dyDescent="0.3">
      <c r="C21" s="94"/>
      <c r="D21" s="326" t="s">
        <v>176</v>
      </c>
      <c r="E21" s="338">
        <f>'Income Statement'!E19/'Income Statement'!E$8</f>
        <v>0.15554035962977594</v>
      </c>
      <c r="F21" s="339">
        <f>'Income Statement'!F19/'Income Statement'!F$8</f>
        <v>0.18921671161997017</v>
      </c>
      <c r="G21" s="339">
        <f>'Income Statement'!G19/'Income Statement'!G$8</f>
        <v>0.19565414654697486</v>
      </c>
      <c r="H21" s="339">
        <f>'Income Statement'!H19/'Income Statement'!H$8</f>
        <v>0.20474415504709798</v>
      </c>
      <c r="I21" s="339">
        <f>'Income Statement'!I19/'Income Statement'!I$8</f>
        <v>0.24495122330614866</v>
      </c>
    </row>
    <row r="22" spans="2:9" ht="14.4" customHeight="1" x14ac:dyDescent="0.3">
      <c r="C22" s="94"/>
      <c r="D22" s="94" t="s">
        <v>177</v>
      </c>
      <c r="E22" s="336">
        <f>'Income Statement'!E20/'Income Statement'!E$8</f>
        <v>-1.9622648778279673E-2</v>
      </c>
      <c r="F22" s="337">
        <f>'Income Statement'!F20/'Income Statement'!F$8</f>
        <v>-4.3570301462358491E-2</v>
      </c>
      <c r="G22" s="337">
        <f>'Income Statement'!G20/'Income Statement'!G$8</f>
        <v>-4.4275204977800818E-2</v>
      </c>
      <c r="H22" s="337">
        <f>'Income Statement'!H20/'Income Statement'!H$8</f>
        <v>-4.6723596870339897E-2</v>
      </c>
      <c r="I22" s="337">
        <f>'Income Statement'!I20/'Income Statement'!I$8</f>
        <v>-5.3779916001866629E-2</v>
      </c>
    </row>
    <row r="23" spans="2:9" ht="14.4" customHeight="1" x14ac:dyDescent="0.3">
      <c r="C23" s="94"/>
      <c r="D23" s="326" t="s">
        <v>178</v>
      </c>
      <c r="E23" s="340">
        <f>'Income Statement'!E21/'Income Statement'!E$8</f>
        <v>0.13591771085149629</v>
      </c>
      <c r="F23" s="339">
        <f>'Income Statement'!F21/'Income Statement'!F$8</f>
        <v>0.14564641015761168</v>
      </c>
      <c r="G23" s="339">
        <f>'Income Statement'!G21/'Income Statement'!G$8</f>
        <v>0.15137894156917403</v>
      </c>
      <c r="H23" s="339">
        <f>'Income Statement'!H21/'Income Statement'!H$8</f>
        <v>0.15802055817675809</v>
      </c>
      <c r="I23" s="339">
        <f>'Income Statement'!I21/'Income Statement'!I$8</f>
        <v>0.19117130730428203</v>
      </c>
    </row>
    <row r="24" spans="2:9" ht="14.4" customHeight="1" x14ac:dyDescent="0.3">
      <c r="C24" s="94"/>
      <c r="D24" s="341"/>
      <c r="E24" s="341"/>
      <c r="F24" s="341"/>
      <c r="G24" s="341"/>
      <c r="H24" s="341"/>
      <c r="I24" s="341"/>
    </row>
    <row r="25" spans="2:9" ht="14.4" customHeight="1" x14ac:dyDescent="0.3">
      <c r="C25" s="94"/>
      <c r="D25" s="94"/>
      <c r="E25" s="94"/>
      <c r="F25" s="94"/>
      <c r="G25" s="94"/>
      <c r="H25" s="94"/>
      <c r="I25" s="94"/>
    </row>
    <row r="26" spans="2:9" ht="16.8" customHeight="1" x14ac:dyDescent="0.3">
      <c r="C26" s="94"/>
      <c r="D26" s="378" t="s">
        <v>180</v>
      </c>
      <c r="E26" s="378"/>
      <c r="F26" s="378"/>
      <c r="G26" s="378"/>
      <c r="H26" s="378"/>
      <c r="I26" s="378"/>
    </row>
    <row r="27" spans="2:9" ht="14.4" customHeight="1" x14ac:dyDescent="0.3">
      <c r="C27" s="94"/>
      <c r="D27" s="94"/>
      <c r="E27" s="308"/>
      <c r="F27" s="94"/>
      <c r="G27" s="94"/>
      <c r="H27" s="94"/>
      <c r="I27" s="94"/>
    </row>
    <row r="28" spans="2:9" ht="14.4" customHeight="1" x14ac:dyDescent="0.3">
      <c r="B28" s="95" t="s">
        <v>24</v>
      </c>
      <c r="E28" s="308"/>
      <c r="F28" s="94"/>
      <c r="G28" s="94"/>
      <c r="H28" s="94"/>
      <c r="I28" s="94"/>
    </row>
    <row r="29" spans="2:9" ht="14.4" customHeight="1" x14ac:dyDescent="0.3">
      <c r="C29" s="95" t="s">
        <v>36</v>
      </c>
      <c r="E29" s="308"/>
      <c r="F29" s="94"/>
      <c r="G29" s="94"/>
      <c r="H29" s="94"/>
      <c r="I29" s="94"/>
    </row>
    <row r="30" spans="2:9" ht="14.4" customHeight="1" x14ac:dyDescent="0.3">
      <c r="D30" s="94" t="s">
        <v>181</v>
      </c>
      <c r="E30" s="336">
        <f>'Balance Sheet'!E10/'Balance Sheet'!E$23</f>
        <v>2.9287919600650178E-2</v>
      </c>
      <c r="F30" s="337">
        <f>'Balance Sheet'!F10/'Balance Sheet'!F$23</f>
        <v>2.0415667009725844E-2</v>
      </c>
      <c r="G30" s="337">
        <f>'Balance Sheet'!G10/'Balance Sheet'!G$23</f>
        <v>2.4948010331848115E-2</v>
      </c>
      <c r="H30" s="337">
        <f>'Balance Sheet'!H10/'Balance Sheet'!H$23</f>
        <v>5.0095723508077269E-2</v>
      </c>
      <c r="I30" s="337">
        <f>'Balance Sheet'!I10/'Balance Sheet'!I$23</f>
        <v>3.3430652214868677E-2</v>
      </c>
    </row>
    <row r="31" spans="2:9" ht="14.4" customHeight="1" x14ac:dyDescent="0.3">
      <c r="D31" s="94" t="s">
        <v>182</v>
      </c>
      <c r="E31" s="336">
        <f>'Balance Sheet'!E11/'Balance Sheet'!E$23</f>
        <v>4.5687024194368347E-2</v>
      </c>
      <c r="F31" s="337">
        <f>'Balance Sheet'!F11/'Balance Sheet'!F$23</f>
        <v>0.14164376339988019</v>
      </c>
      <c r="G31" s="337">
        <f>'Balance Sheet'!G11/'Balance Sheet'!G$23</f>
        <v>0.17566391403812434</v>
      </c>
      <c r="H31" s="337">
        <f>'Balance Sheet'!H11/'Balance Sheet'!H$23</f>
        <v>0.1249633775496802</v>
      </c>
      <c r="I31" s="337">
        <f>'Balance Sheet'!I11/'Balance Sheet'!I$23</f>
        <v>0.13520858903228467</v>
      </c>
    </row>
    <row r="32" spans="2:9" ht="14.4" customHeight="1" x14ac:dyDescent="0.3">
      <c r="D32" s="94" t="s">
        <v>183</v>
      </c>
      <c r="E32" s="336">
        <f>'Balance Sheet'!E12/'Balance Sheet'!E$23</f>
        <v>0.18491882757941719</v>
      </c>
      <c r="F32" s="337">
        <f>'Balance Sheet'!F12/'Balance Sheet'!F$23</f>
        <v>0.18268160457740751</v>
      </c>
      <c r="G32" s="337">
        <f>'Balance Sheet'!G12/'Balance Sheet'!G$23</f>
        <v>0.17689844895732418</v>
      </c>
      <c r="H32" s="337">
        <f>'Balance Sheet'!H12/'Balance Sheet'!H$23</f>
        <v>0.20169119949890379</v>
      </c>
      <c r="I32" s="337">
        <f>'Balance Sheet'!I12/'Balance Sheet'!I$23</f>
        <v>0.23246727332113776</v>
      </c>
    </row>
    <row r="33" spans="2:9" ht="14.4" customHeight="1" x14ac:dyDescent="0.3">
      <c r="D33" s="94" t="s">
        <v>184</v>
      </c>
      <c r="E33" s="336">
        <f>'Balance Sheet'!E13/'Balance Sheet'!E$23</f>
        <v>9.3160664743942495E-2</v>
      </c>
      <c r="F33" s="337">
        <f>'Balance Sheet'!F13/'Balance Sheet'!F$23</f>
        <v>9.4726344437150514E-2</v>
      </c>
      <c r="G33" s="337">
        <f>'Balance Sheet'!G13/'Balance Sheet'!G$23</f>
        <v>0.10370233928900349</v>
      </c>
      <c r="H33" s="337">
        <f>'Balance Sheet'!H13/'Balance Sheet'!H$23</f>
        <v>0.11411808088257576</v>
      </c>
      <c r="I33" s="337">
        <f>'Balance Sheet'!I13/'Balance Sheet'!I$23</f>
        <v>0.10586354621978011</v>
      </c>
    </row>
    <row r="34" spans="2:9" ht="14.4" customHeight="1" x14ac:dyDescent="0.3">
      <c r="D34" s="94" t="s">
        <v>185</v>
      </c>
      <c r="E34" s="336">
        <f>'Balance Sheet'!E14/'Balance Sheet'!E$23</f>
        <v>3.1053554914647497E-2</v>
      </c>
      <c r="F34" s="337">
        <f>'Balance Sheet'!F14/'Balance Sheet'!F$23</f>
        <v>2.5595135161453349E-2</v>
      </c>
      <c r="G34" s="337">
        <f>'Balance Sheet'!G14/'Balance Sheet'!G$23</f>
        <v>2.1923540387430239E-2</v>
      </c>
      <c r="H34" s="337">
        <f>'Balance Sheet'!H14/'Balance Sheet'!H$23</f>
        <v>1.5097289433539088E-2</v>
      </c>
      <c r="I34" s="337">
        <f>'Balance Sheet'!I14/'Balance Sheet'!I$23</f>
        <v>1.9487186347264533E-2</v>
      </c>
    </row>
    <row r="35" spans="2:9" ht="14.4" customHeight="1" x14ac:dyDescent="0.3">
      <c r="C35" s="95" t="s">
        <v>25</v>
      </c>
      <c r="E35" s="342"/>
      <c r="F35" s="343"/>
      <c r="G35" s="343"/>
      <c r="H35" s="343"/>
      <c r="I35" s="343"/>
    </row>
    <row r="36" spans="2:9" ht="14.4" customHeight="1" x14ac:dyDescent="0.3">
      <c r="D36" s="94" t="s">
        <v>186</v>
      </c>
      <c r="E36" s="336">
        <f>'Balance Sheet'!E17/'Balance Sheet'!E$23</f>
        <v>0.37731174760775771</v>
      </c>
      <c r="F36" s="337">
        <f>'Balance Sheet'!F17/'Balance Sheet'!F$23</f>
        <v>0.38060948153271978</v>
      </c>
      <c r="G36" s="337">
        <f>'Balance Sheet'!G17/'Balance Sheet'!G$23</f>
        <v>0.31314442230655554</v>
      </c>
      <c r="H36" s="337">
        <f>'Balance Sheet'!H17/'Balance Sheet'!H$23</f>
        <v>0.28152561550973393</v>
      </c>
      <c r="I36" s="337">
        <f>'Balance Sheet'!I17/'Balance Sheet'!I$23</f>
        <v>0.25276266343831055</v>
      </c>
    </row>
    <row r="37" spans="2:9" ht="14.4" customHeight="1" x14ac:dyDescent="0.3">
      <c r="D37" s="94" t="s">
        <v>187</v>
      </c>
      <c r="E37" s="336">
        <f>'Balance Sheet'!E18/'Balance Sheet'!E$23</f>
        <v>1.9657621686004186E-3</v>
      </c>
      <c r="F37" s="337">
        <f>'Balance Sheet'!F18/'Balance Sheet'!F$23</f>
        <v>8.2518917230923732E-3</v>
      </c>
      <c r="G37" s="337">
        <f>'Balance Sheet'!G18/'Balance Sheet'!G$23</f>
        <v>5.9603570871162633E-3</v>
      </c>
      <c r="H37" s="337">
        <f>'Balance Sheet'!H18/'Balance Sheet'!H$23</f>
        <v>4.7735469727124844E-3</v>
      </c>
      <c r="I37" s="337">
        <f>'Balance Sheet'!I18/'Balance Sheet'!I$23</f>
        <v>1.469704621030465E-2</v>
      </c>
    </row>
    <row r="38" spans="2:9" ht="14.4" customHeight="1" x14ac:dyDescent="0.3">
      <c r="D38" s="94" t="s">
        <v>188</v>
      </c>
      <c r="E38" s="336">
        <f>'Balance Sheet'!E19/'Balance Sheet'!E$23</f>
        <v>0.16735608216175735</v>
      </c>
      <c r="F38" s="337">
        <f>'Balance Sheet'!F19/'Balance Sheet'!F$23</f>
        <v>8.4797211649690035E-2</v>
      </c>
      <c r="G38" s="337">
        <f>'Balance Sheet'!G19/'Balance Sheet'!G$23</f>
        <v>0.11898779385235357</v>
      </c>
      <c r="H38" s="337">
        <f>'Balance Sheet'!H19/'Balance Sheet'!H$23</f>
        <v>0.13943682248466907</v>
      </c>
      <c r="I38" s="337">
        <f>'Balance Sheet'!I19/'Balance Sheet'!I$23</f>
        <v>0.13750946155792701</v>
      </c>
    </row>
    <row r="39" spans="2:9" ht="14.4" customHeight="1" x14ac:dyDescent="0.3">
      <c r="D39" s="94" t="s">
        <v>189</v>
      </c>
      <c r="E39" s="336">
        <f>'Balance Sheet'!E20/'Balance Sheet'!E$23</f>
        <v>4.0462744933482016E-2</v>
      </c>
      <c r="F39" s="337">
        <f>'Balance Sheet'!F20/'Balance Sheet'!F$23</f>
        <v>4.4860741981897906E-2</v>
      </c>
      <c r="G39" s="337">
        <f>'Balance Sheet'!G20/'Balance Sheet'!G$23</f>
        <v>4.4190163371995737E-2</v>
      </c>
      <c r="H39" s="337">
        <f>'Balance Sheet'!H20/'Balance Sheet'!H$23</f>
        <v>5.171595122394753E-2</v>
      </c>
      <c r="I39" s="337">
        <f>'Balance Sheet'!I20/'Balance Sheet'!I$23</f>
        <v>5.1648122570511587E-2</v>
      </c>
    </row>
    <row r="40" spans="2:9" ht="14.4" customHeight="1" x14ac:dyDescent="0.3">
      <c r="D40" s="94" t="s">
        <v>190</v>
      </c>
      <c r="E40" s="336">
        <f>'Balance Sheet'!E21/'Balance Sheet'!E$23</f>
        <v>2.8795672095376576E-2</v>
      </c>
      <c r="F40" s="337">
        <f>'Balance Sheet'!F21/'Balance Sheet'!F$23</f>
        <v>1.6418158526982769E-2</v>
      </c>
      <c r="G40" s="337">
        <f>'Balance Sheet'!G21/'Balance Sheet'!G$23</f>
        <v>1.4581010378248565E-2</v>
      </c>
      <c r="H40" s="337">
        <f>'Balance Sheet'!H21/'Balance Sheet'!H$23</f>
        <v>1.6582392936160751E-2</v>
      </c>
      <c r="I40" s="337">
        <f>'Balance Sheet'!I21/'Balance Sheet'!I$23</f>
        <v>1.6925459087610402E-2</v>
      </c>
    </row>
    <row r="41" spans="2:9" ht="14.4" customHeight="1" thickBot="1" x14ac:dyDescent="0.35">
      <c r="D41" s="94"/>
      <c r="E41" s="308"/>
      <c r="F41" s="94"/>
      <c r="G41" s="94"/>
      <c r="H41" s="94"/>
      <c r="I41" s="94"/>
    </row>
    <row r="42" spans="2:9" ht="14.4" customHeight="1" thickTop="1" thickBot="1" x14ac:dyDescent="0.35">
      <c r="D42" s="96" t="s">
        <v>191</v>
      </c>
      <c r="E42" s="344">
        <f>SUM(E30:E40)</f>
        <v>0.99999999999999978</v>
      </c>
      <c r="F42" s="345">
        <f>SUM(F30:F40)</f>
        <v>1.0000000000000002</v>
      </c>
      <c r="G42" s="345">
        <f>SUM(G30:G40)</f>
        <v>1.0000000000000002</v>
      </c>
      <c r="H42" s="345">
        <f>SUM(H30:H40)</f>
        <v>0.99999999999999989</v>
      </c>
      <c r="I42" s="345">
        <f>SUM(I30:I40)</f>
        <v>0.99999999999999989</v>
      </c>
    </row>
    <row r="43" spans="2:9" ht="14.4" customHeight="1" thickTop="1" x14ac:dyDescent="0.3">
      <c r="D43" s="94"/>
      <c r="E43" s="308"/>
      <c r="F43" s="94"/>
      <c r="G43" s="94"/>
      <c r="H43" s="94"/>
      <c r="I43" s="94"/>
    </row>
    <row r="44" spans="2:9" ht="14.4" customHeight="1" x14ac:dyDescent="0.3">
      <c r="B44" s="95" t="s">
        <v>192</v>
      </c>
      <c r="E44" s="308"/>
      <c r="F44" s="94"/>
      <c r="G44" s="94"/>
      <c r="H44" s="94"/>
      <c r="I44" s="94"/>
    </row>
    <row r="45" spans="2:9" ht="14.4" customHeight="1" x14ac:dyDescent="0.3">
      <c r="C45" s="95" t="s">
        <v>193</v>
      </c>
      <c r="E45" s="308"/>
      <c r="F45" s="94"/>
      <c r="G45" s="94"/>
      <c r="H45" s="94"/>
      <c r="I45" s="94"/>
    </row>
    <row r="46" spans="2:9" ht="14.4" customHeight="1" x14ac:dyDescent="0.3">
      <c r="D46" s="94" t="s">
        <v>194</v>
      </c>
      <c r="E46" s="336">
        <f>'Balance Sheet'!E27/'Balance Sheet'!E$39</f>
        <v>0.11254553289423781</v>
      </c>
      <c r="F46" s="337">
        <f>'Balance Sheet'!F27/'Balance Sheet'!F$39</f>
        <v>0.12273240869613394</v>
      </c>
      <c r="G46" s="337">
        <f>'Balance Sheet'!G27/'Balance Sheet'!G$39</f>
        <v>0.1405626273377775</v>
      </c>
      <c r="H46" s="337">
        <f>'Balance Sheet'!H27/'Balance Sheet'!H$39</f>
        <v>0.14516381600880959</v>
      </c>
      <c r="I46" s="337">
        <f>'Balance Sheet'!I27/'Balance Sheet'!I$39</f>
        <v>0.1570445827494758</v>
      </c>
    </row>
    <row r="47" spans="2:9" ht="14.4" customHeight="1" x14ac:dyDescent="0.3">
      <c r="D47" s="94" t="s">
        <v>195</v>
      </c>
      <c r="E47" s="336">
        <f>'Balance Sheet'!E28/'Balance Sheet'!E$39</f>
        <v>6.0891823365455844E-2</v>
      </c>
      <c r="F47" s="337">
        <f>'Balance Sheet'!F28/'Balance Sheet'!F$39</f>
        <v>5.9277627887532519E-2</v>
      </c>
      <c r="G47" s="337">
        <f>'Balance Sheet'!G28/'Balance Sheet'!G$39</f>
        <v>4.8546187494639334E-2</v>
      </c>
      <c r="H47" s="337">
        <f>'Balance Sheet'!H28/'Balance Sheet'!H$39</f>
        <v>4.8597991574310738E-2</v>
      </c>
      <c r="I47" s="337">
        <f>'Balance Sheet'!I28/'Balance Sheet'!I$39</f>
        <v>6.0312066983928443E-2</v>
      </c>
    </row>
    <row r="48" spans="2:9" ht="14.4" customHeight="1" x14ac:dyDescent="0.3">
      <c r="C48" s="95" t="s">
        <v>196</v>
      </c>
      <c r="E48" s="336"/>
      <c r="F48" s="337"/>
      <c r="G48" s="337"/>
      <c r="H48" s="337"/>
      <c r="I48" s="337"/>
    </row>
    <row r="49" spans="3:9" ht="14.4" customHeight="1" x14ac:dyDescent="0.3">
      <c r="D49" s="94" t="s">
        <v>197</v>
      </c>
      <c r="E49" s="336">
        <f>'Balance Sheet'!E31/'Balance Sheet'!E$39</f>
        <v>8.2595903532400372E-2</v>
      </c>
      <c r="F49" s="337">
        <f>'Balance Sheet'!F31/'Balance Sheet'!F$39</f>
        <v>6.6669912578636416E-3</v>
      </c>
      <c r="G49" s="337">
        <f>'Balance Sheet'!G31/'Balance Sheet'!G$39</f>
        <v>5.8707900320444775E-2</v>
      </c>
      <c r="H49" s="337">
        <f>'Balance Sheet'!H31/'Balance Sheet'!H$39</f>
        <v>4.7494266692260291E-2</v>
      </c>
      <c r="I49" s="337">
        <f>'Balance Sheet'!I31/'Balance Sheet'!I$39</f>
        <v>1.4155270993510959E-2</v>
      </c>
    </row>
    <row r="50" spans="3:9" ht="14.4" customHeight="1" x14ac:dyDescent="0.3">
      <c r="D50" s="94" t="s">
        <v>198</v>
      </c>
      <c r="E50" s="336">
        <f>'Balance Sheet'!E32/'Balance Sheet'!E$39</f>
        <v>3.3509950662274635E-2</v>
      </c>
      <c r="F50" s="337">
        <f>'Balance Sheet'!F32/'Balance Sheet'!F$39</f>
        <v>3.0395167396717038E-2</v>
      </c>
      <c r="G50" s="337">
        <f>'Balance Sheet'!G32/'Balance Sheet'!G$39</f>
        <v>2.8761289034433399E-2</v>
      </c>
      <c r="H50" s="337">
        <f>'Balance Sheet'!H32/'Balance Sheet'!H$39</f>
        <v>3.1568552175626118E-2</v>
      </c>
      <c r="I50" s="337">
        <f>'Balance Sheet'!I32/'Balance Sheet'!I$39</f>
        <v>3.1370568674467789E-2</v>
      </c>
    </row>
    <row r="51" spans="3:9" ht="14.4" customHeight="1" x14ac:dyDescent="0.3">
      <c r="C51" s="95" t="s">
        <v>199</v>
      </c>
      <c r="E51" s="336"/>
      <c r="F51" s="337"/>
      <c r="G51" s="337"/>
      <c r="H51" s="337"/>
      <c r="I51" s="337"/>
    </row>
    <row r="52" spans="3:9" ht="14.4" customHeight="1" x14ac:dyDescent="0.3">
      <c r="D52" s="94" t="s">
        <v>200</v>
      </c>
      <c r="E52" s="336">
        <f>'Balance Sheet'!E35/'Balance Sheet'!E$39</f>
        <v>8.9476071122501846E-3</v>
      </c>
      <c r="F52" s="337">
        <f>'Balance Sheet'!F35/'Balance Sheet'!F$39</f>
        <v>9.3079323932500693E-3</v>
      </c>
      <c r="G52" s="337">
        <f>'Balance Sheet'!G35/'Balance Sheet'!G$39</f>
        <v>7.7952865513027996E-3</v>
      </c>
      <c r="H52" s="337">
        <f>'Balance Sheet'!H35/'Balance Sheet'!H$39</f>
        <v>7.0012022266449786E-3</v>
      </c>
      <c r="I52" s="337">
        <f>'Balance Sheet'!I35/'Balance Sheet'!I$39</f>
        <v>6.1802506212021383E-3</v>
      </c>
    </row>
    <row r="53" spans="3:9" ht="14.4" customHeight="1" x14ac:dyDescent="0.3">
      <c r="D53" s="94" t="s">
        <v>201</v>
      </c>
      <c r="E53" s="336">
        <f>'Balance Sheet'!E36/'Balance Sheet'!E$39</f>
        <v>0.51553323316231103</v>
      </c>
      <c r="F53" s="337">
        <f>'Balance Sheet'!F36/'Balance Sheet'!F$39</f>
        <v>0.57779023909499494</v>
      </c>
      <c r="G53" s="337">
        <f>'Balance Sheet'!G36/'Balance Sheet'!G$39</f>
        <v>0.55290010250295629</v>
      </c>
      <c r="H53" s="337">
        <f>'Balance Sheet'!H36/'Balance Sheet'!H$39</f>
        <v>0.57336360789226437</v>
      </c>
      <c r="I53" s="337">
        <f>'Balance Sheet'!I36/'Balance Sheet'!I$39</f>
        <v>0.60017211953389493</v>
      </c>
    </row>
    <row r="54" spans="3:9" ht="14.4" customHeight="1" x14ac:dyDescent="0.3">
      <c r="D54" s="94" t="s">
        <v>242</v>
      </c>
      <c r="E54" s="336">
        <f>'Balance Sheet'!E37/'Balance Sheet'!E$39</f>
        <v>0.1859759492710702</v>
      </c>
      <c r="F54" s="337">
        <f>'Balance Sheet'!F37/'Balance Sheet'!F$39</f>
        <v>0.19382963327350783</v>
      </c>
      <c r="G54" s="337">
        <f>'Balance Sheet'!G37/'Balance Sheet'!G$39</f>
        <v>0.16272660675844594</v>
      </c>
      <c r="H54" s="337">
        <f>'Balance Sheet'!H37/'Balance Sheet'!H$39</f>
        <v>0.14681056343008395</v>
      </c>
      <c r="I54" s="337">
        <f>'Balance Sheet'!I37/'Balance Sheet'!I$39</f>
        <v>0.13076514044351992</v>
      </c>
    </row>
    <row r="55" spans="3:9" ht="14.4" customHeight="1" thickBot="1" x14ac:dyDescent="0.35">
      <c r="D55" s="94"/>
      <c r="E55" s="346"/>
      <c r="F55" s="335"/>
      <c r="G55" s="335"/>
      <c r="H55" s="335"/>
      <c r="I55" s="335"/>
    </row>
    <row r="56" spans="3:9" ht="14.4" customHeight="1" thickTop="1" thickBot="1" x14ac:dyDescent="0.35">
      <c r="D56" s="96" t="s">
        <v>202</v>
      </c>
      <c r="E56" s="344">
        <f>SUM(E46:E54)</f>
        <v>1</v>
      </c>
      <c r="F56" s="345">
        <f>SUM(F46:F54)</f>
        <v>1</v>
      </c>
      <c r="G56" s="345">
        <f>SUM(G46:G54)</f>
        <v>1</v>
      </c>
      <c r="H56" s="345">
        <f>SUM(H46:H54)</f>
        <v>1</v>
      </c>
      <c r="I56" s="345">
        <f>SUM(I46:I54)</f>
        <v>1</v>
      </c>
    </row>
    <row r="57" spans="3:9" ht="14.4" customHeight="1" thickTop="1" x14ac:dyDescent="0.3">
      <c r="C57" s="94"/>
      <c r="D57" s="94"/>
      <c r="E57" s="94"/>
      <c r="F57" s="94"/>
      <c r="G57" s="94"/>
      <c r="H57" s="94"/>
      <c r="I57" s="94"/>
    </row>
    <row r="58" spans="3:9" ht="14.4" customHeight="1" x14ac:dyDescent="0.3">
      <c r="C58" s="94"/>
      <c r="D58" s="94"/>
      <c r="E58" s="94"/>
      <c r="F58" s="94"/>
      <c r="G58" s="94"/>
      <c r="H58" s="94"/>
      <c r="I58" s="94"/>
    </row>
    <row r="59" spans="3:9" ht="14.4" customHeight="1" x14ac:dyDescent="0.3">
      <c r="C59" s="94"/>
      <c r="D59" s="94"/>
      <c r="E59" s="94"/>
      <c r="F59" s="94"/>
      <c r="G59" s="94"/>
      <c r="H59" s="94"/>
      <c r="I59" s="94"/>
    </row>
    <row r="60" spans="3:9" ht="14.4" customHeight="1" x14ac:dyDescent="0.3">
      <c r="C60" s="94"/>
      <c r="D60" s="94"/>
      <c r="E60" s="94"/>
      <c r="F60" s="94"/>
      <c r="G60" s="94"/>
      <c r="H60" s="94"/>
      <c r="I60" s="94"/>
    </row>
    <row r="61" spans="3:9" ht="14.4" customHeight="1" x14ac:dyDescent="0.3">
      <c r="C61" s="94"/>
      <c r="D61" s="94"/>
      <c r="E61" s="94"/>
      <c r="F61" s="94"/>
      <c r="G61" s="94"/>
      <c r="H61" s="94"/>
      <c r="I61" s="94"/>
    </row>
    <row r="62" spans="3:9" ht="14.4" customHeight="1" x14ac:dyDescent="0.3">
      <c r="C62" s="94"/>
      <c r="D62" s="94"/>
      <c r="E62" s="94"/>
      <c r="F62" s="94"/>
      <c r="G62" s="94"/>
      <c r="H62" s="94"/>
      <c r="I62" s="94"/>
    </row>
    <row r="63" spans="3:9" ht="14.4" customHeight="1" x14ac:dyDescent="0.3">
      <c r="C63" s="94"/>
      <c r="D63" s="94"/>
      <c r="E63" s="94"/>
      <c r="F63" s="94"/>
      <c r="G63" s="94"/>
      <c r="H63" s="94"/>
      <c r="I63" s="94"/>
    </row>
    <row r="64" spans="3:9" ht="14.4" customHeight="1" x14ac:dyDescent="0.3">
      <c r="C64" s="94"/>
      <c r="D64" s="94"/>
      <c r="E64" s="94"/>
      <c r="F64" s="94"/>
      <c r="G64" s="94"/>
      <c r="H64" s="94"/>
      <c r="I64" s="94"/>
    </row>
    <row r="65" spans="3:9" ht="14.4" customHeight="1" x14ac:dyDescent="0.3">
      <c r="C65" s="94"/>
      <c r="D65" s="94"/>
      <c r="E65" s="94"/>
      <c r="F65" s="94"/>
      <c r="G65" s="94"/>
      <c r="H65" s="94"/>
      <c r="I65" s="94"/>
    </row>
    <row r="66" spans="3:9" ht="14.4" customHeight="1" x14ac:dyDescent="0.3">
      <c r="C66" s="94"/>
      <c r="D66" s="94"/>
      <c r="E66" s="94"/>
      <c r="F66" s="94"/>
      <c r="G66" s="94"/>
      <c r="H66" s="94"/>
      <c r="I66" s="94"/>
    </row>
    <row r="67" spans="3:9" ht="14.4" customHeight="1" x14ac:dyDescent="0.3">
      <c r="C67" s="94"/>
      <c r="D67" s="94"/>
      <c r="E67" s="94"/>
      <c r="F67" s="94"/>
      <c r="G67" s="94"/>
      <c r="H67" s="94"/>
      <c r="I67" s="94"/>
    </row>
    <row r="68" spans="3:9" ht="14.4" customHeight="1" x14ac:dyDescent="0.3">
      <c r="C68" s="94"/>
      <c r="D68" s="94"/>
      <c r="E68" s="94"/>
      <c r="F68" s="94"/>
      <c r="G68" s="94"/>
      <c r="H68" s="94"/>
      <c r="I68" s="94"/>
    </row>
    <row r="69" spans="3:9" ht="14.4" customHeight="1" x14ac:dyDescent="0.3">
      <c r="C69" s="94"/>
      <c r="D69" s="94"/>
      <c r="E69" s="94"/>
      <c r="F69" s="94"/>
      <c r="G69" s="94"/>
      <c r="H69" s="94"/>
      <c r="I69" s="94"/>
    </row>
    <row r="70" spans="3:9" ht="14.4" customHeight="1" x14ac:dyDescent="0.3">
      <c r="C70" s="94"/>
      <c r="D70" s="94"/>
      <c r="E70" s="94"/>
      <c r="F70" s="94"/>
      <c r="G70" s="94"/>
      <c r="H70" s="94"/>
      <c r="I70" s="94"/>
    </row>
    <row r="71" spans="3:9" ht="14.4" customHeight="1" x14ac:dyDescent="0.3">
      <c r="C71" s="94"/>
      <c r="D71" s="94"/>
      <c r="E71" s="94"/>
      <c r="F71" s="94"/>
      <c r="G71" s="94"/>
      <c r="H71" s="94"/>
      <c r="I71" s="94"/>
    </row>
    <row r="72" spans="3:9" ht="14.4" customHeight="1" x14ac:dyDescent="0.3">
      <c r="C72" s="94"/>
      <c r="D72" s="94"/>
      <c r="E72" s="94"/>
      <c r="F72" s="94"/>
      <c r="G72" s="94"/>
      <c r="H72" s="94"/>
      <c r="I72" s="94"/>
    </row>
    <row r="73" spans="3:9" ht="14.4" customHeight="1" x14ac:dyDescent="0.3">
      <c r="C73" s="94"/>
      <c r="D73" s="94"/>
      <c r="E73" s="94"/>
      <c r="F73" s="94"/>
      <c r="G73" s="94"/>
      <c r="H73" s="94"/>
      <c r="I73" s="94"/>
    </row>
    <row r="74" spans="3:9" ht="14.4" customHeight="1" x14ac:dyDescent="0.3">
      <c r="C74" s="94"/>
      <c r="D74" s="94"/>
      <c r="E74" s="94"/>
      <c r="F74" s="94"/>
      <c r="G74" s="94"/>
      <c r="H74" s="94"/>
      <c r="I74" s="94"/>
    </row>
    <row r="75" spans="3:9" ht="14.4" customHeight="1" x14ac:dyDescent="0.3">
      <c r="C75" s="94"/>
      <c r="D75" s="94"/>
      <c r="E75" s="94"/>
      <c r="F75" s="94"/>
      <c r="G75" s="94"/>
      <c r="H75" s="94"/>
      <c r="I75" s="94"/>
    </row>
    <row r="76" spans="3:9" ht="14.4" customHeight="1" x14ac:dyDescent="0.3">
      <c r="C76" s="94"/>
      <c r="D76" s="94"/>
      <c r="E76" s="94"/>
      <c r="F76" s="94"/>
      <c r="G76" s="94"/>
      <c r="H76" s="94"/>
      <c r="I76" s="94"/>
    </row>
    <row r="77" spans="3:9" ht="14.4" customHeight="1" x14ac:dyDescent="0.3">
      <c r="C77" s="94"/>
      <c r="D77" s="94"/>
      <c r="E77" s="94"/>
      <c r="F77" s="94"/>
      <c r="G77" s="94"/>
      <c r="H77" s="94"/>
      <c r="I77" s="94"/>
    </row>
    <row r="78" spans="3:9" ht="14.4" customHeight="1" x14ac:dyDescent="0.3">
      <c r="C78" s="94"/>
      <c r="D78" s="94"/>
      <c r="E78" s="94"/>
      <c r="F78" s="94"/>
      <c r="G78" s="94"/>
      <c r="H78" s="94"/>
      <c r="I78" s="94"/>
    </row>
    <row r="79" spans="3:9" ht="14.4" customHeight="1" x14ac:dyDescent="0.3">
      <c r="C79" s="94"/>
      <c r="D79" s="94"/>
      <c r="E79" s="94"/>
      <c r="F79" s="94"/>
      <c r="G79" s="94"/>
      <c r="H79" s="94"/>
      <c r="I79" s="94"/>
    </row>
    <row r="80" spans="3:9" ht="14.4" customHeight="1" x14ac:dyDescent="0.3">
      <c r="C80" s="94"/>
      <c r="D80" s="94"/>
      <c r="E80" s="94"/>
      <c r="F80" s="94"/>
      <c r="G80" s="94"/>
      <c r="H80" s="94"/>
      <c r="I80" s="94"/>
    </row>
    <row r="81" spans="3:9" ht="14.4" customHeight="1" x14ac:dyDescent="0.3">
      <c r="C81" s="94"/>
      <c r="D81" s="94"/>
      <c r="E81" s="94"/>
      <c r="F81" s="94"/>
      <c r="G81" s="94"/>
      <c r="H81" s="94"/>
      <c r="I81" s="94"/>
    </row>
    <row r="82" spans="3:9" ht="14.4" customHeight="1" x14ac:dyDescent="0.3">
      <c r="C82" s="94"/>
      <c r="D82" s="94"/>
      <c r="E82" s="94"/>
      <c r="F82" s="94"/>
      <c r="G82" s="94"/>
      <c r="H82" s="94"/>
      <c r="I82" s="94"/>
    </row>
    <row r="83" spans="3:9" ht="14.4" customHeight="1" x14ac:dyDescent="0.3">
      <c r="C83" s="94"/>
      <c r="D83" s="94"/>
      <c r="E83" s="94"/>
      <c r="F83" s="94"/>
      <c r="G83" s="94"/>
      <c r="H83" s="94"/>
      <c r="I83" s="94"/>
    </row>
    <row r="84" spans="3:9" ht="14.4" customHeight="1" x14ac:dyDescent="0.3">
      <c r="C84" s="94"/>
      <c r="D84" s="94"/>
      <c r="E84" s="94"/>
      <c r="F84" s="94"/>
      <c r="G84" s="94"/>
      <c r="H84" s="94"/>
      <c r="I84" s="94"/>
    </row>
    <row r="85" spans="3:9" ht="14.4" customHeight="1" x14ac:dyDescent="0.3">
      <c r="C85" s="94"/>
      <c r="D85" s="94"/>
      <c r="E85" s="94"/>
      <c r="F85" s="94"/>
      <c r="G85" s="94"/>
      <c r="H85" s="94"/>
      <c r="I85" s="94"/>
    </row>
    <row r="86" spans="3:9" ht="14.4" customHeight="1" x14ac:dyDescent="0.3">
      <c r="C86" s="94"/>
      <c r="D86" s="94"/>
      <c r="E86" s="94"/>
      <c r="F86" s="94"/>
      <c r="G86" s="94"/>
      <c r="H86" s="94"/>
      <c r="I86" s="94"/>
    </row>
    <row r="87" spans="3:9" ht="14.4" customHeight="1" x14ac:dyDescent="0.3">
      <c r="C87" s="94"/>
      <c r="D87" s="94"/>
      <c r="E87" s="94"/>
      <c r="F87" s="94"/>
      <c r="G87" s="94"/>
      <c r="H87" s="94"/>
      <c r="I87" s="94"/>
    </row>
    <row r="88" spans="3:9" ht="14.4" customHeight="1" x14ac:dyDescent="0.3">
      <c r="C88" s="94"/>
      <c r="D88" s="94"/>
      <c r="E88" s="94"/>
      <c r="F88" s="94"/>
      <c r="G88" s="94"/>
      <c r="H88" s="94"/>
      <c r="I88" s="94"/>
    </row>
    <row r="89" spans="3:9" ht="14.4" customHeight="1" x14ac:dyDescent="0.3">
      <c r="C89" s="94"/>
      <c r="D89" s="94"/>
      <c r="E89" s="94"/>
      <c r="F89" s="94"/>
      <c r="G89" s="94"/>
      <c r="H89" s="94"/>
      <c r="I89" s="94"/>
    </row>
    <row r="90" spans="3:9" ht="14.4" customHeight="1" x14ac:dyDescent="0.3">
      <c r="C90" s="94"/>
      <c r="D90" s="94"/>
      <c r="E90" s="94"/>
      <c r="F90" s="94"/>
      <c r="G90" s="94"/>
      <c r="H90" s="94"/>
      <c r="I90" s="94"/>
    </row>
    <row r="91" spans="3:9" ht="14.4" customHeight="1" x14ac:dyDescent="0.3">
      <c r="C91" s="94"/>
      <c r="D91" s="94"/>
      <c r="E91" s="94"/>
      <c r="F91" s="94"/>
      <c r="G91" s="94"/>
      <c r="H91" s="94"/>
      <c r="I91" s="94"/>
    </row>
    <row r="92" spans="3:9" ht="14.4" customHeight="1" x14ac:dyDescent="0.3">
      <c r="C92" s="94"/>
      <c r="D92" s="94"/>
      <c r="E92" s="94"/>
      <c r="F92" s="94"/>
      <c r="G92" s="94"/>
      <c r="H92" s="94"/>
      <c r="I92" s="94"/>
    </row>
    <row r="93" spans="3:9" ht="14.4" customHeight="1" x14ac:dyDescent="0.3">
      <c r="C93" s="94"/>
      <c r="D93" s="94"/>
      <c r="E93" s="94"/>
      <c r="F93" s="94"/>
      <c r="G93" s="94"/>
      <c r="H93" s="94"/>
      <c r="I93" s="94"/>
    </row>
    <row r="94" spans="3:9" ht="14.4" customHeight="1" x14ac:dyDescent="0.3">
      <c r="C94" s="94"/>
      <c r="D94" s="94"/>
      <c r="E94" s="94"/>
      <c r="F94" s="94"/>
      <c r="G94" s="94"/>
      <c r="H94" s="94"/>
      <c r="I94" s="94"/>
    </row>
    <row r="95" spans="3:9" ht="14.4" customHeight="1" x14ac:dyDescent="0.3">
      <c r="C95" s="94"/>
      <c r="D95" s="94"/>
      <c r="E95" s="94"/>
      <c r="F95" s="94"/>
      <c r="G95" s="94"/>
      <c r="H95" s="94"/>
      <c r="I95" s="94"/>
    </row>
    <row r="96" spans="3:9" ht="14.4" customHeight="1" x14ac:dyDescent="0.3">
      <c r="C96" s="94"/>
      <c r="D96" s="94"/>
      <c r="E96" s="94"/>
      <c r="F96" s="94"/>
      <c r="G96" s="94"/>
      <c r="H96" s="94"/>
      <c r="I96" s="94"/>
    </row>
    <row r="97" spans="3:9" ht="14.4" customHeight="1" x14ac:dyDescent="0.3">
      <c r="C97" s="94"/>
      <c r="D97" s="94"/>
      <c r="E97" s="94"/>
      <c r="F97" s="94"/>
      <c r="G97" s="94"/>
      <c r="H97" s="94"/>
      <c r="I97" s="94"/>
    </row>
  </sheetData>
  <mergeCells count="3">
    <mergeCell ref="D4:I4"/>
    <mergeCell ref="D26:I26"/>
    <mergeCell ref="D6:I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4F47-2AAD-4566-8471-0B81C69B5C90}">
  <dimension ref="D1:S26"/>
  <sheetViews>
    <sheetView showGridLines="0" zoomScale="99" zoomScaleNormal="99" workbookViewId="0">
      <selection activeCell="J18" sqref="J18"/>
    </sheetView>
  </sheetViews>
  <sheetFormatPr defaultRowHeight="14.4" customHeight="1" x14ac:dyDescent="0.3"/>
  <cols>
    <col min="1" max="3" width="1.33203125" style="94" customWidth="1"/>
    <col min="4" max="4" width="35.77734375" style="94" customWidth="1"/>
    <col min="5" max="19" width="10.77734375" style="94" customWidth="1"/>
    <col min="20" max="16384" width="8.88671875" style="94"/>
  </cols>
  <sheetData>
    <row r="1" spans="4:19" s="79" customFormat="1" ht="14.4" customHeight="1" x14ac:dyDescent="0.3"/>
    <row r="2" spans="4:19" s="79" customFormat="1" ht="14.4" customHeight="1" x14ac:dyDescent="0.3"/>
    <row r="3" spans="4:19" s="79" customFormat="1" ht="14.4" customHeight="1" x14ac:dyDescent="0.3">
      <c r="R3" s="317" t="s">
        <v>258</v>
      </c>
    </row>
    <row r="4" spans="4:19" s="79" customFormat="1" ht="16.8" customHeight="1" x14ac:dyDescent="0.3">
      <c r="D4" s="378" t="s">
        <v>167</v>
      </c>
      <c r="E4" s="378"/>
      <c r="F4" s="378"/>
      <c r="G4" s="378"/>
      <c r="H4" s="378"/>
      <c r="I4" s="378"/>
      <c r="J4" s="378"/>
      <c r="K4" s="378"/>
      <c r="L4" s="378"/>
      <c r="M4" s="378"/>
      <c r="N4" s="378"/>
      <c r="O4" s="378"/>
      <c r="P4" s="378"/>
      <c r="Q4" s="378"/>
      <c r="R4" s="378"/>
      <c r="S4" s="378"/>
    </row>
    <row r="5" spans="4:19" ht="14.4" customHeight="1" x14ac:dyDescent="0.3">
      <c r="E5" s="318">
        <v>2020</v>
      </c>
      <c r="F5" s="95">
        <f t="shared" ref="F5:S5" si="0">E5+1</f>
        <v>2021</v>
      </c>
      <c r="G5" s="95">
        <f t="shared" si="0"/>
        <v>2022</v>
      </c>
      <c r="H5" s="95">
        <f t="shared" si="0"/>
        <v>2023</v>
      </c>
      <c r="I5" s="95">
        <f t="shared" si="0"/>
        <v>2024</v>
      </c>
      <c r="J5" s="95">
        <f t="shared" si="0"/>
        <v>2025</v>
      </c>
      <c r="K5" s="95">
        <f t="shared" si="0"/>
        <v>2026</v>
      </c>
      <c r="L5" s="95">
        <f t="shared" si="0"/>
        <v>2027</v>
      </c>
      <c r="M5" s="95">
        <f t="shared" si="0"/>
        <v>2028</v>
      </c>
      <c r="N5" s="95">
        <f t="shared" si="0"/>
        <v>2029</v>
      </c>
      <c r="O5" s="95">
        <f t="shared" si="0"/>
        <v>2030</v>
      </c>
      <c r="P5" s="95">
        <f t="shared" si="0"/>
        <v>2031</v>
      </c>
      <c r="Q5" s="95">
        <f t="shared" si="0"/>
        <v>2032</v>
      </c>
      <c r="R5" s="95">
        <f t="shared" si="0"/>
        <v>2033</v>
      </c>
      <c r="S5" s="95">
        <f t="shared" si="0"/>
        <v>2034</v>
      </c>
    </row>
    <row r="6" spans="4:19" ht="14.4" customHeight="1" x14ac:dyDescent="0.3">
      <c r="D6" s="82" t="s">
        <v>1</v>
      </c>
      <c r="E6" s="319" t="s">
        <v>110</v>
      </c>
      <c r="F6" s="320" t="s">
        <v>110</v>
      </c>
      <c r="G6" s="320" t="s">
        <v>110</v>
      </c>
      <c r="H6" s="320" t="s">
        <v>110</v>
      </c>
      <c r="I6" s="320" t="s">
        <v>110</v>
      </c>
      <c r="J6" s="321" t="s">
        <v>111</v>
      </c>
      <c r="K6" s="321" t="s">
        <v>111</v>
      </c>
      <c r="L6" s="321" t="s">
        <v>111</v>
      </c>
      <c r="M6" s="321" t="s">
        <v>111</v>
      </c>
      <c r="N6" s="321" t="s">
        <v>111</v>
      </c>
      <c r="O6" s="321" t="s">
        <v>111</v>
      </c>
      <c r="P6" s="321" t="s">
        <v>111</v>
      </c>
      <c r="Q6" s="321" t="s">
        <v>111</v>
      </c>
      <c r="R6" s="321" t="s">
        <v>111</v>
      </c>
      <c r="S6" s="321" t="s">
        <v>111</v>
      </c>
    </row>
    <row r="7" spans="4:19" ht="14.4" customHeight="1" x14ac:dyDescent="0.3">
      <c r="E7" s="308"/>
      <c r="J7" s="309"/>
      <c r="K7" s="309"/>
      <c r="L7" s="309"/>
      <c r="M7" s="309"/>
      <c r="N7" s="309"/>
      <c r="O7" s="309"/>
      <c r="P7" s="309"/>
      <c r="Q7" s="309"/>
      <c r="R7" s="309"/>
      <c r="S7" s="309"/>
    </row>
    <row r="8" spans="4:19" ht="14.4" customHeight="1" x14ac:dyDescent="0.3">
      <c r="D8" s="94" t="s">
        <v>168</v>
      </c>
      <c r="E8" s="305">
        <f>'Cost Buildup'!E8</f>
        <v>5191.45</v>
      </c>
      <c r="F8" s="306">
        <f>'Cost Buildup'!F8</f>
        <v>4360.08</v>
      </c>
      <c r="G8" s="306">
        <f>'Cost Buildup'!G8</f>
        <v>6171.4000000000005</v>
      </c>
      <c r="H8" s="306">
        <f>'Cost Buildup'!H8</f>
        <v>7772.0899999999992</v>
      </c>
      <c r="I8" s="306">
        <f>'Cost Buildup'!I8</f>
        <v>9000.1999999999989</v>
      </c>
      <c r="J8" s="322">
        <f>'Cost Buildup'!J8</f>
        <v>10666.12586272617</v>
      </c>
      <c r="K8" s="322">
        <f>'Cost Buildup'!K8</f>
        <v>12285.053715433807</v>
      </c>
      <c r="L8" s="322">
        <f>'Cost Buildup'!L8</f>
        <v>13958.579113444681</v>
      </c>
      <c r="M8" s="322">
        <f>'Cost Buildup'!M8</f>
        <v>15665.175876781492</v>
      </c>
      <c r="N8" s="322">
        <f>'Cost Buildup'!N8</f>
        <v>17384.110810090275</v>
      </c>
      <c r="O8" s="322">
        <f>'Cost Buildup'!O8</f>
        <v>19096.139748861293</v>
      </c>
      <c r="P8" s="322">
        <f>'Cost Buildup'!P8</f>
        <v>20784.008455109775</v>
      </c>
      <c r="Q8" s="322">
        <f>'Cost Buildup'!Q8</f>
        <v>22432.766184997472</v>
      </c>
      <c r="R8" s="322">
        <f>'Cost Buildup'!R8</f>
        <v>24029.912931993884</v>
      </c>
      <c r="S8" s="322">
        <f>'Cost Buildup'!S8</f>
        <v>25565.408778369187</v>
      </c>
    </row>
    <row r="9" spans="4:19" ht="14.4" customHeight="1" x14ac:dyDescent="0.3">
      <c r="D9" s="94" t="s">
        <v>153</v>
      </c>
      <c r="E9" s="323">
        <f>-'Cost Buildup'!E10</f>
        <v>-3371.7899999999995</v>
      </c>
      <c r="F9" s="324">
        <f>-'Cost Buildup'!F10</f>
        <v>-2763.6200000000003</v>
      </c>
      <c r="G9" s="324">
        <f>-'Cost Buildup'!G10</f>
        <v>-4107.16</v>
      </c>
      <c r="H9" s="324">
        <f>-'Cost Buildup'!H10</f>
        <v>-5222.5199999999995</v>
      </c>
      <c r="I9" s="324">
        <f>-'Cost Buildup'!I10</f>
        <v>-5770.92</v>
      </c>
      <c r="J9" s="325">
        <f>-'Cost Buildup'!J10</f>
        <v>-6958.5969064897099</v>
      </c>
      <c r="K9" s="325">
        <f>-'Cost Buildup'!K10</f>
        <v>-8014.7879258597022</v>
      </c>
      <c r="L9" s="325">
        <f>-'Cost Buildup'!L10</f>
        <v>-9106.5984677009892</v>
      </c>
      <c r="M9" s="325">
        <f>-'Cost Buildup'!M10</f>
        <v>-10219.984819111023</v>
      </c>
      <c r="N9" s="325">
        <f>-'Cost Buildup'!N10</f>
        <v>-11341.42061157432</v>
      </c>
      <c r="O9" s="325">
        <f>-'Cost Buildup'!O10</f>
        <v>-12458.350922586787</v>
      </c>
      <c r="P9" s="325">
        <f>-'Cost Buildup'!P10</f>
        <v>-13559.519060767701</v>
      </c>
      <c r="Q9" s="325">
        <f>-'Cost Buildup'!Q10</f>
        <v>-14635.17113785796</v>
      </c>
      <c r="R9" s="325">
        <f>-'Cost Buildup'!R10</f>
        <v>-15677.152130384773</v>
      </c>
      <c r="S9" s="325">
        <f>-'Cost Buildup'!S10</f>
        <v>-16678.91198059003</v>
      </c>
    </row>
    <row r="10" spans="4:19" ht="14.4" customHeight="1" x14ac:dyDescent="0.3">
      <c r="D10" s="326" t="s">
        <v>169</v>
      </c>
      <c r="E10" s="327">
        <f t="shared" ref="E10:I10" si="1">SUM(E8:E9)</f>
        <v>1819.6600000000003</v>
      </c>
      <c r="F10" s="328">
        <f t="shared" si="1"/>
        <v>1596.4599999999996</v>
      </c>
      <c r="G10" s="328">
        <f t="shared" si="1"/>
        <v>2064.2400000000007</v>
      </c>
      <c r="H10" s="328">
        <f t="shared" si="1"/>
        <v>2549.5699999999997</v>
      </c>
      <c r="I10" s="328">
        <f t="shared" si="1"/>
        <v>3229.2799999999988</v>
      </c>
      <c r="J10" s="329">
        <f t="shared" ref="J10" si="2">SUM(J8:J9)</f>
        <v>3707.5289562364605</v>
      </c>
      <c r="K10" s="329">
        <f t="shared" ref="K10" si="3">SUM(K8:K9)</f>
        <v>4270.2657895741049</v>
      </c>
      <c r="L10" s="329">
        <f t="shared" ref="L10" si="4">SUM(L8:L9)</f>
        <v>4851.9806457436916</v>
      </c>
      <c r="M10" s="329">
        <f t="shared" ref="M10" si="5">SUM(M8:M9)</f>
        <v>5445.1910576704686</v>
      </c>
      <c r="N10" s="329">
        <f t="shared" ref="N10" si="6">SUM(N8:N9)</f>
        <v>6042.6901985159548</v>
      </c>
      <c r="O10" s="329">
        <f t="shared" ref="O10" si="7">SUM(O8:O9)</f>
        <v>6637.7888262745055</v>
      </c>
      <c r="P10" s="329">
        <f t="shared" ref="P10" si="8">SUM(P8:P9)</f>
        <v>7224.4893943420739</v>
      </c>
      <c r="Q10" s="329">
        <f t="shared" ref="Q10" si="9">SUM(Q8:Q9)</f>
        <v>7797.5950471395117</v>
      </c>
      <c r="R10" s="329">
        <f t="shared" ref="R10" si="10">SUM(R8:R9)</f>
        <v>8352.7608016091108</v>
      </c>
      <c r="S10" s="329">
        <f t="shared" ref="S10" si="11">SUM(S8:S9)</f>
        <v>8886.4967977791566</v>
      </c>
    </row>
    <row r="11" spans="4:19" ht="14.4" customHeight="1" x14ac:dyDescent="0.3">
      <c r="D11" s="94" t="s">
        <v>170</v>
      </c>
      <c r="E11" s="323">
        <f>-'Cost Buildup'!E15</f>
        <v>-577.75</v>
      </c>
      <c r="F11" s="324">
        <f>-'Cost Buildup'!F15</f>
        <v>-509.77</v>
      </c>
      <c r="G11" s="324">
        <f>-'Cost Buildup'!G15</f>
        <v>-614.53</v>
      </c>
      <c r="H11" s="324">
        <f>-'Cost Buildup'!H15</f>
        <v>-648.88</v>
      </c>
      <c r="I11" s="324">
        <f>-'Cost Buildup'!I15</f>
        <v>-801.37</v>
      </c>
      <c r="J11" s="325">
        <f>-'Cost Buildup'!J15</f>
        <v>-1067.2760821520512</v>
      </c>
      <c r="K11" s="325">
        <f>-'Cost Buildup'!K15</f>
        <v>-1229.2695742748806</v>
      </c>
      <c r="L11" s="325">
        <f>-'Cost Buildup'!L15</f>
        <v>-1396.7262172170708</v>
      </c>
      <c r="M11" s="325">
        <f>-'Cost Buildup'!M15</f>
        <v>-1567.4920539256532</v>
      </c>
      <c r="N11" s="325">
        <f>-'Cost Buildup'!N15</f>
        <v>-1739.4924751383082</v>
      </c>
      <c r="O11" s="325">
        <f>-'Cost Buildup'!O15</f>
        <v>-1910.8018673036324</v>
      </c>
      <c r="P11" s="325">
        <f>-'Cost Buildup'!P15</f>
        <v>-2079.6937333078749</v>
      </c>
      <c r="Q11" s="325">
        <f>-'Cost Buildup'!Q15</f>
        <v>-2244.6720687428451</v>
      </c>
      <c r="R11" s="325">
        <f>-'Cost Buildup'!R15</f>
        <v>-2404.4860953814305</v>
      </c>
      <c r="S11" s="325">
        <f>-'Cost Buildup'!S15</f>
        <v>-2558.1311969086046</v>
      </c>
    </row>
    <row r="12" spans="4:19" ht="14.4" customHeight="1" x14ac:dyDescent="0.3">
      <c r="D12" s="94" t="s">
        <v>171</v>
      </c>
      <c r="E12" s="323">
        <f>-'Cost Buildup'!E18</f>
        <v>-652.73</v>
      </c>
      <c r="F12" s="324">
        <f>-'Cost Buildup'!F18</f>
        <v>-504.64</v>
      </c>
      <c r="G12" s="324">
        <f>-'Cost Buildup'!G18</f>
        <v>-561.16999999999996</v>
      </c>
      <c r="H12" s="324">
        <f>-'Cost Buildup'!H18</f>
        <v>-652.95000000000005</v>
      </c>
      <c r="I12" s="324">
        <f>-'Cost Buildup'!I18</f>
        <v>-658.25</v>
      </c>
      <c r="J12" s="325">
        <f>-'Cost Buildup'!J18</f>
        <v>-882.01806962507487</v>
      </c>
      <c r="K12" s="325">
        <f>-'Cost Buildup'!K18</f>
        <v>-1015.892696446935</v>
      </c>
      <c r="L12" s="325">
        <f>-'Cost Buildup'!L18</f>
        <v>-1154.2821791906547</v>
      </c>
      <c r="M12" s="325">
        <f>-'Cost Buildup'!M18</f>
        <v>-1295.4064451330787</v>
      </c>
      <c r="N12" s="325">
        <f>-'Cost Buildup'!N18</f>
        <v>-1437.550996135087</v>
      </c>
      <c r="O12" s="325">
        <f>-'Cost Buildup'!O18</f>
        <v>-1579.1244670608394</v>
      </c>
      <c r="P12" s="325">
        <f>-'Cost Buildup'!P18</f>
        <v>-1718.7000465379554</v>
      </c>
      <c r="Q12" s="325">
        <f>-'Cost Buildup'!Q18</f>
        <v>-1855.0414069260726</v>
      </c>
      <c r="R12" s="325">
        <f>-'Cost Buildup'!R18</f>
        <v>-1987.1148803525045</v>
      </c>
      <c r="S12" s="325">
        <f>-'Cost Buildup'!S18</f>
        <v>-2114.0902320188598</v>
      </c>
    </row>
    <row r="13" spans="4:19" ht="14.4" customHeight="1" x14ac:dyDescent="0.3">
      <c r="D13" s="326" t="s">
        <v>172</v>
      </c>
      <c r="E13" s="327">
        <f t="shared" ref="E13:I13" si="12">SUM(E10:E12)</f>
        <v>589.18000000000029</v>
      </c>
      <c r="F13" s="328">
        <f t="shared" si="12"/>
        <v>582.04999999999961</v>
      </c>
      <c r="G13" s="328">
        <f t="shared" si="12"/>
        <v>888.54000000000076</v>
      </c>
      <c r="H13" s="328">
        <f t="shared" si="12"/>
        <v>1247.7399999999996</v>
      </c>
      <c r="I13" s="328">
        <f t="shared" si="12"/>
        <v>1769.6599999999989</v>
      </c>
      <c r="J13" s="329">
        <f t="shared" ref="J13" si="13">SUM(J10:J12)</f>
        <v>1758.2348044593341</v>
      </c>
      <c r="K13" s="329">
        <f t="shared" ref="K13" si="14">SUM(K10:K12)</f>
        <v>2025.1035188522892</v>
      </c>
      <c r="L13" s="329">
        <f t="shared" ref="L13" si="15">SUM(L10:L12)</f>
        <v>2300.9722493359659</v>
      </c>
      <c r="M13" s="329">
        <f t="shared" ref="M13" si="16">SUM(M10:M12)</f>
        <v>2582.2925586117367</v>
      </c>
      <c r="N13" s="329">
        <f t="shared" ref="N13" si="17">SUM(N10:N12)</f>
        <v>2865.6467272425598</v>
      </c>
      <c r="O13" s="329">
        <f t="shared" ref="O13" si="18">SUM(O10:O12)</f>
        <v>3147.8624919100339</v>
      </c>
      <c r="P13" s="329">
        <f t="shared" ref="P13" si="19">SUM(P10:P12)</f>
        <v>3426.0956144962438</v>
      </c>
      <c r="Q13" s="329">
        <f t="shared" ref="Q13" si="20">SUM(Q10:Q12)</f>
        <v>3697.8815714705943</v>
      </c>
      <c r="R13" s="329">
        <f t="shared" ref="R13" si="21">SUM(R10:R12)</f>
        <v>3961.1598258751756</v>
      </c>
      <c r="S13" s="329">
        <f t="shared" ref="S13" si="22">SUM(S10:S12)</f>
        <v>4214.2753688516923</v>
      </c>
    </row>
    <row r="14" spans="4:19" ht="14.4" customHeight="1" x14ac:dyDescent="0.3">
      <c r="D14" s="94" t="s">
        <v>173</v>
      </c>
      <c r="E14" s="323">
        <f>'Supporting Schedules'!E23</f>
        <v>-120.58</v>
      </c>
      <c r="F14" s="324">
        <f>'Supporting Schedules'!F23</f>
        <v>-127.19</v>
      </c>
      <c r="G14" s="324">
        <f>'Supporting Schedules'!G23</f>
        <v>-135.62</v>
      </c>
      <c r="H14" s="324">
        <f>'Supporting Schedules'!H23</f>
        <v>-142.04</v>
      </c>
      <c r="I14" s="324">
        <f>'Supporting Schedules'!I23</f>
        <v>-159.18</v>
      </c>
      <c r="J14" s="325">
        <f>'Supporting Schedules'!J23</f>
        <v>-181.85409999999999</v>
      </c>
      <c r="K14" s="325">
        <f>'Supporting Schedules'!K23</f>
        <v>-177.16567912240839</v>
      </c>
      <c r="L14" s="325">
        <f>'Supporting Schedules'!L23</f>
        <v>-172.90277028967824</v>
      </c>
      <c r="M14" s="325">
        <f>'Supporting Schedules'!M23</f>
        <v>-190.10683337153017</v>
      </c>
      <c r="N14" s="325">
        <f>'Supporting Schedules'!N23</f>
        <v>-184.25722089546232</v>
      </c>
      <c r="O14" s="325">
        <f>'Supporting Schedules'!O23</f>
        <v>-178.99175703102264</v>
      </c>
      <c r="P14" s="325">
        <f>'Supporting Schedules'!P23</f>
        <v>-193.57636585002331</v>
      </c>
      <c r="Q14" s="325">
        <f>'Supporting Schedules'!Q23</f>
        <v>-186.91981501413392</v>
      </c>
      <c r="R14" s="325">
        <f>'Supporting Schedules'!R23</f>
        <v>-180.9939758660561</v>
      </c>
      <c r="S14" s="325">
        <f>'Supporting Schedules'!S23</f>
        <v>-193.26286329260176</v>
      </c>
    </row>
    <row r="15" spans="4:19" ht="14.4" customHeight="1" x14ac:dyDescent="0.3">
      <c r="D15" s="326" t="s">
        <v>174</v>
      </c>
      <c r="E15" s="327">
        <f t="shared" ref="E15:I15" si="23">SUM(E13:E14)</f>
        <v>468.60000000000031</v>
      </c>
      <c r="F15" s="328">
        <f t="shared" si="23"/>
        <v>454.85999999999962</v>
      </c>
      <c r="G15" s="328">
        <f t="shared" si="23"/>
        <v>752.92000000000075</v>
      </c>
      <c r="H15" s="328">
        <f t="shared" si="23"/>
        <v>1105.6999999999996</v>
      </c>
      <c r="I15" s="328">
        <f t="shared" si="23"/>
        <v>1610.4799999999989</v>
      </c>
      <c r="J15" s="329">
        <f t="shared" ref="J15" si="24">SUM(J13:J14)</f>
        <v>1576.3807044593341</v>
      </c>
      <c r="K15" s="329">
        <f t="shared" ref="K15" si="25">SUM(K13:K14)</f>
        <v>1847.9378397298808</v>
      </c>
      <c r="L15" s="329">
        <f t="shared" ref="L15" si="26">SUM(L13:L14)</f>
        <v>2128.0694790462876</v>
      </c>
      <c r="M15" s="329">
        <f t="shared" ref="M15" si="27">SUM(M13:M14)</f>
        <v>2392.1857252402065</v>
      </c>
      <c r="N15" s="329">
        <f t="shared" ref="N15" si="28">SUM(N13:N14)</f>
        <v>2681.3895063470973</v>
      </c>
      <c r="O15" s="329">
        <f t="shared" ref="O15" si="29">SUM(O13:O14)</f>
        <v>2968.8707348790113</v>
      </c>
      <c r="P15" s="329">
        <f t="shared" ref="P15" si="30">SUM(P13:P14)</f>
        <v>3232.5192486462206</v>
      </c>
      <c r="Q15" s="329">
        <f t="shared" ref="Q15" si="31">SUM(Q13:Q14)</f>
        <v>3510.9617564564605</v>
      </c>
      <c r="R15" s="329">
        <f t="shared" ref="R15" si="32">SUM(R13:R14)</f>
        <v>3780.1658500091194</v>
      </c>
      <c r="S15" s="329">
        <f t="shared" ref="S15" si="33">SUM(S13:S14)</f>
        <v>4021.0125055590906</v>
      </c>
    </row>
    <row r="16" spans="4:19" ht="14.4" customHeight="1" x14ac:dyDescent="0.3">
      <c r="D16" s="94" t="s">
        <v>248</v>
      </c>
      <c r="E16" s="323">
        <f>'Supporting Schedules'!E30</f>
        <v>-21.02</v>
      </c>
      <c r="F16" s="324">
        <f>'Supporting Schedules'!F30</f>
        <v>-16.760000000000002</v>
      </c>
      <c r="G16" s="324">
        <f>'Supporting Schedules'!G30</f>
        <v>-12.16</v>
      </c>
      <c r="H16" s="324">
        <f>'Supporting Schedules'!H30</f>
        <v>-16.239999999999998</v>
      </c>
      <c r="I16" s="324">
        <f>'Supporting Schedules'!I30</f>
        <v>-27.4</v>
      </c>
      <c r="J16" s="325">
        <f>'Supporting Schedules'!J30</f>
        <v>-27.4</v>
      </c>
      <c r="K16" s="325">
        <f>'Supporting Schedules'!K30</f>
        <v>-27.4</v>
      </c>
      <c r="L16" s="325">
        <f>'Supporting Schedules'!L30</f>
        <v>-27.4</v>
      </c>
      <c r="M16" s="325">
        <f>'Supporting Schedules'!M30</f>
        <v>-27.4</v>
      </c>
      <c r="N16" s="325">
        <f>'Supporting Schedules'!N30</f>
        <v>-27.4</v>
      </c>
      <c r="O16" s="325">
        <f>'Supporting Schedules'!O30</f>
        <v>-27.4</v>
      </c>
      <c r="P16" s="325">
        <f>'Supporting Schedules'!P30</f>
        <v>-27.4</v>
      </c>
      <c r="Q16" s="325">
        <f>'Supporting Schedules'!Q30</f>
        <v>-27.4</v>
      </c>
      <c r="R16" s="325">
        <f>'Supporting Schedules'!R30</f>
        <v>-27.4</v>
      </c>
      <c r="S16" s="325">
        <f>'Supporting Schedules'!S30</f>
        <v>-27.4</v>
      </c>
    </row>
    <row r="17" spans="4:19" ht="14.4" customHeight="1" x14ac:dyDescent="0.3">
      <c r="D17" s="94" t="s">
        <v>175</v>
      </c>
      <c r="E17" s="310">
        <f>'Revenue Buildup'!E18</f>
        <v>122.26</v>
      </c>
      <c r="F17" s="311">
        <f>'Revenue Buildup'!F18</f>
        <v>113.12</v>
      </c>
      <c r="G17" s="311">
        <f>'Revenue Buildup'!G18</f>
        <v>91.15</v>
      </c>
      <c r="H17" s="311">
        <f>'Revenue Buildup'!H18</f>
        <v>207.98</v>
      </c>
      <c r="I17" s="311">
        <f>'Revenue Buildup'!I18</f>
        <v>245.16</v>
      </c>
      <c r="J17" s="330">
        <f>'Revenue Buildup'!J18</f>
        <v>252.23777083224809</v>
      </c>
      <c r="K17" s="330">
        <f>'Revenue Buildup'!K18</f>
        <v>290.52296997210152</v>
      </c>
      <c r="L17" s="330">
        <f>'Revenue Buildup'!L18</f>
        <v>330.09931861623068</v>
      </c>
      <c r="M17" s="330">
        <f>'Revenue Buildup'!M18</f>
        <v>370.45775511264594</v>
      </c>
      <c r="N17" s="330">
        <f>'Revenue Buildup'!N18</f>
        <v>411.10797069829505</v>
      </c>
      <c r="O17" s="330">
        <f>'Revenue Buildup'!O18</f>
        <v>451.59486994115906</v>
      </c>
      <c r="P17" s="330">
        <f>'Revenue Buildup'!P18</f>
        <v>491.51041616675099</v>
      </c>
      <c r="Q17" s="330">
        <f>'Revenue Buildup'!Q18</f>
        <v>530.50104685887891</v>
      </c>
      <c r="R17" s="330">
        <f>'Revenue Buildup'!R18</f>
        <v>568.27115573807259</v>
      </c>
      <c r="S17" s="330">
        <f>'Revenue Buildup'!S18</f>
        <v>604.58331391027048</v>
      </c>
    </row>
    <row r="18" spans="4:19" ht="14.4" customHeight="1" x14ac:dyDescent="0.3">
      <c r="D18" s="94" t="s">
        <v>117</v>
      </c>
      <c r="E18" s="310">
        <f>SUM('Revenue Buildup'!E15,'P&amp;L Inputs'!E23)</f>
        <v>237.64000000000001</v>
      </c>
      <c r="F18" s="311">
        <f>SUM('Revenue Buildup'!F15,'P&amp;L Inputs'!F23)</f>
        <v>273.77999999999997</v>
      </c>
      <c r="G18" s="311">
        <f>SUM('Revenue Buildup'!G15,'P&amp;L Inputs'!G23)</f>
        <v>375.55</v>
      </c>
      <c r="H18" s="311">
        <f>SUM('Revenue Buildup'!H15,'P&amp;L Inputs'!H23)</f>
        <v>293.84999999999997</v>
      </c>
      <c r="I18" s="311">
        <f>SUM('Revenue Buildup'!I15,'P&amp;L Inputs'!I23)</f>
        <v>376.37</v>
      </c>
      <c r="J18" s="330">
        <f>'Revenue Buildup'!J15</f>
        <v>497.99492569791283</v>
      </c>
      <c r="K18" s="330">
        <f>'Revenue Buildup'!K15</f>
        <v>573.58168194807388</v>
      </c>
      <c r="L18" s="330">
        <f>'Revenue Buildup'!L15</f>
        <v>651.7175643633019</v>
      </c>
      <c r="M18" s="330">
        <f>'Revenue Buildup'!M15</f>
        <v>731.39752870013683</v>
      </c>
      <c r="N18" s="330">
        <f>'Revenue Buildup'!N15</f>
        <v>811.65355468461382</v>
      </c>
      <c r="O18" s="330">
        <f>'Revenue Buildup'!O15</f>
        <v>891.5871439867409</v>
      </c>
      <c r="P18" s="330">
        <f>'Revenue Buildup'!P15</f>
        <v>970.39270673501392</v>
      </c>
      <c r="Q18" s="330">
        <f>'Revenue Buildup'!Q15</f>
        <v>1047.3722017978469</v>
      </c>
      <c r="R18" s="330">
        <f>'Revenue Buildup'!R15</f>
        <v>1121.9420114771647</v>
      </c>
      <c r="S18" s="330">
        <f>'Revenue Buildup'!S15</f>
        <v>1193.6333781239184</v>
      </c>
    </row>
    <row r="19" spans="4:19" ht="14.4" customHeight="1" x14ac:dyDescent="0.3">
      <c r="D19" s="326" t="s">
        <v>176</v>
      </c>
      <c r="E19" s="327">
        <f t="shared" ref="E19:I19" si="34">SUM(E15:E18)</f>
        <v>807.48000000000036</v>
      </c>
      <c r="F19" s="328">
        <f t="shared" si="34"/>
        <v>824.99999999999955</v>
      </c>
      <c r="G19" s="328">
        <f t="shared" si="34"/>
        <v>1207.4600000000007</v>
      </c>
      <c r="H19" s="328">
        <f t="shared" si="34"/>
        <v>1591.2899999999995</v>
      </c>
      <c r="I19" s="328">
        <f t="shared" si="34"/>
        <v>2204.6099999999988</v>
      </c>
      <c r="J19" s="329">
        <f t="shared" ref="J19" si="35">SUM(J15:J18)</f>
        <v>2299.2134009894949</v>
      </c>
      <c r="K19" s="329">
        <f t="shared" ref="K19" si="36">SUM(K15:K18)</f>
        <v>2684.6424916500559</v>
      </c>
      <c r="L19" s="329">
        <f t="shared" ref="L19" si="37">SUM(L15:L18)</f>
        <v>3082.4863620258202</v>
      </c>
      <c r="M19" s="329">
        <f t="shared" ref="M19" si="38">SUM(M15:M18)</f>
        <v>3466.6410090529889</v>
      </c>
      <c r="N19" s="329">
        <f t="shared" ref="N19" si="39">SUM(N15:N18)</f>
        <v>3876.7510317300062</v>
      </c>
      <c r="O19" s="329">
        <f t="shared" ref="O19" si="40">SUM(O15:O18)</f>
        <v>4284.6527488069114</v>
      </c>
      <c r="P19" s="329">
        <f t="shared" ref="P19" si="41">SUM(P15:P18)</f>
        <v>4667.0223715479851</v>
      </c>
      <c r="Q19" s="329">
        <f t="shared" ref="Q19" si="42">SUM(Q15:Q18)</f>
        <v>5061.435005113186</v>
      </c>
      <c r="R19" s="329">
        <f t="shared" ref="R19" si="43">SUM(R15:R18)</f>
        <v>5442.9790172243565</v>
      </c>
      <c r="S19" s="329">
        <f t="shared" ref="S19" si="44">SUM(S15:S18)</f>
        <v>5791.8291975932789</v>
      </c>
    </row>
    <row r="20" spans="4:19" ht="14.4" customHeight="1" x14ac:dyDescent="0.3">
      <c r="D20" s="94" t="s">
        <v>177</v>
      </c>
      <c r="E20" s="323">
        <f>-'P&amp;L Inputs'!E32</f>
        <v>-101.87</v>
      </c>
      <c r="F20" s="324">
        <f>-'P&amp;L Inputs'!F32</f>
        <v>-189.97</v>
      </c>
      <c r="G20" s="324">
        <f>-'P&amp;L Inputs'!G32</f>
        <v>-273.24</v>
      </c>
      <c r="H20" s="324">
        <f>-'P&amp;L Inputs'!H32</f>
        <v>-363.14</v>
      </c>
      <c r="I20" s="324">
        <f>-'P&amp;L Inputs'!I32</f>
        <v>-484.03</v>
      </c>
      <c r="J20" s="325">
        <f>-J19*'Cost Buildup'!J27</f>
        <v>-516.29658159979454</v>
      </c>
      <c r="K20" s="325">
        <f>-K19*'Cost Buildup'!K27</f>
        <v>-602.84606059618727</v>
      </c>
      <c r="L20" s="325">
        <f>-L19*'Cost Buildup'!L27</f>
        <v>-692.18332272115583</v>
      </c>
      <c r="M20" s="325">
        <f>-M19*'Cost Buildup'!M27</f>
        <v>-795.77982589283465</v>
      </c>
      <c r="N20" s="325">
        <f>-N19*'Cost Buildup'!N27</f>
        <v>-889.92204644308913</v>
      </c>
      <c r="O20" s="325">
        <f>-O19*'Cost Buildup'!O27</f>
        <v>-983.55734255513789</v>
      </c>
      <c r="P20" s="325">
        <f>-P19*'Cost Buildup'!P27</f>
        <v>-1094.6667670737449</v>
      </c>
      <c r="Q20" s="325">
        <f>-Q19*'Cost Buildup'!Q27</f>
        <v>-1187.1776590527465</v>
      </c>
      <c r="R20" s="325">
        <f>-R19*'Cost Buildup'!R27</f>
        <v>-1276.6701699051314</v>
      </c>
      <c r="S20" s="325">
        <f>-S19*'Cost Buildup'!S27</f>
        <v>-1387.4533717334127</v>
      </c>
    </row>
    <row r="21" spans="4:19" ht="14.4" customHeight="1" thickBot="1" x14ac:dyDescent="0.35">
      <c r="D21" s="331" t="s">
        <v>178</v>
      </c>
      <c r="E21" s="332">
        <f>SUM(E19:E20)</f>
        <v>705.61000000000035</v>
      </c>
      <c r="F21" s="333">
        <f t="shared" ref="F21:I21" si="45">SUM(F19:F20)</f>
        <v>635.02999999999952</v>
      </c>
      <c r="G21" s="333">
        <f t="shared" si="45"/>
        <v>934.22000000000071</v>
      </c>
      <c r="H21" s="333">
        <f t="shared" si="45"/>
        <v>1228.1499999999996</v>
      </c>
      <c r="I21" s="333">
        <f t="shared" si="45"/>
        <v>1720.5799999999988</v>
      </c>
      <c r="J21" s="334">
        <f t="shared" ref="J21" si="46">SUM(J19:J20)</f>
        <v>1782.9168193897003</v>
      </c>
      <c r="K21" s="334">
        <f t="shared" ref="K21" si="47">SUM(K19:K20)</f>
        <v>2081.7964310538687</v>
      </c>
      <c r="L21" s="334">
        <f t="shared" ref="L21" si="48">SUM(L19:L20)</f>
        <v>2390.3030393046643</v>
      </c>
      <c r="M21" s="334">
        <f t="shared" ref="M21" si="49">SUM(M19:M20)</f>
        <v>2670.8611831601543</v>
      </c>
      <c r="N21" s="334">
        <f t="shared" ref="N21" si="50">SUM(N19:N20)</f>
        <v>2986.828985286917</v>
      </c>
      <c r="O21" s="334">
        <f t="shared" ref="O21" si="51">SUM(O19:O20)</f>
        <v>3301.0954062517735</v>
      </c>
      <c r="P21" s="334">
        <f t="shared" ref="P21" si="52">SUM(P19:P20)</f>
        <v>3572.35560447424</v>
      </c>
      <c r="Q21" s="334">
        <f t="shared" ref="Q21" si="53">SUM(Q19:Q20)</f>
        <v>3874.2573460604394</v>
      </c>
      <c r="R21" s="334">
        <f t="shared" ref="R21" si="54">SUM(R19:R20)</f>
        <v>4166.3088473192256</v>
      </c>
      <c r="S21" s="334">
        <f t="shared" ref="S21" si="55">SUM(S19:S20)</f>
        <v>4404.3758258598664</v>
      </c>
    </row>
    <row r="22" spans="4:19" ht="14.4" customHeight="1" thickTop="1" x14ac:dyDescent="0.3"/>
    <row r="23" spans="4:19" ht="14.4" customHeight="1" x14ac:dyDescent="0.3">
      <c r="E23" s="142"/>
      <c r="F23" s="363"/>
    </row>
    <row r="26" spans="4:19" ht="14.4" customHeight="1" x14ac:dyDescent="0.3">
      <c r="G26" s="335"/>
    </row>
  </sheetData>
  <mergeCells count="1">
    <mergeCell ref="D4:S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F71C9-75EB-4744-AB13-87225924945C}">
  <dimension ref="B3:S41"/>
  <sheetViews>
    <sheetView showGridLines="0" workbookViewId="0">
      <selection activeCell="U9" sqref="U9"/>
    </sheetView>
  </sheetViews>
  <sheetFormatPr defaultRowHeight="14.4" customHeight="1" x14ac:dyDescent="0.3"/>
  <cols>
    <col min="1" max="3" width="1.33203125" customWidth="1"/>
    <col min="4" max="4" width="35.77734375" customWidth="1"/>
    <col min="13" max="13" width="8.88671875" customWidth="1"/>
  </cols>
  <sheetData>
    <row r="3" spans="2:19" ht="14.4" customHeight="1" x14ac:dyDescent="0.3">
      <c r="R3" s="124" t="s">
        <v>258</v>
      </c>
    </row>
    <row r="4" spans="2:19" ht="16.8" customHeight="1" x14ac:dyDescent="0.3">
      <c r="D4" s="378" t="s">
        <v>180</v>
      </c>
      <c r="E4" s="378"/>
      <c r="F4" s="378"/>
      <c r="G4" s="378"/>
      <c r="H4" s="378"/>
      <c r="I4" s="378"/>
      <c r="J4" s="378"/>
      <c r="K4" s="378"/>
      <c r="L4" s="378"/>
      <c r="M4" s="378"/>
      <c r="N4" s="378"/>
      <c r="O4" s="378"/>
      <c r="P4" s="378"/>
      <c r="Q4" s="378"/>
      <c r="R4" s="378"/>
      <c r="S4" s="378"/>
    </row>
    <row r="5" spans="2:19" ht="14.4" customHeight="1" x14ac:dyDescent="0.3">
      <c r="D5" s="1"/>
      <c r="E5" s="33">
        <v>2020</v>
      </c>
      <c r="F5" s="5">
        <f t="shared" ref="F5:S5" si="0">E5+1</f>
        <v>2021</v>
      </c>
      <c r="G5" s="5">
        <f t="shared" si="0"/>
        <v>2022</v>
      </c>
      <c r="H5" s="5">
        <f t="shared" si="0"/>
        <v>2023</v>
      </c>
      <c r="I5" s="5">
        <f t="shared" si="0"/>
        <v>2024</v>
      </c>
      <c r="J5" s="5">
        <f t="shared" si="0"/>
        <v>2025</v>
      </c>
      <c r="K5" s="5">
        <f t="shared" si="0"/>
        <v>2026</v>
      </c>
      <c r="L5" s="5">
        <f t="shared" si="0"/>
        <v>2027</v>
      </c>
      <c r="M5" s="5">
        <f t="shared" si="0"/>
        <v>2028</v>
      </c>
      <c r="N5" s="5">
        <f t="shared" si="0"/>
        <v>2029</v>
      </c>
      <c r="O5" s="5">
        <f t="shared" si="0"/>
        <v>2030</v>
      </c>
      <c r="P5" s="5">
        <f t="shared" si="0"/>
        <v>2031</v>
      </c>
      <c r="Q5" s="5">
        <f t="shared" si="0"/>
        <v>2032</v>
      </c>
      <c r="R5" s="5">
        <f t="shared" si="0"/>
        <v>2033</v>
      </c>
      <c r="S5" s="5">
        <f t="shared" si="0"/>
        <v>2034</v>
      </c>
    </row>
    <row r="6" spans="2:19" ht="14.4" customHeight="1" x14ac:dyDescent="0.3">
      <c r="D6" s="8" t="s">
        <v>1</v>
      </c>
      <c r="E6" s="34" t="s">
        <v>110</v>
      </c>
      <c r="F6" s="10" t="s">
        <v>110</v>
      </c>
      <c r="G6" s="10" t="s">
        <v>110</v>
      </c>
      <c r="H6" s="10" t="s">
        <v>110</v>
      </c>
      <c r="I6" s="10" t="s">
        <v>110</v>
      </c>
      <c r="J6" s="93" t="s">
        <v>111</v>
      </c>
      <c r="K6" s="93" t="s">
        <v>111</v>
      </c>
      <c r="L6" s="93" t="s">
        <v>111</v>
      </c>
      <c r="M6" s="93" t="s">
        <v>111</v>
      </c>
      <c r="N6" s="93" t="s">
        <v>111</v>
      </c>
      <c r="O6" s="93" t="s">
        <v>111</v>
      </c>
      <c r="P6" s="93" t="s">
        <v>111</v>
      </c>
      <c r="Q6" s="93" t="s">
        <v>111</v>
      </c>
      <c r="R6" s="93" t="s">
        <v>111</v>
      </c>
      <c r="S6" s="93" t="s">
        <v>111</v>
      </c>
    </row>
    <row r="7" spans="2:19" ht="14.4" customHeight="1" x14ac:dyDescent="0.3">
      <c r="E7" s="100"/>
      <c r="J7" s="90"/>
      <c r="K7" s="90"/>
      <c r="L7" s="90"/>
      <c r="M7" s="90"/>
      <c r="N7" s="90"/>
      <c r="O7" s="90"/>
      <c r="P7" s="90"/>
      <c r="Q7" s="90"/>
      <c r="R7" s="90"/>
      <c r="S7" s="90"/>
    </row>
    <row r="8" spans="2:19" ht="14.4" customHeight="1" x14ac:dyDescent="0.3">
      <c r="B8" s="95" t="s">
        <v>24</v>
      </c>
      <c r="C8" s="79"/>
      <c r="D8" s="79"/>
      <c r="E8" s="101"/>
      <c r="J8" s="90"/>
      <c r="K8" s="90"/>
      <c r="L8" s="90"/>
      <c r="M8" s="90"/>
      <c r="N8" s="90"/>
      <c r="O8" s="90"/>
      <c r="P8" s="90"/>
      <c r="Q8" s="90"/>
      <c r="R8" s="90"/>
      <c r="S8" s="90"/>
    </row>
    <row r="9" spans="2:19" ht="14.4" customHeight="1" x14ac:dyDescent="0.3">
      <c r="B9" s="79"/>
      <c r="C9" s="95" t="s">
        <v>36</v>
      </c>
      <c r="D9" s="79"/>
      <c r="E9" s="101"/>
      <c r="J9" s="90"/>
      <c r="K9" s="90"/>
      <c r="L9" s="90"/>
      <c r="M9" s="90"/>
      <c r="N9" s="90"/>
      <c r="O9" s="90"/>
      <c r="P9" s="90"/>
      <c r="Q9" s="90"/>
      <c r="R9" s="90"/>
      <c r="S9" s="90"/>
    </row>
    <row r="10" spans="2:19" ht="14.4" customHeight="1" x14ac:dyDescent="0.3">
      <c r="B10" s="79"/>
      <c r="C10" s="79"/>
      <c r="D10" s="94" t="s">
        <v>181</v>
      </c>
      <c r="E10" s="305">
        <f>'BS Inputs'!E28</f>
        <v>181.47000000000062</v>
      </c>
      <c r="F10" s="306">
        <f>'BS Inputs'!F28</f>
        <v>121.59999999999911</v>
      </c>
      <c r="G10" s="306">
        <f>'BS Inputs'!G28</f>
        <v>177.43000000000046</v>
      </c>
      <c r="H10" s="306">
        <f>'BS Inputs'!H28</f>
        <v>396.69000000000108</v>
      </c>
      <c r="I10" s="306">
        <f>'BS Inputs'!I28</f>
        <v>299.89000000000169</v>
      </c>
      <c r="J10" s="307">
        <f>'Cash Flow Statement'!J35</f>
        <v>713.05805045423097</v>
      </c>
      <c r="K10" s="307">
        <f>'Cash Flow Statement'!K35</f>
        <v>1952.1083692624325</v>
      </c>
      <c r="L10" s="307">
        <f>'Cash Flow Statement'!L35</f>
        <v>2739.5041197177611</v>
      </c>
      <c r="M10" s="307">
        <f>'Cash Flow Statement'!M35</f>
        <v>3610.6583052776214</v>
      </c>
      <c r="N10" s="307">
        <f>'Cash Flow Statement'!N35</f>
        <v>5117.260637990631</v>
      </c>
      <c r="O10" s="307">
        <f>'Cash Flow Statement'!O35</f>
        <v>6429.1147296931895</v>
      </c>
      <c r="P10" s="307">
        <f>'Cash Flow Statement'!P35</f>
        <v>7991.063379174544</v>
      </c>
      <c r="Q10" s="307">
        <f>'Cash Flow Statement'!Q35</f>
        <v>9705.7109556169034</v>
      </c>
      <c r="R10" s="307">
        <f>'Cash Flow Statement'!R35</f>
        <v>11571.111948454303</v>
      </c>
      <c r="S10" s="307">
        <f>'Cash Flow Statement'!S35</f>
        <v>13579.998384392737</v>
      </c>
    </row>
    <row r="11" spans="2:19" ht="14.4" customHeight="1" x14ac:dyDescent="0.3">
      <c r="B11" s="79"/>
      <c r="C11" s="79"/>
      <c r="D11" s="94" t="s">
        <v>182</v>
      </c>
      <c r="E11" s="305">
        <f>'BS Inputs'!E29</f>
        <v>283.08</v>
      </c>
      <c r="F11" s="306">
        <f>'BS Inputs'!F29</f>
        <v>843.66</v>
      </c>
      <c r="G11" s="306">
        <f>'BS Inputs'!G29</f>
        <v>1249.32</v>
      </c>
      <c r="H11" s="306">
        <f>'BS Inputs'!H29</f>
        <v>989.54</v>
      </c>
      <c r="I11" s="306">
        <f>'BS Inputs'!I29</f>
        <v>1212.8900000000001</v>
      </c>
      <c r="J11" s="307">
        <f t="shared" ref="J11:S11" si="1">I11</f>
        <v>1212.8900000000001</v>
      </c>
      <c r="K11" s="307">
        <f t="shared" si="1"/>
        <v>1212.8900000000001</v>
      </c>
      <c r="L11" s="307">
        <f t="shared" si="1"/>
        <v>1212.8900000000001</v>
      </c>
      <c r="M11" s="307">
        <f t="shared" si="1"/>
        <v>1212.8900000000001</v>
      </c>
      <c r="N11" s="307">
        <f t="shared" si="1"/>
        <v>1212.8900000000001</v>
      </c>
      <c r="O11" s="307">
        <f t="shared" si="1"/>
        <v>1212.8900000000001</v>
      </c>
      <c r="P11" s="307">
        <f t="shared" si="1"/>
        <v>1212.8900000000001</v>
      </c>
      <c r="Q11" s="307">
        <f t="shared" si="1"/>
        <v>1212.8900000000001</v>
      </c>
      <c r="R11" s="307">
        <f t="shared" si="1"/>
        <v>1212.8900000000001</v>
      </c>
      <c r="S11" s="307">
        <f t="shared" si="1"/>
        <v>1212.8900000000001</v>
      </c>
    </row>
    <row r="12" spans="2:19" ht="14.4" customHeight="1" x14ac:dyDescent="0.3">
      <c r="B12" s="79"/>
      <c r="C12" s="79"/>
      <c r="D12" s="94" t="s">
        <v>183</v>
      </c>
      <c r="E12" s="305">
        <f>'BS Inputs'!E27</f>
        <v>1145.77</v>
      </c>
      <c r="F12" s="306">
        <f>'BS Inputs'!F27</f>
        <v>1088.0899999999999</v>
      </c>
      <c r="G12" s="306">
        <f>'BS Inputs'!G27</f>
        <v>1258.0999999999999</v>
      </c>
      <c r="H12" s="306">
        <f>'BS Inputs'!H27</f>
        <v>1597.12</v>
      </c>
      <c r="I12" s="306">
        <f>'BS Inputs'!I27</f>
        <v>2085.35</v>
      </c>
      <c r="J12" s="307">
        <f>'Income Statement'!J8*'Supporting Schedules'!J14/365</f>
        <v>2370.6852202470786</v>
      </c>
      <c r="K12" s="307">
        <f>'Income Statement'!K8*'Supporting Schedules'!K14/365</f>
        <v>2730.5129948725867</v>
      </c>
      <c r="L12" s="307">
        <f>'Income Statement'!L8*'Supporting Schedules'!L14/365</f>
        <v>3102.4757841583355</v>
      </c>
      <c r="M12" s="307">
        <f>'Income Statement'!M8*'Supporting Schedules'!M14/365</f>
        <v>3481.7891145871972</v>
      </c>
      <c r="N12" s="307">
        <f>'Income Statement'!N8*'Supporting Schedules'!N14/365</f>
        <v>3863.8447637898944</v>
      </c>
      <c r="O12" s="307">
        <f>'Income Statement'!O8*'Supporting Schedules'!O14/365</f>
        <v>4244.3654658719142</v>
      </c>
      <c r="P12" s="307">
        <f>'Income Statement'!P8*'Supporting Schedules'!P14/365</f>
        <v>4619.5162419943053</v>
      </c>
      <c r="Q12" s="307">
        <f>'Income Statement'!Q8*'Supporting Schedules'!Q14/365</f>
        <v>4985.9740948565313</v>
      </c>
      <c r="R12" s="307">
        <f>'Income Statement'!R8*'Supporting Schedules'!R14/365</f>
        <v>5340.9607354044174</v>
      </c>
      <c r="S12" s="307">
        <f>'Income Statement'!S8*'Supporting Schedules'!S14/365</f>
        <v>5682.2446613211059</v>
      </c>
    </row>
    <row r="13" spans="2:19" ht="14.4" customHeight="1" x14ac:dyDescent="0.3">
      <c r="B13" s="79"/>
      <c r="C13" s="79"/>
      <c r="D13" s="94" t="s">
        <v>184</v>
      </c>
      <c r="E13" s="305">
        <f>'BS Inputs'!E24</f>
        <v>577.23</v>
      </c>
      <c r="F13" s="306">
        <f>'BS Inputs'!F24</f>
        <v>564.21</v>
      </c>
      <c r="G13" s="306">
        <f>'BS Inputs'!G24</f>
        <v>737.53</v>
      </c>
      <c r="H13" s="306">
        <f>'BS Inputs'!H24</f>
        <v>903.66</v>
      </c>
      <c r="I13" s="306">
        <f>'BS Inputs'!I24</f>
        <v>949.65</v>
      </c>
      <c r="J13" s="307">
        <f>-'Income Statement'!J9*'Supporting Schedules'!J15/365</f>
        <v>1242.124965849438</v>
      </c>
      <c r="K13" s="307">
        <f>-'Income Statement'!K9*'Supporting Schedules'!K15/365</f>
        <v>1430.6574029908843</v>
      </c>
      <c r="L13" s="307">
        <f>-'Income Statement'!L9*'Supporting Schedules'!L15/365</f>
        <v>1625.5480038150074</v>
      </c>
      <c r="M13" s="307">
        <f>-'Income Statement'!M9*'Supporting Schedules'!M15/365</f>
        <v>1824.2899344522946</v>
      </c>
      <c r="N13" s="307">
        <f>-'Income Statement'!N9*'Supporting Schedules'!N15/365</f>
        <v>2024.4687081525944</v>
      </c>
      <c r="O13" s="307">
        <f>-'Income Statement'!O9*'Supporting Schedules'!O15/365</f>
        <v>2223.8432434312049</v>
      </c>
      <c r="P13" s="307">
        <f>-'Income Statement'!P9*'Supporting Schedules'!P15/365</f>
        <v>2420.4041959354136</v>
      </c>
      <c r="Q13" s="307">
        <f>-'Income Statement'!Q9*'Supporting Schedules'!Q15/365</f>
        <v>2612.4104749994517</v>
      </c>
      <c r="R13" s="307">
        <f>-'Income Statement'!R9*'Supporting Schedules'!R15/365</f>
        <v>2798.4063908644835</v>
      </c>
      <c r="S13" s="307">
        <f>-'Income Statement'!S9*'Supporting Schedules'!S15/365</f>
        <v>2977.2227437078386</v>
      </c>
    </row>
    <row r="14" spans="2:19" ht="14.4" customHeight="1" x14ac:dyDescent="0.3">
      <c r="B14" s="79"/>
      <c r="C14" s="79"/>
      <c r="D14" s="94" t="s">
        <v>185</v>
      </c>
      <c r="E14" s="305">
        <f>'BS Inputs'!E31</f>
        <v>192.41</v>
      </c>
      <c r="F14" s="306">
        <f>'BS Inputs'!F31</f>
        <v>152.44999999999999</v>
      </c>
      <c r="G14" s="306">
        <f>'BS Inputs'!G31</f>
        <v>155.91999999999999</v>
      </c>
      <c r="H14" s="306">
        <f>'BS Inputs'!H31</f>
        <v>119.55</v>
      </c>
      <c r="I14" s="306">
        <f>'BS Inputs'!I31</f>
        <v>174.81</v>
      </c>
      <c r="J14" s="307">
        <f t="shared" ref="J14:S14" si="2">I14</f>
        <v>174.81</v>
      </c>
      <c r="K14" s="307">
        <f t="shared" si="2"/>
        <v>174.81</v>
      </c>
      <c r="L14" s="307">
        <f t="shared" si="2"/>
        <v>174.81</v>
      </c>
      <c r="M14" s="307">
        <f t="shared" si="2"/>
        <v>174.81</v>
      </c>
      <c r="N14" s="307">
        <f t="shared" si="2"/>
        <v>174.81</v>
      </c>
      <c r="O14" s="307">
        <f t="shared" si="2"/>
        <v>174.81</v>
      </c>
      <c r="P14" s="307">
        <f t="shared" si="2"/>
        <v>174.81</v>
      </c>
      <c r="Q14" s="307">
        <f t="shared" si="2"/>
        <v>174.81</v>
      </c>
      <c r="R14" s="307">
        <f t="shared" si="2"/>
        <v>174.81</v>
      </c>
      <c r="S14" s="307">
        <f t="shared" si="2"/>
        <v>174.81</v>
      </c>
    </row>
    <row r="15" spans="2:19" ht="14.4" customHeight="1" x14ac:dyDescent="0.3">
      <c r="B15" s="79"/>
      <c r="C15" s="79"/>
      <c r="D15" s="95"/>
      <c r="E15" s="308"/>
      <c r="F15" s="94"/>
      <c r="G15" s="94"/>
      <c r="H15" s="94"/>
      <c r="I15" s="94"/>
      <c r="J15" s="309"/>
      <c r="K15" s="309"/>
      <c r="L15" s="309"/>
      <c r="M15" s="309"/>
      <c r="N15" s="309"/>
      <c r="O15" s="309"/>
      <c r="P15" s="309"/>
      <c r="Q15" s="309"/>
      <c r="R15" s="309"/>
      <c r="S15" s="309"/>
    </row>
    <row r="16" spans="2:19" ht="14.4" customHeight="1" x14ac:dyDescent="0.3">
      <c r="B16" s="79"/>
      <c r="C16" s="95" t="s">
        <v>25</v>
      </c>
      <c r="D16" s="79"/>
      <c r="E16" s="308"/>
      <c r="F16" s="94"/>
      <c r="G16" s="94"/>
      <c r="H16" s="94"/>
      <c r="I16" s="94"/>
      <c r="J16" s="309"/>
      <c r="K16" s="309"/>
      <c r="L16" s="309"/>
      <c r="M16" s="309"/>
      <c r="N16" s="309"/>
      <c r="O16" s="309"/>
      <c r="P16" s="309"/>
      <c r="Q16" s="309"/>
      <c r="R16" s="309"/>
      <c r="S16" s="309"/>
    </row>
    <row r="17" spans="2:19" ht="14.4" customHeight="1" x14ac:dyDescent="0.3">
      <c r="B17" s="79"/>
      <c r="C17" s="79"/>
      <c r="D17" s="94" t="s">
        <v>186</v>
      </c>
      <c r="E17" s="305">
        <f>'Supporting Schedules'!E24</f>
        <v>2337.8500000000004</v>
      </c>
      <c r="F17" s="306">
        <f>'Supporting Schedules'!F24</f>
        <v>2266.9899999999998</v>
      </c>
      <c r="G17" s="306">
        <f>'Supporting Schedules'!G24</f>
        <v>2227.08</v>
      </c>
      <c r="H17" s="306">
        <f>'Supporting Schedules'!H24</f>
        <v>2229.3000000000002</v>
      </c>
      <c r="I17" s="306">
        <f>'Supporting Schedules'!I24</f>
        <v>2267.41</v>
      </c>
      <c r="J17" s="307">
        <f>'Supporting Schedules'!J24</f>
        <v>2208.9533999999999</v>
      </c>
      <c r="K17" s="307">
        <f>'Supporting Schedules'!K24</f>
        <v>2155.8022083775913</v>
      </c>
      <c r="L17" s="307">
        <f>'Supporting Schedules'!L24</f>
        <v>2107.533998025413</v>
      </c>
      <c r="M17" s="307">
        <f>'Supporting Schedules'!M24</f>
        <v>2042.6848973910701</v>
      </c>
      <c r="N17" s="307">
        <f>'Supporting Schedules'!N24</f>
        <v>1984.3116978964811</v>
      </c>
      <c r="O17" s="307">
        <f>'Supporting Schedules'!O24</f>
        <v>1931.833382373336</v>
      </c>
      <c r="P17" s="307">
        <f>'Supporting Schedules'!P24</f>
        <v>1865.4030252387297</v>
      </c>
      <c r="Q17" s="307">
        <f>'Supporting Schedules'!Q24</f>
        <v>1806.2649489835899</v>
      </c>
      <c r="R17" s="307">
        <f>'Supporting Schedules'!R24</f>
        <v>1753.6916205703228</v>
      </c>
      <c r="S17" s="307">
        <f>'Supporting Schedules'!S24</f>
        <v>1689.4915079677739</v>
      </c>
    </row>
    <row r="18" spans="2:19" ht="14.4" customHeight="1" x14ac:dyDescent="0.3">
      <c r="B18" s="79"/>
      <c r="C18" s="79"/>
      <c r="D18" s="94" t="s">
        <v>187</v>
      </c>
      <c r="E18" s="305">
        <f>SUM('BS Inputs'!E13:E14)</f>
        <v>12.18</v>
      </c>
      <c r="F18" s="306">
        <f>SUM('BS Inputs'!F13:F14)</f>
        <v>49.15</v>
      </c>
      <c r="G18" s="306">
        <f>SUM('BS Inputs'!G13:G14)</f>
        <v>42.389999999999993</v>
      </c>
      <c r="H18" s="306">
        <f>SUM('BS Inputs'!H13:H14)</f>
        <v>37.799999999999997</v>
      </c>
      <c r="I18" s="306">
        <f>SUM('BS Inputs'!I13:I14)</f>
        <v>131.84</v>
      </c>
      <c r="J18" s="307">
        <f t="shared" ref="J18:S18" si="3">I18</f>
        <v>131.84</v>
      </c>
      <c r="K18" s="307">
        <f t="shared" si="3"/>
        <v>131.84</v>
      </c>
      <c r="L18" s="307">
        <f t="shared" si="3"/>
        <v>131.84</v>
      </c>
      <c r="M18" s="307">
        <f t="shared" si="3"/>
        <v>131.84</v>
      </c>
      <c r="N18" s="307">
        <f t="shared" si="3"/>
        <v>131.84</v>
      </c>
      <c r="O18" s="307">
        <f t="shared" si="3"/>
        <v>131.84</v>
      </c>
      <c r="P18" s="307">
        <f t="shared" si="3"/>
        <v>131.84</v>
      </c>
      <c r="Q18" s="307">
        <f t="shared" si="3"/>
        <v>131.84</v>
      </c>
      <c r="R18" s="307">
        <f t="shared" si="3"/>
        <v>131.84</v>
      </c>
      <c r="S18" s="307">
        <f t="shared" si="3"/>
        <v>131.84</v>
      </c>
    </row>
    <row r="19" spans="2:19" ht="14.4" customHeight="1" x14ac:dyDescent="0.3">
      <c r="B19" s="79"/>
      <c r="C19" s="79"/>
      <c r="D19" s="94" t="s">
        <v>188</v>
      </c>
      <c r="E19" s="305">
        <f>SUM('BS Inputs'!E26,'BS Inputs'!E30,'BS Inputs'!E32,'BS Inputs'!E17:E18)</f>
        <v>1036.9500000000003</v>
      </c>
      <c r="F19" s="306">
        <f>SUM('BS Inputs'!F26,'BS Inputs'!F30,'BS Inputs'!F32,'BS Inputs'!F17:F18)</f>
        <v>505.07000000000005</v>
      </c>
      <c r="G19" s="306">
        <f>SUM('BS Inputs'!G26,'BS Inputs'!G30,'BS Inputs'!G32,'BS Inputs'!G17:G18)</f>
        <v>846.24</v>
      </c>
      <c r="H19" s="306">
        <f>SUM('BS Inputs'!H26,'BS Inputs'!H30,'BS Inputs'!H32,'BS Inputs'!H17:H18)</f>
        <v>1104.1500000000001</v>
      </c>
      <c r="I19" s="306">
        <f>SUM('BS Inputs'!I26,'BS Inputs'!I30,'BS Inputs'!I32,'BS Inputs'!I17:I18)</f>
        <v>1233.5300000000002</v>
      </c>
      <c r="J19" s="307">
        <f t="shared" ref="J19:S19" si="4">I19</f>
        <v>1233.5300000000002</v>
      </c>
      <c r="K19" s="307">
        <f t="shared" si="4"/>
        <v>1233.5300000000002</v>
      </c>
      <c r="L19" s="307">
        <f t="shared" si="4"/>
        <v>1233.5300000000002</v>
      </c>
      <c r="M19" s="307">
        <f t="shared" si="4"/>
        <v>1233.5300000000002</v>
      </c>
      <c r="N19" s="307">
        <f t="shared" si="4"/>
        <v>1233.5300000000002</v>
      </c>
      <c r="O19" s="307">
        <f t="shared" si="4"/>
        <v>1233.5300000000002</v>
      </c>
      <c r="P19" s="307">
        <f t="shared" si="4"/>
        <v>1233.5300000000002</v>
      </c>
      <c r="Q19" s="307">
        <f t="shared" si="4"/>
        <v>1233.5300000000002</v>
      </c>
      <c r="R19" s="307">
        <f t="shared" si="4"/>
        <v>1233.5300000000002</v>
      </c>
      <c r="S19" s="307">
        <f t="shared" si="4"/>
        <v>1233.5300000000002</v>
      </c>
    </row>
    <row r="20" spans="2:19" ht="14.4" customHeight="1" x14ac:dyDescent="0.3">
      <c r="B20" s="79"/>
      <c r="C20" s="79"/>
      <c r="D20" s="94" t="s">
        <v>189</v>
      </c>
      <c r="E20" s="305">
        <f>'BS Inputs'!E16</f>
        <v>250.71</v>
      </c>
      <c r="F20" s="306">
        <f>'BS Inputs'!F16</f>
        <v>267.2</v>
      </c>
      <c r="G20" s="306">
        <f>'BS Inputs'!G16</f>
        <v>314.27999999999997</v>
      </c>
      <c r="H20" s="306">
        <f>'BS Inputs'!H16</f>
        <v>409.52</v>
      </c>
      <c r="I20" s="306">
        <f>'BS Inputs'!I16</f>
        <v>463.31</v>
      </c>
      <c r="J20" s="307">
        <f t="shared" ref="J20:S20" si="5">I20</f>
        <v>463.31</v>
      </c>
      <c r="K20" s="307">
        <f t="shared" si="5"/>
        <v>463.31</v>
      </c>
      <c r="L20" s="307">
        <f t="shared" si="5"/>
        <v>463.31</v>
      </c>
      <c r="M20" s="307">
        <f t="shared" si="5"/>
        <v>463.31</v>
      </c>
      <c r="N20" s="307">
        <f t="shared" si="5"/>
        <v>463.31</v>
      </c>
      <c r="O20" s="307">
        <f t="shared" si="5"/>
        <v>463.31</v>
      </c>
      <c r="P20" s="307">
        <f t="shared" si="5"/>
        <v>463.31</v>
      </c>
      <c r="Q20" s="307">
        <f t="shared" si="5"/>
        <v>463.31</v>
      </c>
      <c r="R20" s="307">
        <f t="shared" si="5"/>
        <v>463.31</v>
      </c>
      <c r="S20" s="307">
        <f t="shared" si="5"/>
        <v>463.31</v>
      </c>
    </row>
    <row r="21" spans="2:19" ht="14.4" customHeight="1" x14ac:dyDescent="0.3">
      <c r="B21" s="79"/>
      <c r="C21" s="79"/>
      <c r="D21" s="94" t="s">
        <v>190</v>
      </c>
      <c r="E21" s="305">
        <f>SUM('BS Inputs'!E19:E20)</f>
        <v>178.42000000000002</v>
      </c>
      <c r="F21" s="306">
        <f>SUM('BS Inputs'!F19:F20)</f>
        <v>97.789999999999992</v>
      </c>
      <c r="G21" s="306">
        <f>SUM('BS Inputs'!G19:G20)</f>
        <v>103.7</v>
      </c>
      <c r="H21" s="306">
        <f>SUM('BS Inputs'!H19:H20)</f>
        <v>131.31</v>
      </c>
      <c r="I21" s="306">
        <f>SUM('BS Inputs'!I19:I20)</f>
        <v>151.83000000000001</v>
      </c>
      <c r="J21" s="307">
        <f t="shared" ref="J21:S21" si="6">I21</f>
        <v>151.83000000000001</v>
      </c>
      <c r="K21" s="307">
        <f t="shared" si="6"/>
        <v>151.83000000000001</v>
      </c>
      <c r="L21" s="307">
        <f t="shared" si="6"/>
        <v>151.83000000000001</v>
      </c>
      <c r="M21" s="307">
        <f t="shared" si="6"/>
        <v>151.83000000000001</v>
      </c>
      <c r="N21" s="307">
        <f t="shared" si="6"/>
        <v>151.83000000000001</v>
      </c>
      <c r="O21" s="307">
        <f t="shared" si="6"/>
        <v>151.83000000000001</v>
      </c>
      <c r="P21" s="307">
        <f t="shared" si="6"/>
        <v>151.83000000000001</v>
      </c>
      <c r="Q21" s="307">
        <f t="shared" si="6"/>
        <v>151.83000000000001</v>
      </c>
      <c r="R21" s="307">
        <f t="shared" si="6"/>
        <v>151.83000000000001</v>
      </c>
      <c r="S21" s="307">
        <f t="shared" si="6"/>
        <v>151.83000000000001</v>
      </c>
    </row>
    <row r="22" spans="2:19" ht="14.4" customHeight="1" thickBot="1" x14ac:dyDescent="0.35">
      <c r="B22" s="79"/>
      <c r="C22" s="79"/>
      <c r="D22" s="94"/>
      <c r="E22" s="308"/>
      <c r="F22" s="94"/>
      <c r="G22" s="94"/>
      <c r="H22" s="94"/>
      <c r="I22" s="94"/>
      <c r="J22" s="309"/>
      <c r="K22" s="309"/>
      <c r="L22" s="309"/>
      <c r="M22" s="309"/>
      <c r="N22" s="309"/>
      <c r="O22" s="309"/>
      <c r="P22" s="309"/>
      <c r="Q22" s="309"/>
      <c r="R22" s="309"/>
      <c r="S22" s="309"/>
    </row>
    <row r="23" spans="2:19" ht="14.4" customHeight="1" thickTop="1" thickBot="1" x14ac:dyDescent="0.35">
      <c r="B23" s="79"/>
      <c r="C23" s="79"/>
      <c r="D23" s="96" t="s">
        <v>191</v>
      </c>
      <c r="E23" s="302">
        <f t="shared" ref="E23:S23" si="7">SUM(E10:E14,E17:E21)</f>
        <v>6196.0700000000024</v>
      </c>
      <c r="F23" s="303">
        <f t="shared" si="7"/>
        <v>5956.2099999999973</v>
      </c>
      <c r="G23" s="303">
        <f t="shared" si="7"/>
        <v>7111.99</v>
      </c>
      <c r="H23" s="303">
        <f t="shared" si="7"/>
        <v>7918.6400000000021</v>
      </c>
      <c r="I23" s="303">
        <f t="shared" si="7"/>
        <v>8970.510000000002</v>
      </c>
      <c r="J23" s="304">
        <f t="shared" si="7"/>
        <v>9903.0316365507479</v>
      </c>
      <c r="K23" s="304">
        <f t="shared" si="7"/>
        <v>11637.290975503496</v>
      </c>
      <c r="L23" s="304">
        <f t="shared" si="7"/>
        <v>12943.271905716518</v>
      </c>
      <c r="M23" s="304">
        <f t="shared" si="7"/>
        <v>14327.632251708184</v>
      </c>
      <c r="N23" s="304">
        <f t="shared" si="7"/>
        <v>16358.095807829601</v>
      </c>
      <c r="O23" s="304">
        <f t="shared" si="7"/>
        <v>18197.366821369647</v>
      </c>
      <c r="P23" s="304">
        <f t="shared" si="7"/>
        <v>20264.596842342999</v>
      </c>
      <c r="Q23" s="304">
        <f t="shared" si="7"/>
        <v>22478.570474456479</v>
      </c>
      <c r="R23" s="304">
        <f t="shared" si="7"/>
        <v>24832.38069529353</v>
      </c>
      <c r="S23" s="304">
        <f t="shared" si="7"/>
        <v>27297.16729738946</v>
      </c>
    </row>
    <row r="24" spans="2:19" ht="14.4" customHeight="1" thickTop="1" x14ac:dyDescent="0.3">
      <c r="B24" s="79"/>
      <c r="C24" s="79"/>
      <c r="D24" s="94"/>
      <c r="E24" s="308"/>
      <c r="F24" s="94"/>
      <c r="G24" s="94"/>
      <c r="H24" s="94"/>
      <c r="I24" s="94"/>
      <c r="J24" s="309"/>
      <c r="K24" s="309"/>
      <c r="L24" s="309"/>
      <c r="M24" s="309"/>
      <c r="N24" s="309"/>
      <c r="O24" s="309"/>
      <c r="P24" s="309"/>
      <c r="Q24" s="309"/>
      <c r="R24" s="309"/>
      <c r="S24" s="309"/>
    </row>
    <row r="25" spans="2:19" ht="14.4" customHeight="1" x14ac:dyDescent="0.3">
      <c r="B25" s="95" t="s">
        <v>192</v>
      </c>
      <c r="C25" s="79"/>
      <c r="D25" s="79"/>
      <c r="E25" s="308"/>
      <c r="F25" s="94"/>
      <c r="G25" s="94"/>
      <c r="H25" s="94"/>
      <c r="I25" s="94"/>
      <c r="J25" s="309"/>
      <c r="K25" s="309"/>
      <c r="L25" s="309"/>
      <c r="M25" s="309"/>
      <c r="N25" s="309"/>
      <c r="O25" s="309"/>
      <c r="P25" s="309"/>
      <c r="Q25" s="309"/>
      <c r="R25" s="309"/>
      <c r="S25" s="309"/>
    </row>
    <row r="26" spans="2:19" ht="14.4" customHeight="1" x14ac:dyDescent="0.3">
      <c r="B26" s="79"/>
      <c r="C26" s="95" t="s">
        <v>193</v>
      </c>
      <c r="D26" s="79"/>
      <c r="E26" s="308"/>
      <c r="F26" s="94"/>
      <c r="G26" s="94"/>
      <c r="H26" s="94"/>
      <c r="I26" s="94"/>
      <c r="J26" s="309"/>
      <c r="K26" s="309"/>
      <c r="L26" s="309"/>
      <c r="M26" s="309"/>
      <c r="N26" s="309"/>
      <c r="O26" s="309"/>
      <c r="P26" s="309"/>
      <c r="Q26" s="309"/>
      <c r="R26" s="309"/>
      <c r="S26" s="309"/>
    </row>
    <row r="27" spans="2:19" ht="14.4" customHeight="1" x14ac:dyDescent="0.3">
      <c r="B27" s="79"/>
      <c r="C27" s="79"/>
      <c r="D27" s="94" t="s">
        <v>194</v>
      </c>
      <c r="E27" s="305">
        <f>SUM('BS Inputs'!E58:E59)</f>
        <v>697.34</v>
      </c>
      <c r="F27" s="306">
        <f>SUM('BS Inputs'!F58:F59)</f>
        <v>731.02</v>
      </c>
      <c r="G27" s="306">
        <f>SUM('BS Inputs'!G58:G59)</f>
        <v>999.68000000000006</v>
      </c>
      <c r="H27" s="306">
        <f>SUM('BS Inputs'!H58:H59)</f>
        <v>1149.5</v>
      </c>
      <c r="I27" s="306">
        <f>SUM('BS Inputs'!I58:I59)</f>
        <v>1408.7700000000002</v>
      </c>
      <c r="J27" s="307">
        <f>-'Income Statement'!J9*'Supporting Schedules'!E16/365</f>
        <v>1439.14892883944</v>
      </c>
      <c r="K27" s="307">
        <f>-'Income Statement'!K9*'Supporting Schedules'!F16/365</f>
        <v>2120.0346898495304</v>
      </c>
      <c r="L27" s="307">
        <f>-'Income Statement'!L9*'Supporting Schedules'!G16/365</f>
        <v>2216.5399829057851</v>
      </c>
      <c r="M27" s="307">
        <f>-'Income Statement'!M9*'Supporting Schedules'!H16/365</f>
        <v>2249.464348545936</v>
      </c>
      <c r="N27" s="307">
        <f>-'Income Statement'!N9*'Supporting Schedules'!I16/365</f>
        <v>2768.6145562523061</v>
      </c>
      <c r="O27" s="307">
        <f>-'Income Statement'!O9*'Supporting Schedules'!J16/365</f>
        <v>2937.5557395825858</v>
      </c>
      <c r="P27" s="307">
        <f>-'Income Statement'!P9*'Supporting Schedules'!K16/365</f>
        <v>3197.2002787883548</v>
      </c>
      <c r="Q27" s="307">
        <f>-'Income Statement'!Q9*'Supporting Schedules'!L16/365</f>
        <v>3450.828383541912</v>
      </c>
      <c r="R27" s="307">
        <f>-'Income Statement'!R9*'Supporting Schedules'!M16/365</f>
        <v>3696.5171800891167</v>
      </c>
      <c r="S27" s="307">
        <f>-'Income Statement'!S9*'Supporting Schedules'!N16/365</f>
        <v>3932.7222296931322</v>
      </c>
    </row>
    <row r="28" spans="2:19" ht="14.4" customHeight="1" x14ac:dyDescent="0.3">
      <c r="B28" s="79"/>
      <c r="C28" s="79"/>
      <c r="D28" s="94" t="s">
        <v>195</v>
      </c>
      <c r="E28" s="305">
        <f>SUM('BS Inputs'!E61:E63)</f>
        <v>377.28999999999996</v>
      </c>
      <c r="F28" s="306">
        <f>SUM('BS Inputs'!F61:F63)</f>
        <v>353.07000000000005</v>
      </c>
      <c r="G28" s="306">
        <f>SUM('BS Inputs'!G61:G63)</f>
        <v>345.26</v>
      </c>
      <c r="H28" s="306">
        <f>SUM('BS Inputs'!H61:H63)</f>
        <v>384.83</v>
      </c>
      <c r="I28" s="306">
        <f>SUM('BS Inputs'!I61:I63)</f>
        <v>541.03</v>
      </c>
      <c r="J28" s="307">
        <f t="shared" ref="J28:S28" si="8">I28</f>
        <v>541.03</v>
      </c>
      <c r="K28" s="307">
        <f t="shared" si="8"/>
        <v>541.03</v>
      </c>
      <c r="L28" s="307">
        <f t="shared" si="8"/>
        <v>541.03</v>
      </c>
      <c r="M28" s="307">
        <f t="shared" si="8"/>
        <v>541.03</v>
      </c>
      <c r="N28" s="307">
        <f t="shared" si="8"/>
        <v>541.03</v>
      </c>
      <c r="O28" s="307">
        <f t="shared" si="8"/>
        <v>541.03</v>
      </c>
      <c r="P28" s="307">
        <f t="shared" si="8"/>
        <v>541.03</v>
      </c>
      <c r="Q28" s="307">
        <f t="shared" si="8"/>
        <v>541.03</v>
      </c>
      <c r="R28" s="307">
        <f t="shared" si="8"/>
        <v>541.03</v>
      </c>
      <c r="S28" s="307">
        <f t="shared" si="8"/>
        <v>541.03</v>
      </c>
    </row>
    <row r="29" spans="2:19" ht="14.4" customHeight="1" x14ac:dyDescent="0.3">
      <c r="B29" s="79"/>
      <c r="C29" s="79"/>
      <c r="D29" s="94"/>
      <c r="E29" s="308"/>
      <c r="F29" s="94"/>
      <c r="G29" s="94"/>
      <c r="H29" s="94"/>
      <c r="I29" s="94"/>
      <c r="J29" s="309"/>
      <c r="K29" s="309"/>
      <c r="L29" s="309"/>
      <c r="M29" s="309"/>
      <c r="N29" s="309"/>
      <c r="O29" s="309"/>
      <c r="P29" s="309"/>
      <c r="Q29" s="309"/>
      <c r="R29" s="309"/>
      <c r="S29" s="309"/>
    </row>
    <row r="30" spans="2:19" ht="14.4" customHeight="1" x14ac:dyDescent="0.3">
      <c r="B30" s="79"/>
      <c r="C30" s="95" t="s">
        <v>196</v>
      </c>
      <c r="D30" s="79"/>
      <c r="E30" s="308"/>
      <c r="F30" s="94"/>
      <c r="G30" s="94"/>
      <c r="H30" s="94"/>
      <c r="I30" s="94"/>
      <c r="J30" s="309"/>
      <c r="K30" s="309"/>
      <c r="L30" s="309"/>
      <c r="M30" s="309"/>
      <c r="N30" s="309"/>
      <c r="O30" s="309"/>
      <c r="P30" s="309"/>
      <c r="Q30" s="309"/>
      <c r="R30" s="309"/>
      <c r="S30" s="309"/>
    </row>
    <row r="31" spans="2:19" ht="14.4" customHeight="1" x14ac:dyDescent="0.3">
      <c r="B31" s="79"/>
      <c r="C31" s="79"/>
      <c r="D31" s="94" t="s">
        <v>197</v>
      </c>
      <c r="E31" s="310">
        <f>'Supporting Schedules'!E29</f>
        <v>511.77</v>
      </c>
      <c r="F31" s="311">
        <f>'Supporting Schedules'!F29</f>
        <v>39.71</v>
      </c>
      <c r="G31" s="311">
        <f>'Supporting Schedules'!G29</f>
        <v>417.53000000000003</v>
      </c>
      <c r="H31" s="311">
        <f>'Supporting Schedules'!H29</f>
        <v>376.09000000000003</v>
      </c>
      <c r="I31" s="311">
        <f>'Supporting Schedules'!I29</f>
        <v>126.97999999999999</v>
      </c>
      <c r="J31" s="312">
        <f>'Supporting Schedules'!J29</f>
        <v>126.97999999999999</v>
      </c>
      <c r="K31" s="312">
        <f>'Supporting Schedules'!K29</f>
        <v>126.97999999999999</v>
      </c>
      <c r="L31" s="312">
        <f>'Supporting Schedules'!L29</f>
        <v>126.97999999999999</v>
      </c>
      <c r="M31" s="312">
        <f>'Supporting Schedules'!M29</f>
        <v>126.97999999999999</v>
      </c>
      <c r="N31" s="312">
        <f>'Supporting Schedules'!N29</f>
        <v>126.97999999999999</v>
      </c>
      <c r="O31" s="312">
        <f>'Supporting Schedules'!O29</f>
        <v>126.97999999999999</v>
      </c>
      <c r="P31" s="312">
        <f>'Supporting Schedules'!P29</f>
        <v>126.97999999999999</v>
      </c>
      <c r="Q31" s="312">
        <f>'Supporting Schedules'!Q29</f>
        <v>126.97999999999999</v>
      </c>
      <c r="R31" s="312">
        <f>'Supporting Schedules'!R29</f>
        <v>126.97999999999999</v>
      </c>
      <c r="S31" s="312">
        <f>'Supporting Schedules'!S29</f>
        <v>126.97999999999999</v>
      </c>
    </row>
    <row r="32" spans="2:19" ht="14.4" customHeight="1" x14ac:dyDescent="0.3">
      <c r="B32" s="79"/>
      <c r="C32" s="79"/>
      <c r="D32" s="94" t="s">
        <v>198</v>
      </c>
      <c r="E32" s="310">
        <f>SUM('BS Inputs'!E48:E51)</f>
        <v>207.63</v>
      </c>
      <c r="F32" s="311">
        <f>SUM('BS Inputs'!F48:F51)</f>
        <v>181.04</v>
      </c>
      <c r="G32" s="311">
        <f>SUM('BS Inputs'!G48:G51)</f>
        <v>204.54999999999998</v>
      </c>
      <c r="H32" s="311">
        <f>SUM('BS Inputs'!H48:H51)</f>
        <v>249.98</v>
      </c>
      <c r="I32" s="311">
        <f>SUM('BS Inputs'!I48:I51)</f>
        <v>281.41000000000003</v>
      </c>
      <c r="J32" s="312">
        <f t="shared" ref="J32:S32" si="9">I32</f>
        <v>281.41000000000003</v>
      </c>
      <c r="K32" s="312">
        <f t="shared" si="9"/>
        <v>281.41000000000003</v>
      </c>
      <c r="L32" s="312">
        <f t="shared" si="9"/>
        <v>281.41000000000003</v>
      </c>
      <c r="M32" s="312">
        <f t="shared" si="9"/>
        <v>281.41000000000003</v>
      </c>
      <c r="N32" s="312">
        <f t="shared" si="9"/>
        <v>281.41000000000003</v>
      </c>
      <c r="O32" s="312">
        <f t="shared" si="9"/>
        <v>281.41000000000003</v>
      </c>
      <c r="P32" s="312">
        <f t="shared" si="9"/>
        <v>281.41000000000003</v>
      </c>
      <c r="Q32" s="312">
        <f t="shared" si="9"/>
        <v>281.41000000000003</v>
      </c>
      <c r="R32" s="312">
        <f t="shared" si="9"/>
        <v>281.41000000000003</v>
      </c>
      <c r="S32" s="312">
        <f t="shared" si="9"/>
        <v>281.41000000000003</v>
      </c>
    </row>
    <row r="33" spans="2:19" ht="14.4" customHeight="1" x14ac:dyDescent="0.3">
      <c r="B33" s="79"/>
      <c r="C33" s="79"/>
      <c r="D33" s="94"/>
      <c r="E33" s="308"/>
      <c r="F33" s="94"/>
      <c r="G33" s="94"/>
      <c r="H33" s="94"/>
      <c r="I33" s="94"/>
      <c r="J33" s="309"/>
      <c r="K33" s="309"/>
      <c r="L33" s="309"/>
      <c r="M33" s="309"/>
      <c r="N33" s="309"/>
      <c r="O33" s="309"/>
      <c r="P33" s="309"/>
      <c r="Q33" s="309"/>
      <c r="R33" s="309"/>
      <c r="S33" s="309"/>
    </row>
    <row r="34" spans="2:19" ht="14.4" customHeight="1" x14ac:dyDescent="0.3">
      <c r="B34" s="79"/>
      <c r="C34" s="95" t="s">
        <v>199</v>
      </c>
      <c r="D34" s="79"/>
      <c r="E34" s="308"/>
      <c r="F34" s="94"/>
      <c r="G34" s="94"/>
      <c r="H34" s="94"/>
      <c r="I34" s="94"/>
      <c r="J34" s="309"/>
      <c r="K34" s="309"/>
      <c r="L34" s="309"/>
      <c r="M34" s="309"/>
      <c r="N34" s="309"/>
      <c r="O34" s="309"/>
      <c r="P34" s="309"/>
      <c r="Q34" s="309"/>
      <c r="R34" s="309"/>
      <c r="S34" s="309"/>
    </row>
    <row r="35" spans="2:19" ht="14.4" customHeight="1" x14ac:dyDescent="0.3">
      <c r="B35" s="79"/>
      <c r="C35" s="79"/>
      <c r="D35" s="94" t="s">
        <v>200</v>
      </c>
      <c r="E35" s="305">
        <f>'BS Inputs'!E39</f>
        <v>55.44</v>
      </c>
      <c r="F35" s="306">
        <f>'BS Inputs'!F39</f>
        <v>55.44</v>
      </c>
      <c r="G35" s="306">
        <f>'BS Inputs'!G39</f>
        <v>55.44</v>
      </c>
      <c r="H35" s="306">
        <f>'BS Inputs'!H39</f>
        <v>55.44</v>
      </c>
      <c r="I35" s="306">
        <f>'BS Inputs'!I39</f>
        <v>55.44</v>
      </c>
      <c r="J35" s="307">
        <f t="shared" ref="J35:S35" si="10">I35</f>
        <v>55.44</v>
      </c>
      <c r="K35" s="307">
        <f t="shared" si="10"/>
        <v>55.44</v>
      </c>
      <c r="L35" s="307">
        <f t="shared" si="10"/>
        <v>55.44</v>
      </c>
      <c r="M35" s="307">
        <f t="shared" si="10"/>
        <v>55.44</v>
      </c>
      <c r="N35" s="307">
        <f t="shared" si="10"/>
        <v>55.44</v>
      </c>
      <c r="O35" s="307">
        <f t="shared" si="10"/>
        <v>55.44</v>
      </c>
      <c r="P35" s="307">
        <f t="shared" si="10"/>
        <v>55.44</v>
      </c>
      <c r="Q35" s="307">
        <f t="shared" si="10"/>
        <v>55.44</v>
      </c>
      <c r="R35" s="307">
        <f t="shared" si="10"/>
        <v>55.44</v>
      </c>
      <c r="S35" s="307">
        <f t="shared" si="10"/>
        <v>55.44</v>
      </c>
    </row>
    <row r="36" spans="2:19" ht="14.4" customHeight="1" x14ac:dyDescent="0.3">
      <c r="B36" s="79"/>
      <c r="C36" s="79"/>
      <c r="D36" s="94" t="s">
        <v>201</v>
      </c>
      <c r="E36" s="305">
        <f>'BS Inputs'!E41</f>
        <v>3194.28</v>
      </c>
      <c r="F36" s="306">
        <f>'BS Inputs'!F41</f>
        <v>3441.44</v>
      </c>
      <c r="G36" s="306">
        <f>'BS Inputs'!G41</f>
        <v>3932.22</v>
      </c>
      <c r="H36" s="306">
        <f>'BS Inputs'!H41</f>
        <v>4540.26</v>
      </c>
      <c r="I36" s="306">
        <f>'BS Inputs'!I41</f>
        <v>5383.85</v>
      </c>
      <c r="J36" s="307">
        <f>SUM(I36,'Income Statement'!J21,'Cash Flow Statement'!J28)</f>
        <v>6285.992707711307</v>
      </c>
      <c r="K36" s="307">
        <f>SUM(J36,'Income Statement'!K21,'Cash Flow Statement'!K28)</f>
        <v>7339.366285653965</v>
      </c>
      <c r="L36" s="307">
        <f>SUM(K36,'Income Statement'!L21,'Cash Flow Statement'!L28)</f>
        <v>8548.8419228107323</v>
      </c>
      <c r="M36" s="307">
        <f>SUM(L36,'Income Statement'!M21,'Cash Flow Statement'!M28)</f>
        <v>9900.2779031622467</v>
      </c>
      <c r="N36" s="307">
        <f>SUM(M36,'Income Statement'!N21,'Cash Flow Statement'!N28)</f>
        <v>11411.591251577292</v>
      </c>
      <c r="O36" s="307">
        <f>SUM(N36,'Income Statement'!O21,'Cash Flow Statement'!O28)</f>
        <v>13081.921081787057</v>
      </c>
      <c r="P36" s="307">
        <f>SUM(O36,'Income Statement'!P21,'Cash Flow Statement'!P28)</f>
        <v>14889.506563554638</v>
      </c>
      <c r="Q36" s="307">
        <f>SUM(P36,'Income Statement'!Q21,'Cash Flow Statement'!Q28)</f>
        <v>16849.852090914566</v>
      </c>
      <c r="R36" s="307">
        <f>SUM(Q36,'Income Statement'!R21,'Cash Flow Statement'!R28)</f>
        <v>18957.973515204412</v>
      </c>
      <c r="S36" s="307">
        <f>SUM(R36,'Income Statement'!S21,'Cash Flow Statement'!S28)</f>
        <v>21186.555067696325</v>
      </c>
    </row>
    <row r="37" spans="2:19" ht="14.4" customHeight="1" x14ac:dyDescent="0.3">
      <c r="B37" s="79"/>
      <c r="C37" s="79"/>
      <c r="D37" s="94" t="s">
        <v>242</v>
      </c>
      <c r="E37" s="305">
        <f>'BS Inputs'!E42</f>
        <v>1152.32</v>
      </c>
      <c r="F37" s="306">
        <f>'BS Inputs'!F42</f>
        <v>1154.49</v>
      </c>
      <c r="G37" s="306">
        <f>'BS Inputs'!G42</f>
        <v>1157.31</v>
      </c>
      <c r="H37" s="306">
        <f>'BS Inputs'!H42</f>
        <v>1162.54</v>
      </c>
      <c r="I37" s="306">
        <f>'BS Inputs'!I42</f>
        <v>1173.03</v>
      </c>
      <c r="J37" s="307">
        <f t="shared" ref="J37:S37" si="11">I37</f>
        <v>1173.03</v>
      </c>
      <c r="K37" s="307">
        <f t="shared" si="11"/>
        <v>1173.03</v>
      </c>
      <c r="L37" s="307">
        <f t="shared" si="11"/>
        <v>1173.03</v>
      </c>
      <c r="M37" s="307">
        <f t="shared" si="11"/>
        <v>1173.03</v>
      </c>
      <c r="N37" s="307">
        <f t="shared" si="11"/>
        <v>1173.03</v>
      </c>
      <c r="O37" s="307">
        <f t="shared" si="11"/>
        <v>1173.03</v>
      </c>
      <c r="P37" s="307">
        <f t="shared" si="11"/>
        <v>1173.03</v>
      </c>
      <c r="Q37" s="307">
        <f t="shared" si="11"/>
        <v>1173.03</v>
      </c>
      <c r="R37" s="307">
        <f t="shared" si="11"/>
        <v>1173.03</v>
      </c>
      <c r="S37" s="307">
        <f t="shared" si="11"/>
        <v>1173.03</v>
      </c>
    </row>
    <row r="38" spans="2:19" ht="14.4" customHeight="1" thickBot="1" x14ac:dyDescent="0.35">
      <c r="B38" s="79"/>
      <c r="C38" s="79"/>
      <c r="D38" s="94"/>
      <c r="E38" s="308"/>
      <c r="F38" s="94"/>
      <c r="G38" s="94"/>
      <c r="H38" s="94"/>
      <c r="I38" s="94"/>
      <c r="J38" s="309"/>
      <c r="K38" s="309"/>
      <c r="L38" s="309"/>
      <c r="M38" s="309"/>
      <c r="N38" s="309"/>
      <c r="O38" s="309"/>
      <c r="P38" s="309"/>
      <c r="Q38" s="309"/>
      <c r="R38" s="309"/>
      <c r="S38" s="309"/>
    </row>
    <row r="39" spans="2:19" ht="14.4" customHeight="1" thickTop="1" thickBot="1" x14ac:dyDescent="0.35">
      <c r="B39" s="79"/>
      <c r="C39" s="79"/>
      <c r="D39" s="96" t="s">
        <v>202</v>
      </c>
      <c r="E39" s="313">
        <f t="shared" ref="E39:S39" si="12">SUM(E27:E28,E31:E32,E35:E37)</f>
        <v>6196.07</v>
      </c>
      <c r="F39" s="303">
        <f t="shared" si="12"/>
        <v>5956.21</v>
      </c>
      <c r="G39" s="303">
        <f t="shared" si="12"/>
        <v>7111.99</v>
      </c>
      <c r="H39" s="303">
        <f t="shared" si="12"/>
        <v>7918.64</v>
      </c>
      <c r="I39" s="303">
        <f t="shared" si="12"/>
        <v>8970.51</v>
      </c>
      <c r="J39" s="304">
        <f t="shared" si="12"/>
        <v>9903.0316365507479</v>
      </c>
      <c r="K39" s="304">
        <f t="shared" si="12"/>
        <v>11637.290975503496</v>
      </c>
      <c r="L39" s="304">
        <f t="shared" si="12"/>
        <v>12943.271905716518</v>
      </c>
      <c r="M39" s="304">
        <f t="shared" si="12"/>
        <v>14327.632251708184</v>
      </c>
      <c r="N39" s="304">
        <f t="shared" si="12"/>
        <v>16358.095807829599</v>
      </c>
      <c r="O39" s="304">
        <f t="shared" si="12"/>
        <v>18197.366821369644</v>
      </c>
      <c r="P39" s="304">
        <f t="shared" si="12"/>
        <v>20264.596842342991</v>
      </c>
      <c r="Q39" s="304">
        <f t="shared" si="12"/>
        <v>22478.570474456475</v>
      </c>
      <c r="R39" s="304">
        <f t="shared" si="12"/>
        <v>24832.380695293527</v>
      </c>
      <c r="S39" s="304">
        <f t="shared" si="12"/>
        <v>27297.167297389453</v>
      </c>
    </row>
    <row r="40" spans="2:19" ht="14.4" customHeight="1" thickTop="1" x14ac:dyDescent="0.3">
      <c r="E40" s="314"/>
      <c r="F40" s="94"/>
      <c r="G40" s="94"/>
      <c r="H40" s="94"/>
      <c r="I40" s="94"/>
      <c r="J40" s="309"/>
      <c r="K40" s="309"/>
      <c r="L40" s="309"/>
      <c r="M40" s="309"/>
      <c r="N40" s="309"/>
      <c r="O40" s="309"/>
      <c r="P40" s="309"/>
      <c r="Q40" s="309"/>
      <c r="R40" s="309"/>
      <c r="S40" s="309"/>
    </row>
    <row r="41" spans="2:19" ht="14.4" customHeight="1" x14ac:dyDescent="0.3">
      <c r="D41" s="24" t="s">
        <v>243</v>
      </c>
      <c r="E41" s="315">
        <f t="shared" ref="E41:S41" si="13">E23-E39</f>
        <v>0</v>
      </c>
      <c r="F41" s="315">
        <f t="shared" si="13"/>
        <v>0</v>
      </c>
      <c r="G41" s="315">
        <f t="shared" si="13"/>
        <v>0</v>
      </c>
      <c r="H41" s="315">
        <f t="shared" si="13"/>
        <v>0</v>
      </c>
      <c r="I41" s="315">
        <f t="shared" si="13"/>
        <v>0</v>
      </c>
      <c r="J41" s="316">
        <f t="shared" si="13"/>
        <v>0</v>
      </c>
      <c r="K41" s="316">
        <f t="shared" si="13"/>
        <v>0</v>
      </c>
      <c r="L41" s="316">
        <f t="shared" si="13"/>
        <v>0</v>
      </c>
      <c r="M41" s="316">
        <f t="shared" si="13"/>
        <v>0</v>
      </c>
      <c r="N41" s="316">
        <f t="shared" si="13"/>
        <v>0</v>
      </c>
      <c r="O41" s="316">
        <f t="shared" si="13"/>
        <v>0</v>
      </c>
      <c r="P41" s="316">
        <f t="shared" si="13"/>
        <v>0</v>
      </c>
      <c r="Q41" s="316">
        <f t="shared" si="13"/>
        <v>0</v>
      </c>
      <c r="R41" s="316">
        <f t="shared" si="13"/>
        <v>0</v>
      </c>
      <c r="S41" s="316">
        <f t="shared" si="13"/>
        <v>0</v>
      </c>
    </row>
  </sheetData>
  <mergeCells count="1">
    <mergeCell ref="D4:S4"/>
  </mergeCells>
  <pageMargins left="0.7" right="0.7" top="0.75" bottom="0.75" header="0.3" footer="0.3"/>
  <ignoredErrors>
    <ignoredError sqref="E18:H18 E21:H21 E19:H19 E27:H27 E28:H28 E32:I32 I18:I21 I27:I28" formulaRange="1"/>
    <ignoredError sqref="J36:S36" formula="1"/>
  </ignoredError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3C0D3-1681-4D7D-9C98-7FA764109CEB}">
  <dimension ref="C3:S36"/>
  <sheetViews>
    <sheetView showGridLines="0" workbookViewId="0">
      <selection activeCell="U18" sqref="U18"/>
    </sheetView>
  </sheetViews>
  <sheetFormatPr defaultRowHeight="14.4" x14ac:dyDescent="0.3"/>
  <cols>
    <col min="1" max="3" width="1.33203125" customWidth="1"/>
    <col min="4" max="4" width="36.21875" customWidth="1"/>
    <col min="5" max="14" width="9" bestFit="1" customWidth="1"/>
    <col min="15" max="19" width="9.6640625" bestFit="1" customWidth="1"/>
  </cols>
  <sheetData>
    <row r="3" spans="3:19" x14ac:dyDescent="0.3">
      <c r="R3" s="124" t="s">
        <v>258</v>
      </c>
    </row>
    <row r="4" spans="3:19" ht="16.8" x14ac:dyDescent="0.3">
      <c r="D4" s="378" t="s">
        <v>203</v>
      </c>
      <c r="E4" s="378"/>
      <c r="F4" s="378"/>
      <c r="G4" s="378"/>
      <c r="H4" s="378"/>
      <c r="I4" s="378"/>
      <c r="J4" s="378"/>
      <c r="K4" s="378"/>
      <c r="L4" s="378"/>
      <c r="M4" s="378"/>
      <c r="N4" s="378"/>
      <c r="O4" s="378"/>
      <c r="P4" s="378"/>
      <c r="Q4" s="378"/>
      <c r="R4" s="378"/>
      <c r="S4" s="378"/>
    </row>
    <row r="5" spans="3:19" x14ac:dyDescent="0.3">
      <c r="D5" s="1"/>
      <c r="E5" s="102">
        <v>2020</v>
      </c>
      <c r="F5" s="5">
        <f t="shared" ref="F5:S5" si="0">E5+1</f>
        <v>2021</v>
      </c>
      <c r="G5" s="5">
        <f t="shared" si="0"/>
        <v>2022</v>
      </c>
      <c r="H5" s="5">
        <f t="shared" si="0"/>
        <v>2023</v>
      </c>
      <c r="I5" s="5">
        <f t="shared" si="0"/>
        <v>2024</v>
      </c>
      <c r="J5" s="5">
        <f t="shared" si="0"/>
        <v>2025</v>
      </c>
      <c r="K5" s="5">
        <f t="shared" si="0"/>
        <v>2026</v>
      </c>
      <c r="L5" s="5">
        <f t="shared" si="0"/>
        <v>2027</v>
      </c>
      <c r="M5" s="5">
        <f t="shared" si="0"/>
        <v>2028</v>
      </c>
      <c r="N5" s="5">
        <f t="shared" si="0"/>
        <v>2029</v>
      </c>
      <c r="O5" s="5">
        <f t="shared" si="0"/>
        <v>2030</v>
      </c>
      <c r="P5" s="5">
        <f t="shared" si="0"/>
        <v>2031</v>
      </c>
      <c r="Q5" s="5">
        <f t="shared" si="0"/>
        <v>2032</v>
      </c>
      <c r="R5" s="5">
        <f t="shared" si="0"/>
        <v>2033</v>
      </c>
      <c r="S5" s="5">
        <f t="shared" si="0"/>
        <v>2034</v>
      </c>
    </row>
    <row r="6" spans="3:19" x14ac:dyDescent="0.3">
      <c r="D6" s="8" t="s">
        <v>1</v>
      </c>
      <c r="E6" s="34" t="s">
        <v>110</v>
      </c>
      <c r="F6" s="10" t="s">
        <v>110</v>
      </c>
      <c r="G6" s="10" t="s">
        <v>110</v>
      </c>
      <c r="H6" s="10" t="s">
        <v>110</v>
      </c>
      <c r="I6" s="10" t="s">
        <v>110</v>
      </c>
      <c r="J6" s="93" t="s">
        <v>111</v>
      </c>
      <c r="K6" s="93" t="s">
        <v>111</v>
      </c>
      <c r="L6" s="93" t="s">
        <v>111</v>
      </c>
      <c r="M6" s="93" t="s">
        <v>111</v>
      </c>
      <c r="N6" s="93" t="s">
        <v>111</v>
      </c>
      <c r="O6" s="93" t="s">
        <v>111</v>
      </c>
      <c r="P6" s="93" t="s">
        <v>111</v>
      </c>
      <c r="Q6" s="93" t="s">
        <v>111</v>
      </c>
      <c r="R6" s="93" t="s">
        <v>111</v>
      </c>
      <c r="S6" s="93" t="s">
        <v>111</v>
      </c>
    </row>
    <row r="7" spans="3:19" x14ac:dyDescent="0.3">
      <c r="E7" s="101"/>
      <c r="J7" s="90"/>
      <c r="K7" s="90"/>
      <c r="L7" s="90"/>
      <c r="M7" s="90"/>
      <c r="N7" s="90"/>
      <c r="O7" s="90"/>
      <c r="P7" s="90"/>
      <c r="Q7" s="90"/>
      <c r="R7" s="90"/>
      <c r="S7" s="90"/>
    </row>
    <row r="8" spans="3:19" x14ac:dyDescent="0.3">
      <c r="C8" s="5" t="s">
        <v>206</v>
      </c>
      <c r="E8" s="101"/>
      <c r="J8" s="90"/>
      <c r="K8" s="90"/>
      <c r="L8" s="90"/>
      <c r="M8" s="90"/>
      <c r="N8" s="90"/>
      <c r="O8" s="90"/>
      <c r="P8" s="90"/>
      <c r="Q8" s="90"/>
      <c r="R8" s="90"/>
      <c r="S8" s="90"/>
    </row>
    <row r="9" spans="3:19" x14ac:dyDescent="0.3">
      <c r="D9" s="1" t="s">
        <v>178</v>
      </c>
      <c r="E9" s="75">
        <f>SUM('CF Inputs'!E8,'CF Inputs'!E38)</f>
        <v>645.15000000000055</v>
      </c>
      <c r="F9" s="42">
        <f>SUM('CF Inputs'!F8,'CF Inputs'!F38)</f>
        <v>741.03999999999917</v>
      </c>
      <c r="G9" s="42">
        <f>SUM('CF Inputs'!G8,'CF Inputs'!G38)</f>
        <v>952.35000000000048</v>
      </c>
      <c r="H9" s="42">
        <f>SUM('CF Inputs'!H8,'CF Inputs'!H38)</f>
        <v>1239.1600000000008</v>
      </c>
      <c r="I9" s="42">
        <f>SUM('CF Inputs'!I8,'CF Inputs'!I38)</f>
        <v>1703.3700000000006</v>
      </c>
      <c r="J9" s="273">
        <f>'Income Statement'!J21</f>
        <v>1782.9168193897003</v>
      </c>
      <c r="K9" s="273">
        <f>'Income Statement'!K21</f>
        <v>2081.7964310538687</v>
      </c>
      <c r="L9" s="273">
        <f>'Income Statement'!L21</f>
        <v>2390.3030393046643</v>
      </c>
      <c r="M9" s="273">
        <f>'Income Statement'!M21</f>
        <v>2670.8611831601543</v>
      </c>
      <c r="N9" s="273">
        <f>'Income Statement'!N21</f>
        <v>2986.828985286917</v>
      </c>
      <c r="O9" s="273">
        <f>'Income Statement'!O21</f>
        <v>3301.0954062517735</v>
      </c>
      <c r="P9" s="273">
        <f>'Income Statement'!P21</f>
        <v>3572.35560447424</v>
      </c>
      <c r="Q9" s="273">
        <f>'Income Statement'!Q21</f>
        <v>3874.2573460604394</v>
      </c>
      <c r="R9" s="273">
        <f>'Income Statement'!R21</f>
        <v>4166.3088473192256</v>
      </c>
      <c r="S9" s="273">
        <f>'Income Statement'!S21</f>
        <v>4404.3758258598664</v>
      </c>
    </row>
    <row r="10" spans="3:19" x14ac:dyDescent="0.3">
      <c r="D10" s="1" t="s">
        <v>207</v>
      </c>
      <c r="E10" s="75">
        <f>'CF Inputs'!E10</f>
        <v>120.58</v>
      </c>
      <c r="F10" s="42">
        <f>'CF Inputs'!F10</f>
        <v>127.19</v>
      </c>
      <c r="G10" s="42">
        <f>'CF Inputs'!G10</f>
        <v>135.62</v>
      </c>
      <c r="H10" s="42">
        <f>'CF Inputs'!H10</f>
        <v>142.04</v>
      </c>
      <c r="I10" s="42">
        <f>'CF Inputs'!I10</f>
        <v>159.18</v>
      </c>
      <c r="J10" s="273">
        <f>-'Supporting Schedules'!J23</f>
        <v>181.85409999999999</v>
      </c>
      <c r="K10" s="273">
        <f>-'Supporting Schedules'!K23</f>
        <v>177.16567912240839</v>
      </c>
      <c r="L10" s="273">
        <f>-'Supporting Schedules'!L23</f>
        <v>172.90277028967824</v>
      </c>
      <c r="M10" s="273">
        <f>-'Supporting Schedules'!M23</f>
        <v>190.10683337153017</v>
      </c>
      <c r="N10" s="273">
        <f>-'Supporting Schedules'!N23</f>
        <v>184.25722089546232</v>
      </c>
      <c r="O10" s="273">
        <f>-'Supporting Schedules'!O23</f>
        <v>178.99175703102264</v>
      </c>
      <c r="P10" s="273">
        <f>-'Supporting Schedules'!P23</f>
        <v>193.57636585002331</v>
      </c>
      <c r="Q10" s="273">
        <f>-'Supporting Schedules'!Q23</f>
        <v>186.91981501413392</v>
      </c>
      <c r="R10" s="273">
        <f>-'Supporting Schedules'!R23</f>
        <v>180.9939758660561</v>
      </c>
      <c r="S10" s="273">
        <f>-'Supporting Schedules'!S23</f>
        <v>193.26286329260176</v>
      </c>
    </row>
    <row r="11" spans="3:19" x14ac:dyDescent="0.3">
      <c r="D11" s="1" t="s">
        <v>208</v>
      </c>
      <c r="E11" s="271">
        <f>'CF Inputs'!E23-'CF Inputs'!E10</f>
        <v>-178.32</v>
      </c>
      <c r="F11" s="272">
        <f>'CF Inputs'!F23-'CF Inputs'!F10</f>
        <v>-180.73000000000002</v>
      </c>
      <c r="G11" s="272">
        <f>'CF Inputs'!G23-'CF Inputs'!G10</f>
        <v>-310.27000000000004</v>
      </c>
      <c r="H11" s="272">
        <f>'CF Inputs'!H23-'CF Inputs'!H10</f>
        <v>-305.39</v>
      </c>
      <c r="I11" s="272">
        <f>'CF Inputs'!I23-'CF Inputs'!I10</f>
        <v>-393.37</v>
      </c>
      <c r="J11" s="273">
        <f>-'Income Statement'!J16-'Income Statement'!J18</f>
        <v>-470.59492569791286</v>
      </c>
      <c r="K11" s="273">
        <f>-'Income Statement'!K16-'Income Statement'!K18</f>
        <v>-546.1816819480739</v>
      </c>
      <c r="L11" s="273">
        <f>-'Income Statement'!L16-'Income Statement'!L18</f>
        <v>-624.31756436330193</v>
      </c>
      <c r="M11" s="273">
        <f>-'Income Statement'!M16-'Income Statement'!M18</f>
        <v>-703.99752870013685</v>
      </c>
      <c r="N11" s="273">
        <f>-'Income Statement'!N16-'Income Statement'!N18</f>
        <v>-784.25355468461385</v>
      </c>
      <c r="O11" s="273">
        <f>-'Income Statement'!O16-'Income Statement'!O18</f>
        <v>-864.18714398674092</v>
      </c>
      <c r="P11" s="273">
        <f>-'Income Statement'!P16-'Income Statement'!P18</f>
        <v>-942.99270673501394</v>
      </c>
      <c r="Q11" s="273">
        <f>-'Income Statement'!Q16-'Income Statement'!Q18</f>
        <v>-1019.9722017978469</v>
      </c>
      <c r="R11" s="273">
        <f>-'Income Statement'!R16-'Income Statement'!R18</f>
        <v>-1094.5420114771646</v>
      </c>
      <c r="S11" s="273">
        <f>-'Income Statement'!S16-'Income Statement'!S18</f>
        <v>-1166.2333781239183</v>
      </c>
    </row>
    <row r="12" spans="3:19" x14ac:dyDescent="0.3">
      <c r="D12" s="1" t="s">
        <v>209</v>
      </c>
      <c r="E12" s="105">
        <f>'Supporting Schedules'!E12</f>
        <v>13.29000000000002</v>
      </c>
      <c r="F12" s="26">
        <f>'Supporting Schedules'!F12</f>
        <v>101.18</v>
      </c>
      <c r="G12" s="281">
        <f>'Supporting Schedules'!G12</f>
        <v>-65.82999999999997</v>
      </c>
      <c r="H12" s="281">
        <f>'Supporting Schedules'!H12</f>
        <v>-256.15000000000003</v>
      </c>
      <c r="I12" s="281">
        <f>'Supporting Schedules'!I12</f>
        <v>-183.83999999999997</v>
      </c>
      <c r="J12" s="273">
        <f>'Supporting Schedules'!J12</f>
        <v>-547.43125725707694</v>
      </c>
      <c r="K12" s="273">
        <f>'Supporting Schedules'!K12</f>
        <v>132.52554924313608</v>
      </c>
      <c r="L12" s="273">
        <f>'Supporting Schedules'!L12</f>
        <v>-470.34809705361727</v>
      </c>
      <c r="M12" s="273">
        <f>'Supporting Schedules'!M12</f>
        <v>-545.13089542599801</v>
      </c>
      <c r="N12" s="273">
        <f>'Supporting Schedules'!N12</f>
        <v>-63.084215196626928</v>
      </c>
      <c r="O12" s="273">
        <f>'Supporting Schedules'!O12</f>
        <v>-410.95405403035056</v>
      </c>
      <c r="P12" s="273">
        <f>'Supporting Schedules'!P12</f>
        <v>-312.0671894208308</v>
      </c>
      <c r="Q12" s="273">
        <f>'Supporting Schedules'!Q12</f>
        <v>-304.83602717270696</v>
      </c>
      <c r="R12" s="273">
        <f>'Supporting Schedules'!R12</f>
        <v>-295.29375986571313</v>
      </c>
      <c r="S12" s="273">
        <f>'Supporting Schedules'!S12</f>
        <v>-283.89522915602811</v>
      </c>
    </row>
    <row r="13" spans="3:19" x14ac:dyDescent="0.3">
      <c r="D13" s="99" t="s">
        <v>210</v>
      </c>
      <c r="E13" s="74">
        <f t="shared" ref="E13:I13" si="1">SUM(E9:E12)</f>
        <v>600.7000000000005</v>
      </c>
      <c r="F13" s="22">
        <f t="shared" si="1"/>
        <v>788.67999999999915</v>
      </c>
      <c r="G13" s="22">
        <f t="shared" si="1"/>
        <v>711.87000000000057</v>
      </c>
      <c r="H13" s="22">
        <f t="shared" si="1"/>
        <v>819.66000000000076</v>
      </c>
      <c r="I13" s="22">
        <f t="shared" si="1"/>
        <v>1285.3400000000008</v>
      </c>
      <c r="J13" s="91">
        <f>SUM(J9:J12)</f>
        <v>946.74473643471049</v>
      </c>
      <c r="K13" s="91">
        <f t="shared" ref="K13" si="2">SUM(K9:K12)</f>
        <v>1845.305977471339</v>
      </c>
      <c r="L13" s="91">
        <f t="shared" ref="L13" si="3">SUM(L9:L12)</f>
        <v>1468.5401481774234</v>
      </c>
      <c r="M13" s="91">
        <f t="shared" ref="M13" si="4">SUM(M9:M12)</f>
        <v>1611.8395924055499</v>
      </c>
      <c r="N13" s="91">
        <f t="shared" ref="N13" si="5">SUM(N9:N12)</f>
        <v>2323.748436301139</v>
      </c>
      <c r="O13" s="91">
        <f t="shared" ref="O13" si="6">SUM(O9:O12)</f>
        <v>2204.9459652657047</v>
      </c>
      <c r="P13" s="91">
        <f t="shared" ref="P13" si="7">SUM(P9:P12)</f>
        <v>2510.8720741684183</v>
      </c>
      <c r="Q13" s="91">
        <f t="shared" ref="Q13" si="8">SUM(Q9:Q12)</f>
        <v>2736.3689321040192</v>
      </c>
      <c r="R13" s="91">
        <f t="shared" ref="R13" si="9">SUM(R9:R12)</f>
        <v>2957.4670518424036</v>
      </c>
      <c r="S13" s="91">
        <f t="shared" ref="S13" si="10">SUM(S9:S12)</f>
        <v>3147.5100818725214</v>
      </c>
    </row>
    <row r="14" spans="3:19" x14ac:dyDescent="0.3">
      <c r="D14" s="1"/>
      <c r="E14" s="35"/>
      <c r="F14" s="1"/>
      <c r="G14" s="1"/>
      <c r="H14" s="1"/>
      <c r="I14" s="1"/>
      <c r="J14" s="67"/>
      <c r="K14" s="67"/>
      <c r="L14" s="67"/>
      <c r="M14" s="67"/>
      <c r="N14" s="67"/>
      <c r="O14" s="67"/>
      <c r="P14" s="67"/>
      <c r="Q14" s="67"/>
      <c r="R14" s="67"/>
      <c r="S14" s="67"/>
    </row>
    <row r="15" spans="3:19" x14ac:dyDescent="0.3">
      <c r="C15" s="5" t="s">
        <v>211</v>
      </c>
      <c r="E15" s="35"/>
      <c r="F15" s="1"/>
      <c r="G15" s="1"/>
      <c r="H15" s="1"/>
      <c r="I15" s="1"/>
      <c r="J15" s="67"/>
      <c r="K15" s="67"/>
      <c r="L15" s="67"/>
      <c r="M15" s="67"/>
      <c r="N15" s="67"/>
      <c r="O15" s="67"/>
      <c r="P15" s="67"/>
      <c r="Q15" s="67"/>
      <c r="R15" s="67"/>
      <c r="S15" s="67"/>
    </row>
    <row r="16" spans="3:19" x14ac:dyDescent="0.3">
      <c r="D16" s="1" t="s">
        <v>212</v>
      </c>
      <c r="E16" s="271">
        <f>'CF Inputs'!E42</f>
        <v>-248.38</v>
      </c>
      <c r="F16" s="272">
        <f>'CF Inputs'!F42</f>
        <v>-77.989999999999995</v>
      </c>
      <c r="G16" s="272">
        <f>'CF Inputs'!G42</f>
        <v>-152.02000000000001</v>
      </c>
      <c r="H16" s="272">
        <f>'CF Inputs'!H42</f>
        <v>-162.06</v>
      </c>
      <c r="I16" s="272">
        <f>'CF Inputs'!I42</f>
        <v>-286.02</v>
      </c>
      <c r="J16" s="273">
        <f>-'Supporting Schedules'!J22</f>
        <v>-123.39749999999988</v>
      </c>
      <c r="K16" s="273">
        <f>-'Supporting Schedules'!K22</f>
        <v>-124.01448749999986</v>
      </c>
      <c r="L16" s="273">
        <f>-'Supporting Schedules'!L22</f>
        <v>-124.63455993749984</v>
      </c>
      <c r="M16" s="273">
        <f>-'Supporting Schedules'!M22</f>
        <v>-125.25773273718733</v>
      </c>
      <c r="N16" s="273">
        <f>-'Supporting Schedules'!N22</f>
        <v>-125.88402140087325</v>
      </c>
      <c r="O16" s="273">
        <f>-'Supporting Schedules'!O22</f>
        <v>-126.5134415078776</v>
      </c>
      <c r="P16" s="273">
        <f>-'Supporting Schedules'!P22</f>
        <v>-127.14600871541698</v>
      </c>
      <c r="Q16" s="273">
        <f>-'Supporting Schedules'!Q22</f>
        <v>-127.78173875899405</v>
      </c>
      <c r="R16" s="273">
        <f>-'Supporting Schedules'!R22</f>
        <v>-128.42064745278901</v>
      </c>
      <c r="S16" s="273">
        <f>-'Supporting Schedules'!S22</f>
        <v>-129.06275069005295</v>
      </c>
    </row>
    <row r="17" spans="3:19" x14ac:dyDescent="0.3">
      <c r="D17" s="1" t="s">
        <v>213</v>
      </c>
      <c r="E17" s="75">
        <f>'CF Inputs'!E43</f>
        <v>21.03</v>
      </c>
      <c r="F17" s="42">
        <f>'CF Inputs'!F43</f>
        <v>2.16</v>
      </c>
      <c r="G17" s="42">
        <f>'CF Inputs'!G43</f>
        <v>174.67</v>
      </c>
      <c r="H17" s="42">
        <f>'CF Inputs'!H43</f>
        <v>7.32</v>
      </c>
      <c r="I17" s="42">
        <f>'CF Inputs'!I43</f>
        <v>6.05</v>
      </c>
      <c r="J17" s="274">
        <v>0</v>
      </c>
      <c r="K17" s="274">
        <v>0</v>
      </c>
      <c r="L17" s="274">
        <v>0</v>
      </c>
      <c r="M17" s="274">
        <v>0</v>
      </c>
      <c r="N17" s="274">
        <v>0</v>
      </c>
      <c r="O17" s="274">
        <v>0</v>
      </c>
      <c r="P17" s="274">
        <v>0</v>
      </c>
      <c r="Q17" s="274">
        <v>0</v>
      </c>
      <c r="R17" s="274">
        <v>0</v>
      </c>
      <c r="S17" s="274">
        <v>0</v>
      </c>
    </row>
    <row r="18" spans="3:19" x14ac:dyDescent="0.3">
      <c r="D18" s="1" t="s">
        <v>30</v>
      </c>
      <c r="E18" s="271">
        <f>'CF Inputs'!E44</f>
        <v>-9.7799999999999994</v>
      </c>
      <c r="F18" s="272">
        <f>'CF Inputs'!F44</f>
        <v>-38.340000000000003</v>
      </c>
      <c r="G18" s="42">
        <f>'CF Inputs'!G44</f>
        <v>47.71</v>
      </c>
      <c r="H18" s="42">
        <f>'CF Inputs'!H44</f>
        <v>0.41</v>
      </c>
      <c r="I18" s="272">
        <f>'CF Inputs'!I44</f>
        <v>-2.16</v>
      </c>
      <c r="J18" s="274">
        <v>0</v>
      </c>
      <c r="K18" s="274">
        <v>0</v>
      </c>
      <c r="L18" s="274">
        <v>0</v>
      </c>
      <c r="M18" s="274">
        <v>0</v>
      </c>
      <c r="N18" s="274">
        <v>0</v>
      </c>
      <c r="O18" s="274">
        <v>0</v>
      </c>
      <c r="P18" s="274">
        <v>0</v>
      </c>
      <c r="Q18" s="274">
        <v>0</v>
      </c>
      <c r="R18" s="274">
        <v>0</v>
      </c>
      <c r="S18" s="274">
        <v>0</v>
      </c>
    </row>
    <row r="19" spans="3:19" x14ac:dyDescent="0.3">
      <c r="D19" s="1" t="s">
        <v>214</v>
      </c>
      <c r="E19" s="271">
        <f>'CF Inputs'!E48</f>
        <v>-507.45</v>
      </c>
      <c r="F19" s="42">
        <f>'CF Inputs'!F48</f>
        <v>478.78</v>
      </c>
      <c r="G19" s="272">
        <f>'CF Inputs'!G48</f>
        <v>-228.24</v>
      </c>
      <c r="H19" s="272">
        <f>'CF Inputs'!H48</f>
        <v>-426.38</v>
      </c>
      <c r="I19" s="272">
        <f>'CF Inputs'!I48</f>
        <v>-78.069999999999993</v>
      </c>
      <c r="J19" s="274">
        <v>0</v>
      </c>
      <c r="K19" s="274">
        <v>0</v>
      </c>
      <c r="L19" s="274">
        <v>0</v>
      </c>
      <c r="M19" s="274">
        <v>0</v>
      </c>
      <c r="N19" s="274">
        <v>0</v>
      </c>
      <c r="O19" s="274">
        <v>0</v>
      </c>
      <c r="P19" s="274">
        <v>0</v>
      </c>
      <c r="Q19" s="274">
        <v>0</v>
      </c>
      <c r="R19" s="274">
        <v>0</v>
      </c>
      <c r="S19" s="274">
        <v>0</v>
      </c>
    </row>
    <row r="20" spans="3:19" x14ac:dyDescent="0.3">
      <c r="D20" s="1" t="s">
        <v>88</v>
      </c>
      <c r="E20" s="75">
        <f>'CF Inputs'!E49</f>
        <v>397.81</v>
      </c>
      <c r="F20" s="272">
        <f>'CF Inputs'!F49</f>
        <v>-486.29</v>
      </c>
      <c r="G20" s="272">
        <f>'CF Inputs'!G49</f>
        <v>-531.45000000000005</v>
      </c>
      <c r="H20" s="42">
        <f>'CF Inputs'!H49</f>
        <v>464.02</v>
      </c>
      <c r="I20" s="272">
        <f>'CF Inputs'!I49</f>
        <v>-218.62</v>
      </c>
      <c r="J20" s="274">
        <v>0</v>
      </c>
      <c r="K20" s="274">
        <v>0</v>
      </c>
      <c r="L20" s="274">
        <v>0</v>
      </c>
      <c r="M20" s="274">
        <v>0</v>
      </c>
      <c r="N20" s="274">
        <v>0</v>
      </c>
      <c r="O20" s="274">
        <v>0</v>
      </c>
      <c r="P20" s="274">
        <v>0</v>
      </c>
      <c r="Q20" s="274">
        <v>0</v>
      </c>
      <c r="R20" s="274">
        <v>0</v>
      </c>
      <c r="S20" s="274">
        <v>0</v>
      </c>
    </row>
    <row r="21" spans="3:19" x14ac:dyDescent="0.3">
      <c r="D21" s="1" t="s">
        <v>215</v>
      </c>
      <c r="E21" s="75">
        <f>'CF Inputs'!E45</f>
        <v>57.84</v>
      </c>
      <c r="F21" s="42">
        <f>'CF Inputs'!F45</f>
        <v>40.46</v>
      </c>
      <c r="G21" s="42">
        <f>'CF Inputs'!G45</f>
        <v>58.52</v>
      </c>
      <c r="H21" s="42">
        <f>'CF Inputs'!H45</f>
        <v>73.760000000000005</v>
      </c>
      <c r="I21" s="42">
        <f>'CF Inputs'!I45</f>
        <v>120.64</v>
      </c>
      <c r="J21" s="67">
        <f>'Income Statement'!J18</f>
        <v>497.99492569791283</v>
      </c>
      <c r="K21" s="67">
        <f>'Income Statement'!K18</f>
        <v>573.58168194807388</v>
      </c>
      <c r="L21" s="67">
        <f>'Income Statement'!L18</f>
        <v>651.7175643633019</v>
      </c>
      <c r="M21" s="67">
        <f>'Income Statement'!M18</f>
        <v>731.39752870013683</v>
      </c>
      <c r="N21" s="67">
        <f>'Income Statement'!N18</f>
        <v>811.65355468461382</v>
      </c>
      <c r="O21" s="67">
        <f>'Income Statement'!O18</f>
        <v>891.5871439867409</v>
      </c>
      <c r="P21" s="67">
        <f>'Income Statement'!P18</f>
        <v>970.39270673501392</v>
      </c>
      <c r="Q21" s="67">
        <f>'Income Statement'!Q18</f>
        <v>1047.3722017978469</v>
      </c>
      <c r="R21" s="67">
        <f>'Income Statement'!R18</f>
        <v>1121.9420114771647</v>
      </c>
      <c r="S21" s="67">
        <f>'Income Statement'!S18</f>
        <v>1193.6333781239184</v>
      </c>
    </row>
    <row r="22" spans="3:19" x14ac:dyDescent="0.3">
      <c r="D22" s="1" t="s">
        <v>216</v>
      </c>
      <c r="E22" s="75">
        <f>'CF Inputs'!E46</f>
        <v>75.02</v>
      </c>
      <c r="F22" s="42">
        <f>'CF Inputs'!F46</f>
        <v>96.67</v>
      </c>
      <c r="G22" s="42">
        <f>'CF Inputs'!G46</f>
        <v>44.56</v>
      </c>
      <c r="H22" s="42">
        <f>'CF Inputs'!H46</f>
        <v>112.07</v>
      </c>
      <c r="I22" s="42">
        <f>'CF Inputs'!I46</f>
        <v>189.95</v>
      </c>
      <c r="J22" s="274">
        <v>0</v>
      </c>
      <c r="K22" s="274">
        <v>0</v>
      </c>
      <c r="L22" s="274">
        <v>0</v>
      </c>
      <c r="M22" s="274">
        <v>0</v>
      </c>
      <c r="N22" s="274">
        <v>0</v>
      </c>
      <c r="O22" s="274">
        <v>0</v>
      </c>
      <c r="P22" s="274">
        <v>0</v>
      </c>
      <c r="Q22" s="274">
        <v>0</v>
      </c>
      <c r="R22" s="274">
        <v>0</v>
      </c>
      <c r="S22" s="274">
        <v>0</v>
      </c>
    </row>
    <row r="23" spans="3:19" x14ac:dyDescent="0.3">
      <c r="D23" s="99" t="s">
        <v>211</v>
      </c>
      <c r="E23" s="74">
        <f t="shared" ref="E23:I23" si="11">SUM(E16:E22)</f>
        <v>-213.90999999999997</v>
      </c>
      <c r="F23" s="22">
        <f t="shared" si="11"/>
        <v>15.449999999999946</v>
      </c>
      <c r="G23" s="22">
        <f>SUM(G16:G22)</f>
        <v>-586.25</v>
      </c>
      <c r="H23" s="22">
        <f t="shared" si="11"/>
        <v>69.139999999999944</v>
      </c>
      <c r="I23" s="22">
        <f t="shared" si="11"/>
        <v>-268.22999999999996</v>
      </c>
      <c r="J23" s="91">
        <f t="shared" ref="J23" si="12">SUM(J16:J22)</f>
        <v>374.59742569791297</v>
      </c>
      <c r="K23" s="91">
        <f t="shared" ref="K23" si="13">SUM(K16:K22)</f>
        <v>449.56719444807402</v>
      </c>
      <c r="L23" s="91">
        <f t="shared" ref="L23" si="14">SUM(L16:L22)</f>
        <v>527.08300442580207</v>
      </c>
      <c r="M23" s="91">
        <f t="shared" ref="M23" si="15">SUM(M16:M22)</f>
        <v>606.13979596294951</v>
      </c>
      <c r="N23" s="91">
        <f t="shared" ref="N23" si="16">SUM(N16:N22)</f>
        <v>685.76953328374054</v>
      </c>
      <c r="O23" s="91">
        <f t="shared" ref="O23" si="17">SUM(O16:O22)</f>
        <v>765.07370247886331</v>
      </c>
      <c r="P23" s="91">
        <f t="shared" ref="P23" si="18">SUM(P16:P22)</f>
        <v>843.24669801959692</v>
      </c>
      <c r="Q23" s="91">
        <f t="shared" ref="Q23" si="19">SUM(Q16:Q22)</f>
        <v>919.59046303885282</v>
      </c>
      <c r="R23" s="91">
        <f t="shared" ref="R23" si="20">SUM(R16:R22)</f>
        <v>993.52136402437566</v>
      </c>
      <c r="S23" s="91">
        <f t="shared" ref="S23" si="21">SUM(S16:S22)</f>
        <v>1064.5706274338654</v>
      </c>
    </row>
    <row r="24" spans="3:19" x14ac:dyDescent="0.3">
      <c r="D24" s="1"/>
      <c r="E24" s="35"/>
      <c r="F24" s="1"/>
      <c r="G24" s="1"/>
      <c r="H24" s="1"/>
      <c r="I24" s="1"/>
      <c r="J24" s="67"/>
      <c r="K24" s="67"/>
      <c r="L24" s="67"/>
      <c r="M24" s="67"/>
      <c r="N24" s="67"/>
      <c r="O24" s="67"/>
      <c r="P24" s="67"/>
      <c r="Q24" s="67"/>
      <c r="R24" s="67"/>
      <c r="S24" s="67"/>
    </row>
    <row r="25" spans="3:19" x14ac:dyDescent="0.3">
      <c r="C25" s="5" t="s">
        <v>217</v>
      </c>
      <c r="E25" s="35"/>
      <c r="F25" s="1"/>
      <c r="G25" s="1"/>
      <c r="H25" s="1"/>
      <c r="I25" s="1"/>
      <c r="J25" s="67"/>
      <c r="K25" s="67"/>
      <c r="L25" s="67"/>
      <c r="M25" s="67"/>
      <c r="N25" s="67"/>
      <c r="O25" s="67"/>
      <c r="P25" s="67"/>
      <c r="Q25" s="67"/>
      <c r="R25" s="67"/>
      <c r="S25" s="67"/>
    </row>
    <row r="26" spans="3:19" x14ac:dyDescent="0.3">
      <c r="D26" s="1" t="s">
        <v>218</v>
      </c>
      <c r="E26" s="75">
        <f>'CF Inputs'!E53</f>
        <v>176.68</v>
      </c>
      <c r="F26" s="272">
        <f>'CF Inputs'!F53</f>
        <v>-469.05</v>
      </c>
      <c r="G26" s="42">
        <f>'CF Inputs'!G53</f>
        <v>374.46</v>
      </c>
      <c r="H26" s="272">
        <f>'CF Inputs'!H53</f>
        <v>-44.64</v>
      </c>
      <c r="I26" s="272">
        <f>'CF Inputs'!I53</f>
        <v>-250.04</v>
      </c>
      <c r="J26" s="274">
        <v>0</v>
      </c>
      <c r="K26" s="274">
        <v>0</v>
      </c>
      <c r="L26" s="274">
        <v>0</v>
      </c>
      <c r="M26" s="274">
        <v>0</v>
      </c>
      <c r="N26" s="274">
        <v>0</v>
      </c>
      <c r="O26" s="274">
        <v>0</v>
      </c>
      <c r="P26" s="274">
        <v>0</v>
      </c>
      <c r="Q26" s="274">
        <v>0</v>
      </c>
      <c r="R26" s="274">
        <v>0</v>
      </c>
      <c r="S26" s="274">
        <v>0</v>
      </c>
    </row>
    <row r="27" spans="3:19" x14ac:dyDescent="0.3">
      <c r="D27" s="1" t="s">
        <v>244</v>
      </c>
      <c r="E27" s="271">
        <f>'CF Inputs'!E55</f>
        <v>-4.6500000000000004</v>
      </c>
      <c r="F27" s="272">
        <f>'CF Inputs'!F55</f>
        <v>-4.2699999999999996</v>
      </c>
      <c r="G27" s="272">
        <f>'CF Inputs'!G55</f>
        <v>-5.16</v>
      </c>
      <c r="H27" s="272">
        <f>'CF Inputs'!H55</f>
        <v>-5.96</v>
      </c>
      <c r="I27" s="272">
        <f>'CF Inputs'!I55</f>
        <v>-7.01</v>
      </c>
      <c r="J27" s="274">
        <v>0</v>
      </c>
      <c r="K27" s="274">
        <v>0</v>
      </c>
      <c r="L27" s="274">
        <v>0</v>
      </c>
      <c r="M27" s="274">
        <v>0</v>
      </c>
      <c r="N27" s="274">
        <v>0</v>
      </c>
      <c r="O27" s="274">
        <v>0</v>
      </c>
      <c r="P27" s="274">
        <v>0</v>
      </c>
      <c r="Q27" s="274">
        <v>0</v>
      </c>
      <c r="R27" s="274">
        <v>0</v>
      </c>
      <c r="S27" s="274">
        <v>0</v>
      </c>
    </row>
    <row r="28" spans="3:19" x14ac:dyDescent="0.3">
      <c r="D28" s="1" t="s">
        <v>219</v>
      </c>
      <c r="E28" s="271">
        <f>'CF Inputs'!E56</f>
        <v>-568.11</v>
      </c>
      <c r="F28" s="272">
        <f>'CF Inputs'!F56</f>
        <v>-388.08</v>
      </c>
      <c r="G28" s="272">
        <f>'CF Inputs'!G56</f>
        <v>-443.52</v>
      </c>
      <c r="H28" s="272">
        <f>'CF Inputs'!H56</f>
        <v>-623.70000000000005</v>
      </c>
      <c r="I28" s="272">
        <f>'CF Inputs'!I56</f>
        <v>-859.32</v>
      </c>
      <c r="J28" s="273">
        <f>'Cost Buildup'!J29</f>
        <v>-880.77411167839387</v>
      </c>
      <c r="K28" s="273">
        <f>'Cost Buildup'!K29</f>
        <v>-1028.4228531112112</v>
      </c>
      <c r="L28" s="273">
        <f>'Cost Buildup'!L29</f>
        <v>-1180.8274021478967</v>
      </c>
      <c r="M28" s="273">
        <f>'Cost Buildup'!M29</f>
        <v>-1319.4252028086389</v>
      </c>
      <c r="N28" s="273">
        <f>'Cost Buildup'!N29</f>
        <v>-1475.5156368718701</v>
      </c>
      <c r="O28" s="273">
        <f>'Cost Buildup'!O29</f>
        <v>-1630.7655760420096</v>
      </c>
      <c r="P28" s="273">
        <f>'Cost Buildup'!P29</f>
        <v>-1764.7701227066605</v>
      </c>
      <c r="Q28" s="273">
        <f>'Cost Buildup'!Q29</f>
        <v>-1913.9118187005129</v>
      </c>
      <c r="R28" s="273">
        <f>'Cost Buildup'!R29</f>
        <v>-2058.1874230293788</v>
      </c>
      <c r="S28" s="273">
        <f>'Cost Buildup'!S29</f>
        <v>-2175.7942733679538</v>
      </c>
    </row>
    <row r="29" spans="3:19" x14ac:dyDescent="0.3">
      <c r="D29" s="1" t="s">
        <v>220</v>
      </c>
      <c r="E29" s="271">
        <f>'CF Inputs'!E54</f>
        <v>-16.190000000000001</v>
      </c>
      <c r="F29" s="272">
        <f>'CF Inputs'!F54</f>
        <v>-11.76</v>
      </c>
      <c r="G29" s="272">
        <f>'CF Inputs'!G54</f>
        <v>-8.0299999999999994</v>
      </c>
      <c r="H29" s="272">
        <f>'CF Inputs'!H54</f>
        <v>-13.04</v>
      </c>
      <c r="I29" s="272">
        <f>'CF Inputs'!I54</f>
        <v>-17.88</v>
      </c>
      <c r="J29" s="273">
        <f>'Supporting Schedules'!J30</f>
        <v>-27.4</v>
      </c>
      <c r="K29" s="273">
        <f>'Supporting Schedules'!K30</f>
        <v>-27.4</v>
      </c>
      <c r="L29" s="273">
        <f>'Supporting Schedules'!L30</f>
        <v>-27.4</v>
      </c>
      <c r="M29" s="273">
        <f>'Supporting Schedules'!M30</f>
        <v>-27.4</v>
      </c>
      <c r="N29" s="273">
        <f>'Supporting Schedules'!N30</f>
        <v>-27.4</v>
      </c>
      <c r="O29" s="273">
        <f>'Supporting Schedules'!O30</f>
        <v>-27.4</v>
      </c>
      <c r="P29" s="273">
        <f>'Supporting Schedules'!P30</f>
        <v>-27.4</v>
      </c>
      <c r="Q29" s="273">
        <f>'Supporting Schedules'!Q30</f>
        <v>-27.4</v>
      </c>
      <c r="R29" s="273">
        <f>'Supporting Schedules'!R30</f>
        <v>-27.4</v>
      </c>
      <c r="S29" s="273">
        <f>'Supporting Schedules'!S30</f>
        <v>-27.4</v>
      </c>
    </row>
    <row r="30" spans="3:19" x14ac:dyDescent="0.3">
      <c r="D30" s="99" t="s">
        <v>221</v>
      </c>
      <c r="E30" s="74">
        <f t="shared" ref="E30:I30" si="22">SUM(E26:E29)</f>
        <v>-412.27000000000004</v>
      </c>
      <c r="F30" s="22">
        <f t="shared" si="22"/>
        <v>-873.16</v>
      </c>
      <c r="G30" s="22">
        <f t="shared" si="22"/>
        <v>-82.250000000000028</v>
      </c>
      <c r="H30" s="22">
        <f t="shared" si="22"/>
        <v>-687.34</v>
      </c>
      <c r="I30" s="22">
        <f t="shared" si="22"/>
        <v>-1134.2500000000002</v>
      </c>
      <c r="J30" s="91">
        <f t="shared" ref="J30:S30" si="23">SUM(J26:J29)</f>
        <v>-908.17411167839384</v>
      </c>
      <c r="K30" s="91">
        <f t="shared" si="23"/>
        <v>-1055.8228531112113</v>
      </c>
      <c r="L30" s="91">
        <f t="shared" si="23"/>
        <v>-1208.2274021478968</v>
      </c>
      <c r="M30" s="91">
        <f t="shared" si="23"/>
        <v>-1346.825202808639</v>
      </c>
      <c r="N30" s="91">
        <f t="shared" si="23"/>
        <v>-1502.9156368718702</v>
      </c>
      <c r="O30" s="91">
        <f t="shared" si="23"/>
        <v>-1658.1655760420097</v>
      </c>
      <c r="P30" s="91">
        <f t="shared" si="23"/>
        <v>-1792.1701227066605</v>
      </c>
      <c r="Q30" s="91">
        <f t="shared" si="23"/>
        <v>-1941.311818700513</v>
      </c>
      <c r="R30" s="91">
        <f t="shared" si="23"/>
        <v>-2085.5874230293789</v>
      </c>
      <c r="S30" s="91">
        <f t="shared" si="23"/>
        <v>-2203.1942733679539</v>
      </c>
    </row>
    <row r="31" spans="3:19" x14ac:dyDescent="0.3">
      <c r="D31" s="1"/>
      <c r="E31" s="141"/>
      <c r="F31" s="1"/>
      <c r="G31" s="1"/>
      <c r="H31" s="1"/>
      <c r="I31" s="1"/>
      <c r="J31" s="67"/>
      <c r="K31" s="67"/>
      <c r="L31" s="67"/>
      <c r="M31" s="67"/>
      <c r="N31" s="67"/>
      <c r="O31" s="67"/>
      <c r="P31" s="67"/>
      <c r="Q31" s="67"/>
      <c r="R31" s="67"/>
      <c r="S31" s="67"/>
    </row>
    <row r="32" spans="3:19" x14ac:dyDescent="0.3">
      <c r="D32" s="9" t="s">
        <v>222</v>
      </c>
      <c r="E32" s="266">
        <f t="shared" ref="E32:S32" si="24">SUM(E13,E23,E30)</f>
        <v>-25.479999999999507</v>
      </c>
      <c r="F32" s="30">
        <f t="shared" si="24"/>
        <v>-69.030000000000882</v>
      </c>
      <c r="G32" s="30">
        <f t="shared" si="24"/>
        <v>43.370000000000545</v>
      </c>
      <c r="H32" s="30">
        <f t="shared" si="24"/>
        <v>201.46000000000072</v>
      </c>
      <c r="I32" s="30">
        <f t="shared" si="24"/>
        <v>-117.13999999999942</v>
      </c>
      <c r="J32" s="111">
        <f t="shared" si="24"/>
        <v>413.1680504542295</v>
      </c>
      <c r="K32" s="111">
        <f t="shared" si="24"/>
        <v>1239.0503188082016</v>
      </c>
      <c r="L32" s="111">
        <f t="shared" si="24"/>
        <v>787.39575045532865</v>
      </c>
      <c r="M32" s="111">
        <f t="shared" si="24"/>
        <v>871.15418555986025</v>
      </c>
      <c r="N32" s="111">
        <f t="shared" si="24"/>
        <v>1506.6023327130094</v>
      </c>
      <c r="O32" s="111">
        <f t="shared" si="24"/>
        <v>1311.8540917025582</v>
      </c>
      <c r="P32" s="111">
        <f t="shared" si="24"/>
        <v>1561.9486494813546</v>
      </c>
      <c r="Q32" s="111">
        <f t="shared" si="24"/>
        <v>1714.647576442359</v>
      </c>
      <c r="R32" s="111">
        <f t="shared" si="24"/>
        <v>1865.4009928374003</v>
      </c>
      <c r="S32" s="111">
        <f t="shared" si="24"/>
        <v>2008.8864359384329</v>
      </c>
    </row>
    <row r="33" spans="4:19" x14ac:dyDescent="0.3">
      <c r="D33" s="1" t="s">
        <v>245</v>
      </c>
      <c r="E33" s="75">
        <f>'CF Inputs'!E60</f>
        <v>11.49</v>
      </c>
      <c r="F33" s="42">
        <f>'CF Inputs'!F60</f>
        <v>9.16</v>
      </c>
      <c r="G33" s="42">
        <f>'CF Inputs'!G60</f>
        <v>12.46</v>
      </c>
      <c r="H33" s="42">
        <f>'CF Inputs'!H60</f>
        <v>17.8</v>
      </c>
      <c r="I33" s="42">
        <f>'CF Inputs'!I60</f>
        <v>20.34</v>
      </c>
      <c r="J33" s="274">
        <v>0</v>
      </c>
      <c r="K33" s="274">
        <v>0</v>
      </c>
      <c r="L33" s="274">
        <v>0</v>
      </c>
      <c r="M33" s="274">
        <v>0</v>
      </c>
      <c r="N33" s="274">
        <v>0</v>
      </c>
      <c r="O33" s="274">
        <v>0</v>
      </c>
      <c r="P33" s="274">
        <v>0</v>
      </c>
      <c r="Q33" s="274">
        <v>0</v>
      </c>
      <c r="R33" s="274">
        <v>0</v>
      </c>
      <c r="S33" s="274">
        <v>0</v>
      </c>
    </row>
    <row r="34" spans="4:19" x14ac:dyDescent="0.3">
      <c r="D34" s="1" t="s">
        <v>223</v>
      </c>
      <c r="E34" s="75">
        <f>'CF Inputs'!E61</f>
        <v>195.46</v>
      </c>
      <c r="F34" s="42">
        <f t="shared" ref="F34:I34" si="25">E35</f>
        <v>181.47000000000051</v>
      </c>
      <c r="G34" s="42">
        <f t="shared" si="25"/>
        <v>121.59999999999962</v>
      </c>
      <c r="H34" s="42">
        <f t="shared" si="25"/>
        <v>177.43000000000018</v>
      </c>
      <c r="I34" s="42">
        <f t="shared" si="25"/>
        <v>396.69000000000091</v>
      </c>
      <c r="J34" s="67">
        <f t="shared" ref="J34:S34" si="26">I35</f>
        <v>299.89000000000146</v>
      </c>
      <c r="K34" s="67">
        <f t="shared" si="26"/>
        <v>713.05805045423097</v>
      </c>
      <c r="L34" s="67">
        <f t="shared" si="26"/>
        <v>1952.1083692624325</v>
      </c>
      <c r="M34" s="67">
        <f t="shared" si="26"/>
        <v>2739.5041197177611</v>
      </c>
      <c r="N34" s="67">
        <f t="shared" si="26"/>
        <v>3610.6583052776214</v>
      </c>
      <c r="O34" s="67">
        <f t="shared" si="26"/>
        <v>5117.260637990631</v>
      </c>
      <c r="P34" s="67">
        <f t="shared" si="26"/>
        <v>6429.1147296931895</v>
      </c>
      <c r="Q34" s="67">
        <f t="shared" si="26"/>
        <v>7991.063379174544</v>
      </c>
      <c r="R34" s="67">
        <f t="shared" si="26"/>
        <v>9705.7109556169034</v>
      </c>
      <c r="S34" s="67">
        <f t="shared" si="26"/>
        <v>11571.111948454303</v>
      </c>
    </row>
    <row r="35" spans="4:19" x14ac:dyDescent="0.3">
      <c r="D35" s="99" t="s">
        <v>224</v>
      </c>
      <c r="E35" s="107">
        <f t="shared" ref="E35:I35" si="27">SUM(E32:E34)</f>
        <v>181.47000000000051</v>
      </c>
      <c r="F35" s="38">
        <f t="shared" si="27"/>
        <v>121.59999999999962</v>
      </c>
      <c r="G35" s="38">
        <f t="shared" si="27"/>
        <v>177.43000000000018</v>
      </c>
      <c r="H35" s="38">
        <f t="shared" si="27"/>
        <v>396.69000000000091</v>
      </c>
      <c r="I35" s="38">
        <f t="shared" si="27"/>
        <v>299.89000000000146</v>
      </c>
      <c r="J35" s="91">
        <f t="shared" ref="J35:S35" si="28">SUM(J32:J34)</f>
        <v>713.05805045423097</v>
      </c>
      <c r="K35" s="91">
        <f t="shared" si="28"/>
        <v>1952.1083692624325</v>
      </c>
      <c r="L35" s="91">
        <f t="shared" si="28"/>
        <v>2739.5041197177611</v>
      </c>
      <c r="M35" s="91">
        <f t="shared" si="28"/>
        <v>3610.6583052776214</v>
      </c>
      <c r="N35" s="91">
        <f t="shared" si="28"/>
        <v>5117.260637990631</v>
      </c>
      <c r="O35" s="91">
        <f t="shared" si="28"/>
        <v>6429.1147296931895</v>
      </c>
      <c r="P35" s="91">
        <f t="shared" si="28"/>
        <v>7991.063379174544</v>
      </c>
      <c r="Q35" s="91">
        <f t="shared" si="28"/>
        <v>9705.7109556169034</v>
      </c>
      <c r="R35" s="91">
        <f t="shared" si="28"/>
        <v>11571.111948454303</v>
      </c>
      <c r="S35" s="91">
        <f t="shared" si="28"/>
        <v>13579.998384392737</v>
      </c>
    </row>
    <row r="36" spans="4:19" x14ac:dyDescent="0.3">
      <c r="E36" s="103"/>
    </row>
  </sheetData>
  <mergeCells count="1">
    <mergeCell ref="D4:S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D05C-1796-4913-82FB-2FAEEADA230B}">
  <dimension ref="D3:U71"/>
  <sheetViews>
    <sheetView showGridLines="0" topLeftCell="A46" workbookViewId="0">
      <selection activeCell="K11" sqref="K11"/>
    </sheetView>
  </sheetViews>
  <sheetFormatPr defaultRowHeight="14.4" customHeight="1" x14ac:dyDescent="0.3"/>
  <cols>
    <col min="1" max="3" width="1.33203125" customWidth="1"/>
    <col min="4" max="4" width="30.77734375" customWidth="1"/>
    <col min="5" max="5" width="13.33203125" bestFit="1" customWidth="1"/>
    <col min="6" max="10" width="12" bestFit="1" customWidth="1"/>
    <col min="11" max="11" width="12.109375" bestFit="1" customWidth="1"/>
    <col min="12" max="19" width="12.5546875" bestFit="1" customWidth="1"/>
    <col min="20" max="20" width="13.88671875" bestFit="1" customWidth="1"/>
    <col min="21" max="21" width="10.44140625" bestFit="1" customWidth="1"/>
  </cols>
  <sheetData>
    <row r="3" spans="4:21" ht="14.4" customHeight="1" x14ac:dyDescent="0.3">
      <c r="Q3" s="124" t="s">
        <v>258</v>
      </c>
    </row>
    <row r="4" spans="4:21" ht="16.8" customHeight="1" x14ac:dyDescent="0.3">
      <c r="D4" s="378" t="s">
        <v>284</v>
      </c>
      <c r="E4" s="378"/>
      <c r="F4" s="378"/>
      <c r="G4" s="378"/>
      <c r="H4" s="378"/>
      <c r="I4" s="378"/>
      <c r="J4" s="378"/>
      <c r="K4" s="378"/>
      <c r="L4" s="378"/>
      <c r="M4" s="378"/>
      <c r="N4" s="378"/>
      <c r="O4" s="378"/>
      <c r="P4" s="378"/>
      <c r="Q4" s="378"/>
      <c r="R4" s="378"/>
      <c r="S4" s="378"/>
      <c r="T4" s="378"/>
    </row>
    <row r="5" spans="4:21" ht="14.4" customHeight="1" x14ac:dyDescent="0.3">
      <c r="D5" s="1"/>
      <c r="E5" s="1"/>
      <c r="F5" s="1"/>
      <c r="G5" s="1"/>
      <c r="H5" s="1"/>
      <c r="I5" s="1"/>
      <c r="J5" s="1"/>
      <c r="K5" s="1"/>
      <c r="L5" s="1"/>
      <c r="M5" s="1"/>
      <c r="N5" s="1"/>
      <c r="O5" s="1"/>
      <c r="P5" s="1"/>
      <c r="Q5" s="1"/>
      <c r="R5" s="1"/>
      <c r="S5" s="1"/>
      <c r="T5" s="1"/>
    </row>
    <row r="6" spans="4:21" ht="14.4" customHeight="1" x14ac:dyDescent="0.3">
      <c r="D6" s="234" t="s">
        <v>137</v>
      </c>
      <c r="E6" s="235"/>
      <c r="F6" s="1"/>
      <c r="G6" s="1"/>
      <c r="H6" s="1"/>
      <c r="I6" s="1"/>
      <c r="J6" s="1"/>
      <c r="K6" s="1"/>
      <c r="L6" s="1"/>
      <c r="M6" s="1"/>
      <c r="N6" s="1"/>
      <c r="O6" s="1"/>
      <c r="P6" s="1"/>
      <c r="Q6" s="1"/>
      <c r="R6" s="1"/>
      <c r="S6" s="1"/>
      <c r="T6" s="1"/>
    </row>
    <row r="7" spans="4:21" ht="14.4" customHeight="1" x14ac:dyDescent="0.3">
      <c r="D7" s="128" t="s">
        <v>285</v>
      </c>
      <c r="E7" s="130">
        <v>45730</v>
      </c>
      <c r="F7" s="1"/>
      <c r="G7" s="1"/>
      <c r="H7" s="1"/>
      <c r="I7" s="1"/>
      <c r="J7" s="1"/>
      <c r="K7" s="1"/>
      <c r="L7" s="1"/>
      <c r="M7" s="1"/>
      <c r="N7" s="1"/>
      <c r="O7" s="1"/>
      <c r="P7" s="1"/>
      <c r="Q7" s="1"/>
      <c r="R7" s="1"/>
      <c r="S7" s="1"/>
      <c r="T7" s="1"/>
    </row>
    <row r="8" spans="4:21" ht="14.4" customHeight="1" x14ac:dyDescent="0.3">
      <c r="D8" s="128" t="s">
        <v>286</v>
      </c>
      <c r="E8" s="131">
        <v>45747</v>
      </c>
      <c r="F8" s="1"/>
      <c r="G8" s="1"/>
      <c r="H8" s="1"/>
      <c r="I8" s="1"/>
      <c r="J8" s="1"/>
      <c r="K8" s="1"/>
      <c r="L8" s="1"/>
      <c r="M8" s="1"/>
      <c r="N8" s="1"/>
      <c r="O8" s="1"/>
      <c r="P8" s="1"/>
      <c r="Q8" s="1"/>
      <c r="R8" s="1"/>
      <c r="S8" s="1"/>
      <c r="T8" s="1"/>
    </row>
    <row r="9" spans="4:21" ht="14.4" customHeight="1" x14ac:dyDescent="0.3">
      <c r="D9" s="128" t="s">
        <v>287</v>
      </c>
      <c r="E9" s="135">
        <f>'Cost Buildup'!I27</f>
        <v>0.21955357183356705</v>
      </c>
      <c r="F9" s="1"/>
      <c r="G9" s="1"/>
      <c r="H9" s="1"/>
      <c r="I9" s="1"/>
      <c r="J9" s="1"/>
      <c r="K9" s="1"/>
      <c r="L9" s="1"/>
      <c r="M9" s="1"/>
      <c r="N9" s="1"/>
      <c r="O9" s="1"/>
      <c r="P9" s="1"/>
      <c r="Q9" s="1"/>
      <c r="R9" s="1"/>
      <c r="S9" s="1"/>
      <c r="T9" s="1"/>
    </row>
    <row r="10" spans="4:21" ht="14.4" customHeight="1" x14ac:dyDescent="0.3">
      <c r="D10" s="128" t="s">
        <v>288</v>
      </c>
      <c r="E10" s="233">
        <f>Comps!R17</f>
        <v>28.47</v>
      </c>
      <c r="F10" s="1"/>
      <c r="G10" s="1"/>
      <c r="H10" s="1"/>
      <c r="I10" s="1"/>
      <c r="J10" s="1"/>
      <c r="K10" s="1"/>
      <c r="L10" s="1"/>
      <c r="M10" s="1"/>
      <c r="N10" s="1"/>
      <c r="O10" s="1"/>
      <c r="P10" s="1"/>
      <c r="Q10" s="1"/>
      <c r="R10" s="1"/>
      <c r="S10" s="1"/>
      <c r="T10" s="1"/>
    </row>
    <row r="11" spans="4:21" ht="14.4" customHeight="1" x14ac:dyDescent="0.3">
      <c r="D11" s="128" t="s">
        <v>289</v>
      </c>
      <c r="E11" s="135">
        <f>Assumptions!I28</f>
        <v>6.4000000000000001E-2</v>
      </c>
      <c r="F11" s="1"/>
      <c r="G11" s="1"/>
      <c r="H11" s="1"/>
      <c r="I11" s="1"/>
      <c r="J11" s="1"/>
      <c r="K11" s="1"/>
      <c r="L11" s="1"/>
      <c r="M11" s="1"/>
      <c r="N11" s="1"/>
      <c r="O11" s="1"/>
      <c r="P11" s="1"/>
      <c r="Q11" s="1"/>
      <c r="R11" s="1"/>
      <c r="S11" s="1"/>
      <c r="T11" s="1"/>
    </row>
    <row r="12" spans="4:21" ht="14.4" customHeight="1" x14ac:dyDescent="0.3">
      <c r="D12" s="128" t="s">
        <v>290</v>
      </c>
      <c r="E12" s="232">
        <f>WACC!E42</f>
        <v>1.883788112283912E-5</v>
      </c>
      <c r="F12" s="1"/>
      <c r="G12" s="1"/>
      <c r="H12" s="1"/>
      <c r="I12" s="1"/>
      <c r="J12" s="1"/>
      <c r="K12" s="1"/>
      <c r="L12" s="1"/>
      <c r="M12" s="1"/>
      <c r="N12" s="1"/>
      <c r="O12" s="1"/>
      <c r="P12" s="1"/>
      <c r="Q12" s="1"/>
      <c r="R12" s="1"/>
      <c r="S12" s="1"/>
      <c r="T12" s="1"/>
    </row>
    <row r="13" spans="4:21" ht="14.4" customHeight="1" x14ac:dyDescent="0.3">
      <c r="D13" s="128" t="s">
        <v>291</v>
      </c>
      <c r="E13" s="136">
        <f>Assumptions!I20</f>
        <v>277200000</v>
      </c>
      <c r="F13" s="1"/>
      <c r="G13" s="1"/>
      <c r="H13" s="1"/>
      <c r="I13" s="1"/>
      <c r="J13" s="1"/>
      <c r="K13" s="1"/>
      <c r="L13" s="1"/>
      <c r="M13" s="1"/>
      <c r="N13" s="1"/>
      <c r="O13" s="1"/>
      <c r="P13" s="1"/>
      <c r="Q13" s="1"/>
      <c r="R13" s="1"/>
      <c r="S13" s="1"/>
      <c r="T13" s="1"/>
    </row>
    <row r="14" spans="4:21" ht="14.4" customHeight="1" x14ac:dyDescent="0.3">
      <c r="D14" s="128" t="s">
        <v>292</v>
      </c>
      <c r="E14" s="137">
        <v>2895</v>
      </c>
      <c r="F14" s="1"/>
      <c r="G14" s="1"/>
      <c r="H14" s="1"/>
      <c r="I14" s="1"/>
      <c r="J14" s="1"/>
      <c r="K14" s="1"/>
      <c r="L14" s="1"/>
      <c r="M14" s="1"/>
      <c r="N14" s="1"/>
      <c r="O14" s="1"/>
      <c r="P14" s="1"/>
      <c r="Q14" s="1"/>
      <c r="R14" s="1"/>
      <c r="S14" s="1"/>
      <c r="T14" s="1"/>
    </row>
    <row r="15" spans="4:21" ht="14.4" customHeight="1" x14ac:dyDescent="0.3">
      <c r="D15" s="1"/>
      <c r="E15" s="1"/>
      <c r="F15" s="1"/>
      <c r="G15" s="1"/>
      <c r="H15" s="1"/>
      <c r="I15" s="1"/>
      <c r="J15" s="1"/>
      <c r="K15" s="1"/>
      <c r="L15" s="1"/>
      <c r="M15" s="1"/>
      <c r="N15" s="1"/>
      <c r="O15" s="1"/>
      <c r="P15" s="1"/>
      <c r="Q15" s="1"/>
      <c r="R15" s="1"/>
      <c r="S15" s="1"/>
      <c r="T15" s="1"/>
    </row>
    <row r="16" spans="4:21" ht="14.4" customHeight="1" x14ac:dyDescent="0.3">
      <c r="D16" s="1"/>
      <c r="E16" s="1"/>
      <c r="F16" s="5">
        <v>2020</v>
      </c>
      <c r="G16" s="5">
        <f t="shared" ref="G16:T16" si="0">F16+1</f>
        <v>2021</v>
      </c>
      <c r="H16" s="5">
        <f t="shared" si="0"/>
        <v>2022</v>
      </c>
      <c r="I16" s="5">
        <f t="shared" si="0"/>
        <v>2023</v>
      </c>
      <c r="J16" s="5">
        <f t="shared" si="0"/>
        <v>2024</v>
      </c>
      <c r="K16" s="240">
        <f t="shared" si="0"/>
        <v>2025</v>
      </c>
      <c r="L16" s="240">
        <f t="shared" si="0"/>
        <v>2026</v>
      </c>
      <c r="M16" s="240">
        <f t="shared" si="0"/>
        <v>2027</v>
      </c>
      <c r="N16" s="240">
        <f t="shared" si="0"/>
        <v>2028</v>
      </c>
      <c r="O16" s="240">
        <f t="shared" si="0"/>
        <v>2029</v>
      </c>
      <c r="P16" s="240">
        <f t="shared" si="0"/>
        <v>2030</v>
      </c>
      <c r="Q16" s="240">
        <f t="shared" si="0"/>
        <v>2031</v>
      </c>
      <c r="R16" s="240">
        <f t="shared" si="0"/>
        <v>2032</v>
      </c>
      <c r="S16" s="240">
        <f t="shared" si="0"/>
        <v>2033</v>
      </c>
      <c r="T16" s="240">
        <f t="shared" si="0"/>
        <v>2034</v>
      </c>
      <c r="U16" s="90"/>
    </row>
    <row r="17" spans="4:21" ht="14.4" customHeight="1" x14ac:dyDescent="0.3">
      <c r="D17" s="82" t="s">
        <v>293</v>
      </c>
      <c r="E17" s="1"/>
      <c r="F17" s="48" t="s">
        <v>110</v>
      </c>
      <c r="G17" s="48" t="s">
        <v>110</v>
      </c>
      <c r="H17" s="48" t="s">
        <v>110</v>
      </c>
      <c r="I17" s="48" t="s">
        <v>110</v>
      </c>
      <c r="J17" s="48" t="s">
        <v>110</v>
      </c>
      <c r="K17" s="125" t="s">
        <v>111</v>
      </c>
      <c r="L17" s="125" t="s">
        <v>111</v>
      </c>
      <c r="M17" s="125" t="s">
        <v>111</v>
      </c>
      <c r="N17" s="125" t="s">
        <v>111</v>
      </c>
      <c r="O17" s="125" t="s">
        <v>111</v>
      </c>
      <c r="P17" s="125" t="s">
        <v>111</v>
      </c>
      <c r="Q17" s="125" t="s">
        <v>111</v>
      </c>
      <c r="R17" s="125" t="s">
        <v>111</v>
      </c>
      <c r="S17" s="125" t="s">
        <v>111</v>
      </c>
      <c r="T17" s="125" t="s">
        <v>111</v>
      </c>
      <c r="U17" s="241" t="s">
        <v>303</v>
      </c>
    </row>
    <row r="18" spans="4:21" ht="14.4" customHeight="1" x14ac:dyDescent="0.3">
      <c r="D18" s="129" t="s">
        <v>251</v>
      </c>
      <c r="E18" s="113"/>
      <c r="F18" s="132">
        <v>43921</v>
      </c>
      <c r="G18" s="132">
        <f t="shared" ref="G18:I18" si="1">F18+365</f>
        <v>44286</v>
      </c>
      <c r="H18" s="132">
        <f t="shared" si="1"/>
        <v>44651</v>
      </c>
      <c r="I18" s="132">
        <f t="shared" si="1"/>
        <v>45016</v>
      </c>
      <c r="J18" s="132">
        <v>45382</v>
      </c>
      <c r="K18" s="242">
        <v>45747</v>
      </c>
      <c r="L18" s="242">
        <v>46112</v>
      </c>
      <c r="M18" s="242">
        <v>46477</v>
      </c>
      <c r="N18" s="242">
        <v>46843</v>
      </c>
      <c r="O18" s="242">
        <v>47208</v>
      </c>
      <c r="P18" s="242">
        <v>47573</v>
      </c>
      <c r="Q18" s="242">
        <v>47938</v>
      </c>
      <c r="R18" s="242">
        <v>48304</v>
      </c>
      <c r="S18" s="242">
        <v>48669</v>
      </c>
      <c r="T18" s="242">
        <v>49034</v>
      </c>
      <c r="U18" s="243">
        <f>T18</f>
        <v>49034</v>
      </c>
    </row>
    <row r="19" spans="4:21" ht="14.4" customHeight="1" x14ac:dyDescent="0.3">
      <c r="D19" s="129" t="s">
        <v>294</v>
      </c>
      <c r="E19" s="1"/>
      <c r="F19" s="24">
        <v>1</v>
      </c>
      <c r="G19" s="24">
        <f t="shared" ref="G19:J19" si="2">F19+1</f>
        <v>2</v>
      </c>
      <c r="H19" s="24">
        <f t="shared" si="2"/>
        <v>3</v>
      </c>
      <c r="I19" s="24">
        <f t="shared" si="2"/>
        <v>4</v>
      </c>
      <c r="J19" s="24">
        <f t="shared" si="2"/>
        <v>5</v>
      </c>
      <c r="K19" s="244">
        <v>0</v>
      </c>
      <c r="L19" s="49">
        <f t="shared" ref="L19:T19" si="3">K19+1</f>
        <v>1</v>
      </c>
      <c r="M19" s="49">
        <f t="shared" si="3"/>
        <v>2</v>
      </c>
      <c r="N19" s="49">
        <f t="shared" si="3"/>
        <v>3</v>
      </c>
      <c r="O19" s="49">
        <f t="shared" si="3"/>
        <v>4</v>
      </c>
      <c r="P19" s="49">
        <f t="shared" si="3"/>
        <v>5</v>
      </c>
      <c r="Q19" s="49">
        <f t="shared" si="3"/>
        <v>6</v>
      </c>
      <c r="R19" s="49">
        <f t="shared" si="3"/>
        <v>7</v>
      </c>
      <c r="S19" s="49">
        <f t="shared" si="3"/>
        <v>8</v>
      </c>
      <c r="T19" s="49">
        <f t="shared" si="3"/>
        <v>9</v>
      </c>
      <c r="U19" s="90"/>
    </row>
    <row r="20" spans="4:21" ht="14.4" customHeight="1" x14ac:dyDescent="0.3">
      <c r="D20" s="129" t="s">
        <v>295</v>
      </c>
      <c r="E20" s="1"/>
      <c r="F20" s="134">
        <f>YEARFRAC(F18,G18)</f>
        <v>1</v>
      </c>
      <c r="G20" s="134">
        <f>YEARFRAC(G18,H18)</f>
        <v>1</v>
      </c>
      <c r="H20" s="134">
        <f>YEARFRAC(H18,I18)</f>
        <v>1</v>
      </c>
      <c r="I20" s="134">
        <f>YEARFRAC(I18,J18)</f>
        <v>1</v>
      </c>
      <c r="J20" s="134">
        <f t="shared" ref="J20" si="4">YEARFRAC(J18,K18)</f>
        <v>1</v>
      </c>
      <c r="K20" s="245">
        <f>YEARFRAC(E7,K18)</f>
        <v>4.7222222222222221E-2</v>
      </c>
      <c r="L20" s="245">
        <f t="shared" ref="L20:T20" si="5">YEARFRAC(K18,L18)</f>
        <v>1</v>
      </c>
      <c r="M20" s="245">
        <f t="shared" si="5"/>
        <v>1</v>
      </c>
      <c r="N20" s="245">
        <f t="shared" si="5"/>
        <v>1</v>
      </c>
      <c r="O20" s="245">
        <f t="shared" si="5"/>
        <v>1</v>
      </c>
      <c r="P20" s="245">
        <f t="shared" si="5"/>
        <v>1</v>
      </c>
      <c r="Q20" s="245">
        <f t="shared" si="5"/>
        <v>1</v>
      </c>
      <c r="R20" s="245">
        <f t="shared" si="5"/>
        <v>1</v>
      </c>
      <c r="S20" s="245">
        <f t="shared" si="5"/>
        <v>1</v>
      </c>
      <c r="T20" s="245">
        <f t="shared" si="5"/>
        <v>1</v>
      </c>
      <c r="U20" s="246">
        <v>1</v>
      </c>
    </row>
    <row r="21" spans="4:21" ht="14.4" customHeight="1" x14ac:dyDescent="0.3">
      <c r="D21" s="94"/>
      <c r="E21" s="1"/>
      <c r="F21" s="1"/>
      <c r="G21" s="1"/>
      <c r="H21" s="1"/>
      <c r="I21" s="1"/>
      <c r="J21" s="1"/>
      <c r="K21" s="49"/>
      <c r="L21" s="49"/>
      <c r="M21" s="49"/>
      <c r="N21" s="49"/>
      <c r="O21" s="49"/>
      <c r="P21" s="49"/>
      <c r="Q21" s="49"/>
      <c r="R21" s="49"/>
      <c r="S21" s="49"/>
      <c r="T21" s="49"/>
      <c r="U21" s="90"/>
    </row>
    <row r="22" spans="4:21" ht="14.4" customHeight="1" x14ac:dyDescent="0.3">
      <c r="D22" s="94" t="s">
        <v>174</v>
      </c>
      <c r="E22" s="1"/>
      <c r="F22" s="16">
        <f>'Income Statement'!E15</f>
        <v>468.60000000000031</v>
      </c>
      <c r="G22" s="16">
        <f>'Income Statement'!F15</f>
        <v>454.85999999999962</v>
      </c>
      <c r="H22" s="16">
        <f>'Income Statement'!G15</f>
        <v>752.92000000000075</v>
      </c>
      <c r="I22" s="16">
        <f>'Income Statement'!H15</f>
        <v>1105.6999999999996</v>
      </c>
      <c r="J22" s="16">
        <f>'Income Statement'!I15</f>
        <v>1610.4799999999989</v>
      </c>
      <c r="K22" s="67">
        <f>'Income Statement'!J15</f>
        <v>1576.3807044593341</v>
      </c>
      <c r="L22" s="67">
        <f>'Income Statement'!K15</f>
        <v>1847.9378397298808</v>
      </c>
      <c r="M22" s="67">
        <f>'Income Statement'!L15</f>
        <v>2128.0694790462876</v>
      </c>
      <c r="N22" s="67">
        <f>'Income Statement'!M15</f>
        <v>2392.1857252402065</v>
      </c>
      <c r="O22" s="67">
        <f>'Income Statement'!N15</f>
        <v>2681.3895063470973</v>
      </c>
      <c r="P22" s="67">
        <f>'Income Statement'!O15</f>
        <v>2968.8707348790113</v>
      </c>
      <c r="Q22" s="67">
        <f>'Income Statement'!P15</f>
        <v>3232.5192486462206</v>
      </c>
      <c r="R22" s="67">
        <f>'Income Statement'!Q15</f>
        <v>3510.9617564564605</v>
      </c>
      <c r="S22" s="67">
        <f>'Income Statement'!R15</f>
        <v>3780.1658500091194</v>
      </c>
      <c r="T22" s="67">
        <f>'Income Statement'!S15</f>
        <v>4021.0125055590906</v>
      </c>
      <c r="U22" s="90"/>
    </row>
    <row r="23" spans="4:21" ht="14.4" customHeight="1" x14ac:dyDescent="0.3">
      <c r="D23" s="94" t="s">
        <v>296</v>
      </c>
      <c r="E23" s="1"/>
      <c r="F23" s="26">
        <f t="shared" ref="F23:T23" si="6">-F22*$E$9</f>
        <v>-102.88280376120959</v>
      </c>
      <c r="G23" s="26">
        <f t="shared" si="6"/>
        <v>-99.866137684216227</v>
      </c>
      <c r="H23" s="26">
        <f t="shared" si="6"/>
        <v>-165.30627530492947</v>
      </c>
      <c r="I23" s="26">
        <f t="shared" si="6"/>
        <v>-242.76038437637499</v>
      </c>
      <c r="J23" s="26">
        <f t="shared" si="6"/>
        <v>-353.58663636652284</v>
      </c>
      <c r="K23" s="66">
        <f t="shared" si="6"/>
        <v>-346.10001423356141</v>
      </c>
      <c r="L23" s="66">
        <f t="shared" si="6"/>
        <v>-405.72135323910112</v>
      </c>
      <c r="M23" s="66">
        <f t="shared" si="6"/>
        <v>-467.2252552346107</v>
      </c>
      <c r="N23" s="66">
        <f t="shared" si="6"/>
        <v>-525.21292046575934</v>
      </c>
      <c r="O23" s="66">
        <f t="shared" si="6"/>
        <v>-588.70864359555037</v>
      </c>
      <c r="P23" s="66">
        <f t="shared" si="6"/>
        <v>-651.82617415483401</v>
      </c>
      <c r="Q23" s="66">
        <f t="shared" si="6"/>
        <v>-709.71114706103617</v>
      </c>
      <c r="R23" s="66">
        <f t="shared" si="6"/>
        <v>-770.84419420107031</v>
      </c>
      <c r="S23" s="66">
        <f t="shared" si="6"/>
        <v>-829.94891449277429</v>
      </c>
      <c r="T23" s="66">
        <f t="shared" si="6"/>
        <v>-882.82765798293929</v>
      </c>
      <c r="U23" s="90"/>
    </row>
    <row r="24" spans="4:21" s="238" customFormat="1" ht="14.4" customHeight="1" x14ac:dyDescent="0.3">
      <c r="D24" s="236" t="s">
        <v>302</v>
      </c>
      <c r="E24" s="236"/>
      <c r="F24" s="237">
        <f t="shared" ref="F24:T24" si="7">SUM(F22:F23)</f>
        <v>365.71719623879073</v>
      </c>
      <c r="G24" s="237">
        <f t="shared" si="7"/>
        <v>354.99386231578342</v>
      </c>
      <c r="H24" s="237">
        <f t="shared" si="7"/>
        <v>587.61372469507126</v>
      </c>
      <c r="I24" s="237">
        <f t="shared" si="7"/>
        <v>862.9396156236246</v>
      </c>
      <c r="J24" s="237">
        <f t="shared" si="7"/>
        <v>1256.8933636334759</v>
      </c>
      <c r="K24" s="247">
        <f t="shared" si="7"/>
        <v>1230.2806902257726</v>
      </c>
      <c r="L24" s="247">
        <f t="shared" si="7"/>
        <v>1442.2164864907797</v>
      </c>
      <c r="M24" s="247">
        <f t="shared" si="7"/>
        <v>1660.8442238116768</v>
      </c>
      <c r="N24" s="247">
        <f t="shared" si="7"/>
        <v>1866.972804774447</v>
      </c>
      <c r="O24" s="247">
        <f t="shared" si="7"/>
        <v>2092.680862751547</v>
      </c>
      <c r="P24" s="247">
        <f t="shared" si="7"/>
        <v>2317.0445607241772</v>
      </c>
      <c r="Q24" s="247">
        <f t="shared" si="7"/>
        <v>2522.8081015851844</v>
      </c>
      <c r="R24" s="247">
        <f t="shared" si="7"/>
        <v>2740.1175622553901</v>
      </c>
      <c r="S24" s="247">
        <f t="shared" si="7"/>
        <v>2950.2169355163451</v>
      </c>
      <c r="T24" s="247">
        <f t="shared" si="7"/>
        <v>3138.1848475761512</v>
      </c>
      <c r="U24" s="248"/>
    </row>
    <row r="25" spans="4:21" ht="14.4" customHeight="1" x14ac:dyDescent="0.3">
      <c r="D25" s="94" t="s">
        <v>297</v>
      </c>
      <c r="E25" s="1"/>
      <c r="F25" s="16">
        <f>-'Supporting Schedules'!E23</f>
        <v>120.58</v>
      </c>
      <c r="G25" s="16">
        <f>-'Supporting Schedules'!F23</f>
        <v>127.19</v>
      </c>
      <c r="H25" s="16">
        <f>-'Supporting Schedules'!G23</f>
        <v>135.62</v>
      </c>
      <c r="I25" s="16">
        <f>-'Supporting Schedules'!H23</f>
        <v>142.04</v>
      </c>
      <c r="J25" s="16">
        <f>-'Supporting Schedules'!I23</f>
        <v>159.18</v>
      </c>
      <c r="K25" s="67">
        <f>-'Supporting Schedules'!J23</f>
        <v>181.85409999999999</v>
      </c>
      <c r="L25" s="67">
        <f>-'Supporting Schedules'!K23</f>
        <v>177.16567912240839</v>
      </c>
      <c r="M25" s="67">
        <f>-'Supporting Schedules'!L23</f>
        <v>172.90277028967824</v>
      </c>
      <c r="N25" s="67">
        <f>-'Supporting Schedules'!M23</f>
        <v>190.10683337153017</v>
      </c>
      <c r="O25" s="67">
        <f>-'Supporting Schedules'!N23</f>
        <v>184.25722089546232</v>
      </c>
      <c r="P25" s="67">
        <f>-'Supporting Schedules'!O23</f>
        <v>178.99175703102264</v>
      </c>
      <c r="Q25" s="67">
        <f>-'Supporting Schedules'!P23</f>
        <v>193.57636585002331</v>
      </c>
      <c r="R25" s="67">
        <f>-'Supporting Schedules'!Q23</f>
        <v>186.91981501413392</v>
      </c>
      <c r="S25" s="67">
        <f>-'Supporting Schedules'!R23</f>
        <v>180.9939758660561</v>
      </c>
      <c r="T25" s="67">
        <f>-'Supporting Schedules'!S23</f>
        <v>193.26286329260176</v>
      </c>
      <c r="U25" s="90"/>
    </row>
    <row r="26" spans="4:21" ht="14.4" customHeight="1" x14ac:dyDescent="0.3">
      <c r="D26" s="94" t="s">
        <v>298</v>
      </c>
      <c r="E26" s="1"/>
      <c r="F26" s="1"/>
      <c r="G26" s="16">
        <f>-'Supporting Schedules'!F22</f>
        <v>-56.329999999999416</v>
      </c>
      <c r="H26" s="16">
        <f>-'Supporting Schedules'!G22</f>
        <v>-95.71000000000015</v>
      </c>
      <c r="I26" s="16">
        <f>-'Supporting Schedules'!H22</f>
        <v>-144.26000000000025</v>
      </c>
      <c r="J26" s="16">
        <f>-'Supporting Schedules'!I22</f>
        <v>-197.28999999999968</v>
      </c>
      <c r="K26" s="67">
        <f>-'Supporting Schedules'!J22</f>
        <v>-123.39749999999988</v>
      </c>
      <c r="L26" s="67">
        <f>-'Supporting Schedules'!K22</f>
        <v>-124.01448749999986</v>
      </c>
      <c r="M26" s="67">
        <f>-'Supporting Schedules'!L22</f>
        <v>-124.63455993749984</v>
      </c>
      <c r="N26" s="67">
        <f>-'Supporting Schedules'!M22</f>
        <v>-125.25773273718733</v>
      </c>
      <c r="O26" s="67">
        <f>-'Supporting Schedules'!N22</f>
        <v>-125.88402140087325</v>
      </c>
      <c r="P26" s="67">
        <f>-'Supporting Schedules'!O22</f>
        <v>-126.5134415078776</v>
      </c>
      <c r="Q26" s="67">
        <f>-'Supporting Schedules'!P22</f>
        <v>-127.14600871541698</v>
      </c>
      <c r="R26" s="67">
        <f>-'Supporting Schedules'!Q22</f>
        <v>-127.78173875899405</v>
      </c>
      <c r="S26" s="67">
        <f>-'Supporting Schedules'!R22</f>
        <v>-128.42064745278901</v>
      </c>
      <c r="T26" s="67">
        <f>-'Supporting Schedules'!S22</f>
        <v>-129.06275069005295</v>
      </c>
      <c r="U26" s="90"/>
    </row>
    <row r="27" spans="4:21" ht="14.4" customHeight="1" x14ac:dyDescent="0.3">
      <c r="D27" s="94" t="s">
        <v>299</v>
      </c>
      <c r="E27" s="1"/>
      <c r="F27" s="26">
        <f>'Supporting Schedules'!E12</f>
        <v>13.29000000000002</v>
      </c>
      <c r="G27" s="26">
        <f>'Supporting Schedules'!F12</f>
        <v>101.18</v>
      </c>
      <c r="H27" s="26">
        <f>'Supporting Schedules'!G12</f>
        <v>-65.82999999999997</v>
      </c>
      <c r="I27" s="26">
        <f>'Supporting Schedules'!H12</f>
        <v>-256.15000000000003</v>
      </c>
      <c r="J27" s="26">
        <f>'Supporting Schedules'!I12</f>
        <v>-183.83999999999997</v>
      </c>
      <c r="K27" s="66">
        <f>'Supporting Schedules'!J12</f>
        <v>-547.43125725707694</v>
      </c>
      <c r="L27" s="66">
        <f>'Supporting Schedules'!K12</f>
        <v>132.52554924313608</v>
      </c>
      <c r="M27" s="66">
        <f>'Supporting Schedules'!L12</f>
        <v>-470.34809705361727</v>
      </c>
      <c r="N27" s="66">
        <f>'Supporting Schedules'!M12</f>
        <v>-545.13089542599801</v>
      </c>
      <c r="O27" s="66">
        <f>'Supporting Schedules'!N12</f>
        <v>-63.084215196626928</v>
      </c>
      <c r="P27" s="66">
        <f>'Supporting Schedules'!O12</f>
        <v>-410.95405403035056</v>
      </c>
      <c r="Q27" s="66">
        <f>'Supporting Schedules'!P12</f>
        <v>-312.0671894208308</v>
      </c>
      <c r="R27" s="66">
        <f>'Supporting Schedules'!Q12</f>
        <v>-304.83602717270696</v>
      </c>
      <c r="S27" s="66">
        <f>'Supporting Schedules'!R12</f>
        <v>-295.29375986571313</v>
      </c>
      <c r="T27" s="66">
        <f>'Supporting Schedules'!S12</f>
        <v>-283.89522915602811</v>
      </c>
      <c r="U27" s="90"/>
    </row>
    <row r="28" spans="4:21" s="238" customFormat="1" ht="14.4" customHeight="1" x14ac:dyDescent="0.3">
      <c r="D28" s="239" t="s">
        <v>300</v>
      </c>
      <c r="E28" s="236"/>
      <c r="F28" s="237">
        <f t="shared" ref="F28:T28" si="8">SUM(F24:F27)</f>
        <v>499.58719623879074</v>
      </c>
      <c r="G28" s="237">
        <f t="shared" si="8"/>
        <v>527.03386231578406</v>
      </c>
      <c r="H28" s="237">
        <f t="shared" si="8"/>
        <v>561.69372469507118</v>
      </c>
      <c r="I28" s="237">
        <f t="shared" si="8"/>
        <v>604.56961562362426</v>
      </c>
      <c r="J28" s="237">
        <f t="shared" si="8"/>
        <v>1034.9433636334763</v>
      </c>
      <c r="K28" s="247">
        <f t="shared" si="8"/>
        <v>741.30603296869583</v>
      </c>
      <c r="L28" s="247">
        <f t="shared" si="8"/>
        <v>1627.8932273563244</v>
      </c>
      <c r="M28" s="247">
        <f t="shared" si="8"/>
        <v>1238.7643371102379</v>
      </c>
      <c r="N28" s="247">
        <f t="shared" si="8"/>
        <v>1386.6910099827919</v>
      </c>
      <c r="O28" s="247">
        <f t="shared" si="8"/>
        <v>2087.9698470495096</v>
      </c>
      <c r="P28" s="247">
        <f t="shared" si="8"/>
        <v>1958.5688222169715</v>
      </c>
      <c r="Q28" s="247">
        <f t="shared" si="8"/>
        <v>2277.1712692989599</v>
      </c>
      <c r="R28" s="247">
        <f t="shared" si="8"/>
        <v>2494.419611337823</v>
      </c>
      <c r="S28" s="247">
        <f t="shared" si="8"/>
        <v>2707.496504063899</v>
      </c>
      <c r="T28" s="247">
        <f t="shared" si="8"/>
        <v>2918.489731022672</v>
      </c>
      <c r="U28" s="249">
        <f>U36</f>
        <v>77644.085611936767</v>
      </c>
    </row>
    <row r="29" spans="4:21" ht="6" customHeight="1" x14ac:dyDescent="0.3">
      <c r="D29" s="94"/>
      <c r="E29" s="1"/>
      <c r="F29" s="1"/>
      <c r="G29" s="1"/>
      <c r="H29" s="1"/>
      <c r="I29" s="1"/>
      <c r="J29" s="1"/>
      <c r="K29" s="49"/>
      <c r="L29" s="49"/>
      <c r="M29" s="49"/>
      <c r="N29" s="49"/>
      <c r="O29" s="49"/>
      <c r="P29" s="49"/>
      <c r="Q29" s="49"/>
      <c r="R29" s="49"/>
      <c r="S29" s="49"/>
      <c r="T29" s="49"/>
      <c r="U29" s="240"/>
    </row>
    <row r="30" spans="4:21" ht="14.4" customHeight="1" x14ac:dyDescent="0.3">
      <c r="D30" s="95" t="s">
        <v>301</v>
      </c>
      <c r="E30" s="1"/>
      <c r="F30" s="32">
        <f t="shared" ref="F30:T30" si="9">F28*F20</f>
        <v>499.58719623879074</v>
      </c>
      <c r="G30" s="32">
        <f t="shared" si="9"/>
        <v>527.03386231578406</v>
      </c>
      <c r="H30" s="32">
        <f t="shared" si="9"/>
        <v>561.69372469507118</v>
      </c>
      <c r="I30" s="32">
        <f t="shared" si="9"/>
        <v>604.56961562362426</v>
      </c>
      <c r="J30" s="32">
        <f t="shared" si="9"/>
        <v>1034.9433636334763</v>
      </c>
      <c r="K30" s="437">
        <f t="shared" si="9"/>
        <v>35.006118223521746</v>
      </c>
      <c r="L30" s="437">
        <f t="shared" si="9"/>
        <v>1627.8932273563244</v>
      </c>
      <c r="M30" s="437">
        <f t="shared" si="9"/>
        <v>1238.7643371102379</v>
      </c>
      <c r="N30" s="437">
        <f t="shared" si="9"/>
        <v>1386.6910099827919</v>
      </c>
      <c r="O30" s="437">
        <f t="shared" si="9"/>
        <v>2087.9698470495096</v>
      </c>
      <c r="P30" s="437">
        <f t="shared" si="9"/>
        <v>1958.5688222169715</v>
      </c>
      <c r="Q30" s="437">
        <f t="shared" si="9"/>
        <v>2277.1712692989599</v>
      </c>
      <c r="R30" s="437">
        <f t="shared" si="9"/>
        <v>2494.419611337823</v>
      </c>
      <c r="S30" s="437">
        <f t="shared" si="9"/>
        <v>2707.496504063899</v>
      </c>
      <c r="T30" s="437">
        <f t="shared" si="9"/>
        <v>2918.489731022672</v>
      </c>
      <c r="U30" s="250">
        <f>U36</f>
        <v>77644.085611936767</v>
      </c>
    </row>
    <row r="31" spans="4:21" ht="14.4" customHeight="1" x14ac:dyDescent="0.3">
      <c r="D31" s="1"/>
      <c r="E31" s="1"/>
      <c r="F31" s="1"/>
      <c r="G31" s="1"/>
      <c r="H31" s="1"/>
      <c r="I31" s="1"/>
      <c r="J31" s="1"/>
      <c r="K31" s="1"/>
      <c r="L31" s="1"/>
      <c r="M31" s="1"/>
      <c r="N31" s="1"/>
      <c r="O31" s="1"/>
      <c r="P31" s="1"/>
      <c r="Q31" s="1"/>
      <c r="R31" s="1"/>
      <c r="S31" s="1"/>
      <c r="T31" s="1"/>
    </row>
    <row r="32" spans="4:21" ht="14.4" customHeight="1" x14ac:dyDescent="0.3">
      <c r="D32" s="1"/>
      <c r="E32" s="1"/>
      <c r="F32" s="1"/>
      <c r="G32" s="1"/>
      <c r="H32" s="1"/>
      <c r="I32" s="1"/>
      <c r="J32" s="1"/>
      <c r="K32" s="1"/>
      <c r="L32" s="1"/>
      <c r="M32" s="1"/>
      <c r="N32" s="1"/>
      <c r="O32" s="1"/>
      <c r="P32" s="1"/>
      <c r="Q32" s="1"/>
      <c r="R32" s="1"/>
      <c r="S32" s="1"/>
      <c r="T32" s="1"/>
    </row>
    <row r="33" spans="4:21" ht="14.4" customHeight="1" thickBot="1" x14ac:dyDescent="0.35">
      <c r="D33" s="415" t="s">
        <v>304</v>
      </c>
      <c r="E33" s="415"/>
      <c r="F33" s="138"/>
      <c r="G33" s="138"/>
      <c r="H33" s="415" t="s">
        <v>305</v>
      </c>
      <c r="I33" s="415"/>
      <c r="J33" s="415"/>
      <c r="K33" s="415"/>
      <c r="L33" s="138"/>
      <c r="M33" s="138"/>
      <c r="N33" s="415" t="s">
        <v>306</v>
      </c>
      <c r="O33" s="415"/>
      <c r="P33" s="415"/>
      <c r="Q33" s="1"/>
      <c r="S33" s="416" t="s">
        <v>394</v>
      </c>
      <c r="T33" s="416"/>
      <c r="U33" s="416"/>
    </row>
    <row r="34" spans="4:21" ht="14.4" customHeight="1" x14ac:dyDescent="0.3">
      <c r="D34" s="94" t="s">
        <v>307</v>
      </c>
      <c r="E34" s="142">
        <f>XNPV(E12,K30:U30,K18:U18)</f>
        <v>96361.397721944202</v>
      </c>
      <c r="F34" s="94"/>
      <c r="G34" s="94"/>
      <c r="H34" s="94" t="s">
        <v>308</v>
      </c>
      <c r="I34" s="94"/>
      <c r="J34" s="94"/>
      <c r="K34" s="142">
        <f>E14*E13/10^7</f>
        <v>80249.399999999994</v>
      </c>
      <c r="L34" s="94"/>
      <c r="M34" s="94"/>
      <c r="N34" s="94" t="s">
        <v>292</v>
      </c>
      <c r="O34" s="94"/>
      <c r="P34" s="143">
        <f>K39</f>
        <v>2895</v>
      </c>
      <c r="Q34" s="1"/>
      <c r="S34" s="94" t="s">
        <v>358</v>
      </c>
      <c r="U34" s="16">
        <f>(T22+T24)*E10</f>
        <v>203822.34864376031</v>
      </c>
    </row>
    <row r="35" spans="4:21" ht="14.4" customHeight="1" x14ac:dyDescent="0.3">
      <c r="D35" s="94" t="s">
        <v>309</v>
      </c>
      <c r="E35" s="142">
        <f>SUM('Balance Sheet'!I10,'Balance Sheet'!I11,'Balance Sheet'!I19)</f>
        <v>2746.3100000000022</v>
      </c>
      <c r="F35" s="94"/>
      <c r="G35" s="94"/>
      <c r="H35" s="94" t="s">
        <v>310</v>
      </c>
      <c r="I35" s="94"/>
      <c r="J35" s="94"/>
      <c r="K35" s="142">
        <f>-E36</f>
        <v>126.97999999999999</v>
      </c>
      <c r="L35" s="94"/>
      <c r="M35" s="94"/>
      <c r="N35" s="94" t="s">
        <v>311</v>
      </c>
      <c r="O35" s="94"/>
      <c r="P35" s="144">
        <f>E39</f>
        <v>3570.7333233024606</v>
      </c>
      <c r="Q35" s="1"/>
      <c r="S35" s="94" t="s">
        <v>395</v>
      </c>
      <c r="U35" s="16">
        <f>T28*(1+E11)/(E12-E11)</f>
        <v>-48534.177419886772</v>
      </c>
    </row>
    <row r="36" spans="4:21" ht="14.4" customHeight="1" x14ac:dyDescent="0.3">
      <c r="D36" s="94" t="s">
        <v>312</v>
      </c>
      <c r="E36" s="145">
        <f>-'Balance Sheet'!I31</f>
        <v>-126.97999999999999</v>
      </c>
      <c r="F36" s="94"/>
      <c r="G36" s="94"/>
      <c r="H36" s="94" t="s">
        <v>314</v>
      </c>
      <c r="I36" s="94"/>
      <c r="J36" s="94"/>
      <c r="K36" s="145">
        <f>-E35</f>
        <v>-2746.3100000000022</v>
      </c>
      <c r="L36" s="94"/>
      <c r="M36" s="94"/>
      <c r="N36" s="253" t="s">
        <v>313</v>
      </c>
      <c r="O36" s="251"/>
      <c r="P36" s="252">
        <f>P35/P34-1</f>
        <v>0.23341392860188614</v>
      </c>
      <c r="Q36" s="1"/>
      <c r="S36" s="256" t="s">
        <v>366</v>
      </c>
      <c r="T36" s="103"/>
      <c r="U36" s="15">
        <f>AVERAGE(U34:U35)</f>
        <v>77644.085611936767</v>
      </c>
    </row>
    <row r="37" spans="4:21" ht="14.4" customHeight="1" x14ac:dyDescent="0.3">
      <c r="D37" s="253" t="s">
        <v>315</v>
      </c>
      <c r="E37" s="255">
        <f>SUM(E34:E36)</f>
        <v>98980.727721944204</v>
      </c>
      <c r="F37" s="94"/>
      <c r="G37" s="94"/>
      <c r="H37" s="253" t="s">
        <v>307</v>
      </c>
      <c r="I37" s="253"/>
      <c r="J37" s="253"/>
      <c r="K37" s="254">
        <f>SUM(K34:K36)</f>
        <v>77630.069999999992</v>
      </c>
      <c r="L37" s="94"/>
      <c r="M37" s="94"/>
      <c r="N37" s="94"/>
      <c r="O37" s="94"/>
      <c r="P37" s="94"/>
      <c r="Q37" s="1"/>
      <c r="R37" s="1"/>
      <c r="S37" s="1"/>
      <c r="T37" s="1"/>
    </row>
    <row r="38" spans="4:21" ht="14.4" customHeight="1" x14ac:dyDescent="0.3">
      <c r="F38" s="94"/>
      <c r="G38" s="94"/>
      <c r="H38" s="94"/>
      <c r="I38" s="94"/>
      <c r="J38" s="94"/>
      <c r="K38" s="94"/>
      <c r="L38" s="94"/>
      <c r="M38" s="94"/>
      <c r="N38" s="94"/>
      <c r="O38" s="94"/>
      <c r="P38" s="94"/>
      <c r="Q38" s="1"/>
      <c r="R38" s="1"/>
      <c r="S38" s="1"/>
      <c r="T38" s="1"/>
    </row>
    <row r="39" spans="4:21" ht="14.4" customHeight="1" x14ac:dyDescent="0.3">
      <c r="D39" s="95" t="s">
        <v>316</v>
      </c>
      <c r="E39" s="257">
        <f>(E37*10^7)/E13</f>
        <v>3570.7333233024606</v>
      </c>
      <c r="F39" s="94"/>
      <c r="G39" s="94"/>
      <c r="H39" s="95" t="s">
        <v>316</v>
      </c>
      <c r="I39" s="95"/>
      <c r="J39" s="95"/>
      <c r="K39" s="257">
        <f>(K34*10^7)/E13</f>
        <v>2895</v>
      </c>
      <c r="L39" s="94"/>
      <c r="M39" s="94"/>
      <c r="N39" s="94"/>
      <c r="O39" s="94"/>
      <c r="P39" s="94"/>
      <c r="Q39" s="1"/>
      <c r="R39" s="1"/>
      <c r="S39" s="1"/>
      <c r="T39" s="1"/>
    </row>
    <row r="40" spans="4:21" ht="14.4" customHeight="1" x14ac:dyDescent="0.3">
      <c r="F40" s="94"/>
      <c r="G40" s="94"/>
      <c r="L40" s="94"/>
      <c r="M40" s="94"/>
      <c r="N40" s="94"/>
      <c r="O40" s="94"/>
      <c r="P40" s="94"/>
      <c r="Q40" s="1"/>
      <c r="R40" s="1"/>
      <c r="S40" s="1"/>
      <c r="T40" s="1"/>
    </row>
    <row r="41" spans="4:21" ht="14.4" customHeight="1" x14ac:dyDescent="0.3">
      <c r="D41" s="1"/>
      <c r="E41" s="1"/>
      <c r="F41" s="1"/>
      <c r="G41" s="1"/>
      <c r="H41" s="1"/>
      <c r="I41" s="1"/>
      <c r="J41" s="1"/>
      <c r="K41" s="1"/>
      <c r="L41" s="1"/>
      <c r="M41" s="1"/>
      <c r="N41" s="1"/>
      <c r="O41" s="1"/>
      <c r="P41" s="1"/>
      <c r="Q41" s="1"/>
      <c r="R41" s="1"/>
      <c r="S41" s="1"/>
      <c r="T41" s="1"/>
    </row>
    <row r="42" spans="4:21" ht="14.4" customHeight="1" x14ac:dyDescent="0.3">
      <c r="D42" s="1"/>
      <c r="E42" s="1"/>
      <c r="F42" s="1"/>
      <c r="G42" s="1"/>
      <c r="H42" s="1"/>
      <c r="I42" s="1"/>
      <c r="J42" s="1"/>
      <c r="K42" s="1"/>
      <c r="L42" s="1"/>
      <c r="M42" s="1"/>
      <c r="N42" s="1"/>
      <c r="O42" s="1"/>
      <c r="P42" s="1"/>
      <c r="Q42" s="1"/>
      <c r="R42" s="1"/>
      <c r="S42" s="1"/>
      <c r="T42" s="1"/>
    </row>
    <row r="43" spans="4:21" ht="14.4" customHeight="1" x14ac:dyDescent="0.3">
      <c r="D43" s="1"/>
      <c r="E43" s="1"/>
      <c r="F43" s="1"/>
      <c r="G43" s="1"/>
      <c r="H43" s="1"/>
      <c r="I43" s="1"/>
      <c r="J43" s="1"/>
      <c r="K43" s="1"/>
      <c r="L43" s="1"/>
      <c r="M43" s="1"/>
      <c r="N43" s="1"/>
      <c r="O43" s="1"/>
      <c r="P43" s="1"/>
      <c r="Q43" s="1"/>
      <c r="R43" s="1"/>
      <c r="S43" s="1"/>
      <c r="T43" s="1"/>
    </row>
    <row r="44" spans="4:21" ht="16.8" customHeight="1" x14ac:dyDescent="0.3">
      <c r="D44" s="378" t="s">
        <v>317</v>
      </c>
      <c r="E44" s="378"/>
      <c r="F44" s="378"/>
      <c r="G44" s="378"/>
      <c r="H44" s="378"/>
      <c r="I44" s="378"/>
      <c r="J44" s="378"/>
      <c r="K44" s="378"/>
      <c r="L44" s="378"/>
      <c r="M44" s="378"/>
      <c r="N44" s="378"/>
      <c r="O44" s="378"/>
      <c r="P44" s="378"/>
      <c r="Q44" s="378"/>
      <c r="R44" s="378"/>
      <c r="S44" s="378"/>
      <c r="T44" s="378"/>
      <c r="U44" s="378"/>
    </row>
    <row r="45" spans="4:21" ht="14.4" customHeight="1" x14ac:dyDescent="0.3">
      <c r="D45" s="1"/>
      <c r="E45" s="1"/>
      <c r="F45" s="1"/>
      <c r="G45" s="1"/>
      <c r="H45" s="1"/>
      <c r="I45" s="1"/>
      <c r="J45" s="1"/>
      <c r="K45" s="1"/>
      <c r="L45" s="1"/>
      <c r="M45" s="1"/>
      <c r="N45" s="1"/>
      <c r="O45" s="1"/>
      <c r="P45" s="1"/>
      <c r="Q45" s="1"/>
      <c r="R45" s="1"/>
      <c r="S45" s="1"/>
      <c r="T45" s="1"/>
    </row>
    <row r="46" spans="4:21" ht="14.4" customHeight="1" x14ac:dyDescent="0.3">
      <c r="D46" s="1"/>
      <c r="E46" s="1"/>
      <c r="F46" s="1"/>
      <c r="G46" s="1"/>
      <c r="H46" s="1"/>
      <c r="I46" s="1"/>
      <c r="J46" s="1"/>
      <c r="K46" s="1"/>
      <c r="L46" s="1"/>
      <c r="M46" s="1"/>
      <c r="N46" s="1"/>
      <c r="O46" s="1"/>
      <c r="P46" s="1"/>
      <c r="Q46" s="1"/>
      <c r="R46" s="1"/>
      <c r="S46" s="1"/>
      <c r="T46" s="1"/>
    </row>
    <row r="47" spans="4:21" ht="14.4" customHeight="1" x14ac:dyDescent="0.3">
      <c r="D47" s="49"/>
      <c r="E47" s="49"/>
      <c r="F47" s="49"/>
      <c r="G47" s="1"/>
      <c r="H47" s="414" t="s">
        <v>318</v>
      </c>
      <c r="I47" s="414"/>
      <c r="J47" s="414"/>
      <c r="K47" s="414"/>
      <c r="L47" s="414"/>
      <c r="M47" s="414"/>
      <c r="N47" s="1"/>
      <c r="O47" s="1"/>
      <c r="P47" s="1"/>
      <c r="Q47" s="1"/>
      <c r="R47" s="1"/>
      <c r="S47" s="1"/>
      <c r="T47" s="1"/>
    </row>
    <row r="48" spans="4:21" ht="14.4" customHeight="1" x14ac:dyDescent="0.3">
      <c r="D48" s="49"/>
      <c r="E48" s="49"/>
      <c r="F48" s="49"/>
      <c r="G48" s="1"/>
      <c r="H48" s="1"/>
      <c r="I48" s="1"/>
      <c r="J48" s="1"/>
      <c r="K48" s="1"/>
      <c r="L48" s="1"/>
      <c r="M48" s="1"/>
      <c r="N48" s="1"/>
      <c r="O48" s="1"/>
      <c r="P48" s="1"/>
      <c r="Q48" s="1"/>
      <c r="R48" s="1"/>
      <c r="S48" s="1"/>
      <c r="T48" s="1"/>
    </row>
    <row r="49" spans="4:20" ht="14.4" customHeight="1" x14ac:dyDescent="0.3">
      <c r="D49" s="49"/>
      <c r="E49" s="49"/>
      <c r="F49" s="49"/>
      <c r="G49" s="285">
        <f>E39</f>
        <v>3570.7333233024606</v>
      </c>
      <c r="H49" s="288">
        <v>22.5</v>
      </c>
      <c r="I49" s="289">
        <v>24.5</v>
      </c>
      <c r="J49" s="289">
        <v>26.5</v>
      </c>
      <c r="K49" s="289">
        <v>28.47</v>
      </c>
      <c r="L49" s="289">
        <v>30.5</v>
      </c>
      <c r="M49" s="289">
        <v>32.5</v>
      </c>
      <c r="N49" s="1"/>
      <c r="O49" s="1"/>
      <c r="P49" s="1"/>
      <c r="Q49" s="1"/>
      <c r="R49" s="1"/>
      <c r="S49" s="1"/>
      <c r="T49" s="1"/>
    </row>
    <row r="50" spans="4:20" ht="14.4" customHeight="1" x14ac:dyDescent="0.3">
      <c r="D50" s="49"/>
      <c r="E50" s="49"/>
      <c r="F50" s="49"/>
      <c r="G50" s="365">
        <v>1.9999999999999999E-6</v>
      </c>
      <c r="H50" s="140">
        <f t="dataTable" ref="H50:M54" dt2D="1" dtr="1" r1="E10" r2="E12"/>
        <v>2800.5354243205575</v>
      </c>
      <c r="I50" s="139">
        <v>3058.7990754899679</v>
      </c>
      <c r="J50" s="139">
        <v>3317.0627266593788</v>
      </c>
      <c r="K50" s="139">
        <v>3571.4524230612483</v>
      </c>
      <c r="L50" s="139">
        <v>3833.5900289982001</v>
      </c>
      <c r="M50" s="139">
        <v>4091.8536801676105</v>
      </c>
      <c r="N50" s="1"/>
      <c r="O50" s="1"/>
      <c r="P50" s="1"/>
      <c r="Q50" s="1"/>
      <c r="R50" s="1"/>
      <c r="S50" s="1"/>
      <c r="T50" s="1"/>
    </row>
    <row r="51" spans="4:20" ht="14.4" customHeight="1" x14ac:dyDescent="0.3">
      <c r="D51" s="49"/>
      <c r="E51" s="49"/>
      <c r="F51" s="49"/>
      <c r="G51" s="365">
        <v>1.9E-6</v>
      </c>
      <c r="H51" s="140">
        <v>2800.5390008852805</v>
      </c>
      <c r="I51" s="290">
        <v>3058.8028846331426</v>
      </c>
      <c r="J51" s="290">
        <v>3317.0667683810047</v>
      </c>
      <c r="K51" s="291">
        <v>3571.4566938726489</v>
      </c>
      <c r="L51" s="290">
        <v>3833.594535876729</v>
      </c>
      <c r="M51" s="139">
        <v>4091.8584196245915</v>
      </c>
      <c r="N51" s="1"/>
      <c r="O51" s="1"/>
      <c r="P51" s="1"/>
      <c r="Q51" s="1"/>
      <c r="R51" s="1"/>
      <c r="S51" s="1"/>
      <c r="T51" s="1"/>
    </row>
    <row r="52" spans="4:20" ht="14.4" customHeight="1" x14ac:dyDescent="0.3">
      <c r="D52" s="49"/>
      <c r="E52" s="49"/>
      <c r="F52" s="49"/>
      <c r="G52" s="365">
        <v>1.5999999999999999E-6</v>
      </c>
      <c r="H52" s="140">
        <v>2800.5497305813356</v>
      </c>
      <c r="I52" s="290">
        <v>3058.8143120659488</v>
      </c>
      <c r="J52" s="290">
        <v>3317.0788935505616</v>
      </c>
      <c r="K52" s="292">
        <v>3571.4695063129057</v>
      </c>
      <c r="L52" s="290">
        <v>3833.6080565197881</v>
      </c>
      <c r="M52" s="139">
        <v>4091.8726380044013</v>
      </c>
      <c r="N52" s="1"/>
      <c r="O52" s="1"/>
      <c r="P52" s="1"/>
      <c r="Q52" s="1"/>
      <c r="R52" s="1"/>
      <c r="S52" s="1"/>
      <c r="T52" s="1"/>
    </row>
    <row r="53" spans="4:20" ht="14.4" customHeight="1" x14ac:dyDescent="0.3">
      <c r="D53" s="49"/>
      <c r="E53" s="49"/>
      <c r="F53" s="49"/>
      <c r="G53" s="365">
        <v>1.3999999999999999E-6</v>
      </c>
      <c r="H53" s="140">
        <v>2800.5568837136188</v>
      </c>
      <c r="I53" s="290">
        <v>3058.82193035723</v>
      </c>
      <c r="J53" s="290">
        <v>3317.0869770008408</v>
      </c>
      <c r="K53" s="290">
        <v>3571.4780479447973</v>
      </c>
      <c r="L53" s="290">
        <v>3833.6170702880627</v>
      </c>
      <c r="M53" s="139">
        <v>4091.8821169316739</v>
      </c>
      <c r="N53" s="1"/>
      <c r="O53" s="1"/>
      <c r="P53" s="1"/>
      <c r="Q53" s="1"/>
      <c r="R53" s="1"/>
      <c r="S53" s="1"/>
      <c r="T53" s="1"/>
    </row>
    <row r="54" spans="4:20" ht="14.4" customHeight="1" x14ac:dyDescent="0.3">
      <c r="D54" s="49"/>
      <c r="E54" s="49"/>
      <c r="F54" s="49"/>
      <c r="G54" s="365">
        <v>9.9999999999999995E-7</v>
      </c>
      <c r="H54" s="140">
        <v>2800.5711899819648</v>
      </c>
      <c r="I54" s="290">
        <v>3058.8371669463627</v>
      </c>
      <c r="J54" s="290">
        <v>3317.1031439107619</v>
      </c>
      <c r="K54" s="290">
        <v>3571.4951312206945</v>
      </c>
      <c r="L54" s="290">
        <v>3833.6350978395581</v>
      </c>
      <c r="M54" s="139">
        <v>4091.9010748039573</v>
      </c>
      <c r="N54" s="1"/>
      <c r="O54" s="1"/>
      <c r="P54" s="1"/>
      <c r="Q54" s="1"/>
      <c r="R54" s="1"/>
      <c r="S54" s="1"/>
      <c r="T54" s="1"/>
    </row>
    <row r="55" spans="4:20" ht="14.4" customHeight="1" x14ac:dyDescent="0.3">
      <c r="D55" s="49"/>
      <c r="E55" s="49"/>
      <c r="F55" s="49"/>
      <c r="G55" s="1"/>
      <c r="H55" s="1"/>
      <c r="I55" s="1"/>
      <c r="J55" s="1"/>
      <c r="K55" s="1"/>
      <c r="L55" s="1"/>
      <c r="M55" s="1"/>
      <c r="N55" s="1"/>
      <c r="O55" s="1"/>
      <c r="P55" s="1"/>
      <c r="Q55" s="1"/>
      <c r="R55" s="1"/>
      <c r="S55" s="1"/>
      <c r="T55" s="1"/>
    </row>
    <row r="56" spans="4:20" ht="14.4" customHeight="1" x14ac:dyDescent="0.3">
      <c r="D56" s="49"/>
      <c r="E56" s="49"/>
      <c r="F56" s="49"/>
      <c r="G56" s="1"/>
      <c r="H56" s="1"/>
      <c r="I56" s="1"/>
      <c r="J56" s="1"/>
      <c r="K56" s="1"/>
      <c r="L56" s="1"/>
      <c r="M56" s="1"/>
      <c r="N56" s="1"/>
      <c r="O56" s="1"/>
      <c r="P56" s="1"/>
      <c r="Q56" s="1"/>
      <c r="R56" s="1"/>
      <c r="S56" s="1"/>
      <c r="T56" s="1"/>
    </row>
    <row r="57" spans="4:20" ht="14.4" customHeight="1" x14ac:dyDescent="0.3">
      <c r="D57" s="49"/>
      <c r="E57" s="49"/>
      <c r="F57" s="49"/>
      <c r="G57" s="1"/>
      <c r="H57" s="414" t="s">
        <v>289</v>
      </c>
      <c r="I57" s="414"/>
      <c r="J57" s="414"/>
      <c r="K57" s="414"/>
      <c r="L57" s="414"/>
      <c r="M57" s="414"/>
      <c r="N57" s="1"/>
      <c r="O57" s="1"/>
      <c r="P57" s="1"/>
      <c r="Q57" s="1"/>
      <c r="R57" s="1"/>
      <c r="S57" s="1"/>
      <c r="T57" s="1"/>
    </row>
    <row r="58" spans="4:20" ht="14.4" customHeight="1" x14ac:dyDescent="0.3">
      <c r="D58" s="49"/>
      <c r="E58" s="49"/>
      <c r="F58" s="49"/>
      <c r="G58" s="1"/>
      <c r="H58" s="1"/>
      <c r="I58" s="1"/>
      <c r="J58" s="1"/>
      <c r="K58" s="1"/>
      <c r="L58" s="1"/>
      <c r="M58" s="1"/>
      <c r="N58" s="1"/>
      <c r="O58" s="1"/>
      <c r="P58" s="1"/>
      <c r="Q58" s="1"/>
      <c r="R58" s="1"/>
      <c r="S58" s="1"/>
      <c r="T58" s="1"/>
    </row>
    <row r="59" spans="4:20" ht="14.4" customHeight="1" x14ac:dyDescent="0.3">
      <c r="D59" s="49"/>
      <c r="E59" s="49"/>
      <c r="F59" s="49"/>
      <c r="G59" s="285">
        <f>E39</f>
        <v>3570.7333233024606</v>
      </c>
      <c r="H59" s="286">
        <v>0.04</v>
      </c>
      <c r="I59" s="287">
        <v>4.48E-2</v>
      </c>
      <c r="J59" s="287">
        <v>0.06</v>
      </c>
      <c r="K59" s="287">
        <v>6.4000000000000001E-2</v>
      </c>
      <c r="L59" s="287">
        <v>0.08</v>
      </c>
      <c r="M59" s="287">
        <v>8.4000000000000005E-2</v>
      </c>
      <c r="N59" s="1"/>
      <c r="O59" s="1"/>
      <c r="P59" s="1"/>
      <c r="Q59" s="1"/>
      <c r="R59" s="1"/>
      <c r="S59" s="1"/>
      <c r="T59" s="1"/>
    </row>
    <row r="60" spans="4:20" ht="14.4" customHeight="1" x14ac:dyDescent="0.3">
      <c r="D60" s="49"/>
      <c r="E60" s="49"/>
      <c r="F60" s="49"/>
      <c r="G60" s="365">
        <v>1.9999999999999999E-6</v>
      </c>
      <c r="H60" s="140">
        <f t="dataTable" ref="H60:M64" dt2D="1" dtr="1" r1="E11" r2="E12" ca="1"/>
        <v>3077.8985570869822</v>
      </c>
      <c r="I60" s="139">
        <v>3218.9158360486376</v>
      </c>
      <c r="J60" s="139">
        <v>3516.6140186387711</v>
      </c>
      <c r="K60" s="139">
        <v>3571.4524230612483</v>
      </c>
      <c r="L60" s="139">
        <v>3735.9662653342939</v>
      </c>
      <c r="M60" s="139">
        <v>3767.3020021309753</v>
      </c>
      <c r="N60" s="1"/>
      <c r="O60" s="1"/>
      <c r="P60" s="1"/>
      <c r="Q60" s="1"/>
      <c r="R60" s="1"/>
      <c r="S60" s="1"/>
      <c r="T60" s="1"/>
    </row>
    <row r="61" spans="4:20" ht="14.4" customHeight="1" x14ac:dyDescent="0.3">
      <c r="D61" s="49"/>
      <c r="E61" s="49"/>
      <c r="F61" s="49"/>
      <c r="G61" s="365">
        <v>1.9E-6</v>
      </c>
      <c r="H61" s="140">
        <v>3077.9044379292277</v>
      </c>
      <c r="I61" s="290">
        <v>3218.9211624380468</v>
      </c>
      <c r="J61" s="290">
        <v>3516.6184226372529</v>
      </c>
      <c r="K61" s="291">
        <v>3571.4566938726489</v>
      </c>
      <c r="L61" s="290">
        <v>3735.9702051389627</v>
      </c>
      <c r="M61" s="139">
        <v>3767.3058905454564</v>
      </c>
      <c r="N61" s="1"/>
      <c r="O61" s="1"/>
      <c r="P61" s="1"/>
      <c r="Q61" s="1"/>
      <c r="R61" s="1"/>
      <c r="S61" s="1"/>
      <c r="T61" s="1"/>
    </row>
    <row r="62" spans="4:20" ht="14.4" customHeight="1" x14ac:dyDescent="0.3">
      <c r="D62" s="49"/>
      <c r="E62" s="49"/>
      <c r="F62" s="49"/>
      <c r="G62" s="365">
        <v>1.5999999999999999E-6</v>
      </c>
      <c r="H62" s="140">
        <v>3077.9220804045276</v>
      </c>
      <c r="I62" s="290">
        <v>3218.9371415774931</v>
      </c>
      <c r="J62" s="290">
        <v>3516.6316346350673</v>
      </c>
      <c r="K62" s="290">
        <v>3571.4695063129057</v>
      </c>
      <c r="L62" s="290">
        <v>3735.9820245670517</v>
      </c>
      <c r="M62" s="139">
        <v>3767.3175558040643</v>
      </c>
      <c r="N62" s="1"/>
      <c r="O62" s="1"/>
      <c r="P62" s="1"/>
      <c r="Q62" s="1"/>
      <c r="R62" s="1"/>
      <c r="S62" s="1"/>
      <c r="T62" s="1"/>
    </row>
    <row r="63" spans="4:20" ht="14.4" customHeight="1" x14ac:dyDescent="0.3">
      <c r="D63" s="49"/>
      <c r="E63" s="49"/>
      <c r="F63" s="49"/>
      <c r="G63" s="365">
        <v>1.3999999999999999E-6</v>
      </c>
      <c r="H63" s="140">
        <v>3077.9338420118734</v>
      </c>
      <c r="I63" s="290">
        <v>3218.9477943131456</v>
      </c>
      <c r="J63" s="290">
        <v>3516.6404426355944</v>
      </c>
      <c r="K63" s="290">
        <v>3571.4780479447973</v>
      </c>
      <c r="L63" s="290">
        <v>3735.9899041975209</v>
      </c>
      <c r="M63" s="139">
        <v>3767.3253326557792</v>
      </c>
      <c r="N63" s="1"/>
      <c r="O63" s="1"/>
      <c r="P63" s="1"/>
      <c r="Q63" s="1"/>
      <c r="R63" s="1"/>
      <c r="S63" s="1"/>
      <c r="T63" s="1"/>
    </row>
    <row r="64" spans="4:20" ht="14.4" customHeight="1" x14ac:dyDescent="0.3">
      <c r="D64" s="49"/>
      <c r="E64" s="49"/>
      <c r="F64" s="49"/>
      <c r="G64" s="365">
        <v>9.9999999999999995E-7</v>
      </c>
      <c r="H64" s="140">
        <v>3077.9573651237042</v>
      </c>
      <c r="I64" s="290">
        <v>3218.9690997268922</v>
      </c>
      <c r="J64" s="290">
        <v>3516.6580586413911</v>
      </c>
      <c r="K64" s="290">
        <v>3571.4951312206945</v>
      </c>
      <c r="L64" s="290">
        <v>3736.005663486626</v>
      </c>
      <c r="M64" s="139">
        <v>3767.3408863895397</v>
      </c>
      <c r="N64" s="1"/>
      <c r="O64" s="1"/>
      <c r="P64" s="1"/>
      <c r="Q64" s="1"/>
      <c r="R64" s="1"/>
      <c r="S64" s="1"/>
      <c r="T64" s="1"/>
    </row>
    <row r="65" spans="4:20" ht="14.4" customHeight="1" x14ac:dyDescent="0.3">
      <c r="D65" s="1"/>
      <c r="E65" s="1"/>
      <c r="F65" s="1"/>
      <c r="G65" s="1"/>
      <c r="H65" s="1"/>
      <c r="I65" s="1"/>
      <c r="J65" s="1"/>
      <c r="K65" s="1"/>
      <c r="L65" s="1"/>
      <c r="M65" s="1"/>
      <c r="N65" s="1"/>
      <c r="O65" s="1"/>
      <c r="P65" s="1"/>
      <c r="Q65" s="1"/>
      <c r="R65" s="1"/>
      <c r="S65" s="1"/>
      <c r="T65" s="1"/>
    </row>
    <row r="66" spans="4:20" ht="14.4" customHeight="1" x14ac:dyDescent="0.3">
      <c r="D66" s="1"/>
      <c r="E66" s="1"/>
      <c r="F66" s="1"/>
      <c r="G66" s="1"/>
      <c r="H66" s="1"/>
      <c r="I66" s="1"/>
      <c r="J66" s="1"/>
      <c r="K66" s="1"/>
      <c r="L66" s="1"/>
      <c r="M66" s="1"/>
      <c r="N66" s="1"/>
      <c r="O66" s="1"/>
      <c r="P66" s="1"/>
      <c r="Q66" s="1"/>
      <c r="R66" s="1"/>
      <c r="S66" s="1"/>
      <c r="T66" s="1"/>
    </row>
    <row r="67" spans="4:20" ht="14.4" customHeight="1" x14ac:dyDescent="0.3">
      <c r="D67" s="1"/>
      <c r="E67" s="1"/>
      <c r="F67" s="1"/>
      <c r="G67" s="1"/>
      <c r="H67" s="1"/>
      <c r="I67" s="1"/>
      <c r="J67" s="1"/>
      <c r="K67" s="1"/>
      <c r="L67" s="1"/>
      <c r="M67" s="1"/>
      <c r="N67" s="1"/>
      <c r="O67" s="1"/>
      <c r="P67" s="1"/>
      <c r="Q67" s="1"/>
      <c r="R67" s="1"/>
      <c r="S67" s="1"/>
      <c r="T67" s="1"/>
    </row>
    <row r="68" spans="4:20" ht="14.4" customHeight="1" x14ac:dyDescent="0.3">
      <c r="D68" s="1"/>
      <c r="E68" s="1"/>
      <c r="F68" s="1"/>
      <c r="G68" s="1"/>
      <c r="H68" s="1"/>
      <c r="I68" s="1"/>
      <c r="J68" s="1"/>
      <c r="K68" s="1"/>
      <c r="L68" s="1"/>
      <c r="M68" s="1"/>
      <c r="N68" s="1"/>
      <c r="O68" s="1"/>
      <c r="P68" s="1"/>
      <c r="Q68" s="1"/>
      <c r="R68" s="1"/>
      <c r="S68" s="1"/>
      <c r="T68" s="1"/>
    </row>
    <row r="69" spans="4:20" ht="14.4" customHeight="1" x14ac:dyDescent="0.3">
      <c r="D69" s="1"/>
      <c r="E69" s="1"/>
      <c r="F69" s="1"/>
      <c r="G69" s="1"/>
      <c r="H69" s="1"/>
      <c r="I69" s="1"/>
      <c r="J69" s="1"/>
      <c r="K69" s="1"/>
      <c r="L69" s="1"/>
      <c r="M69" s="1"/>
      <c r="N69" s="1"/>
      <c r="O69" s="1"/>
      <c r="P69" s="1"/>
      <c r="Q69" s="1"/>
      <c r="R69" s="1"/>
      <c r="S69" s="1"/>
      <c r="T69" s="1"/>
    </row>
    <row r="70" spans="4:20" ht="14.4" customHeight="1" x14ac:dyDescent="0.3">
      <c r="D70" s="1"/>
      <c r="E70" s="1"/>
      <c r="F70" s="1"/>
      <c r="G70" s="1"/>
      <c r="H70" s="1"/>
      <c r="I70" s="1"/>
      <c r="J70" s="1"/>
      <c r="K70" s="1"/>
      <c r="L70" s="1"/>
      <c r="M70" s="1"/>
      <c r="N70" s="1"/>
      <c r="O70" s="1"/>
      <c r="P70" s="1"/>
      <c r="Q70" s="1"/>
      <c r="R70" s="1"/>
      <c r="S70" s="1"/>
      <c r="T70" s="1"/>
    </row>
    <row r="71" spans="4:20" ht="14.4" customHeight="1" x14ac:dyDescent="0.3">
      <c r="D71" s="1"/>
      <c r="E71" s="1"/>
      <c r="F71" s="1"/>
      <c r="G71" s="1"/>
      <c r="H71" s="1"/>
      <c r="I71" s="1"/>
      <c r="J71" s="1"/>
      <c r="K71" s="1"/>
      <c r="L71" s="1"/>
      <c r="M71" s="1"/>
      <c r="N71" s="1"/>
      <c r="O71" s="1"/>
      <c r="P71" s="1"/>
      <c r="Q71" s="1"/>
      <c r="R71" s="1"/>
      <c r="S71" s="1"/>
      <c r="T71" s="1"/>
    </row>
  </sheetData>
  <mergeCells count="8">
    <mergeCell ref="D44:U44"/>
    <mergeCell ref="H47:M47"/>
    <mergeCell ref="H57:M57"/>
    <mergeCell ref="D4:T4"/>
    <mergeCell ref="D33:E33"/>
    <mergeCell ref="H33:K33"/>
    <mergeCell ref="N33:P33"/>
    <mergeCell ref="S33:U3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843E-6796-4690-A446-78C8DB9DFCA2}">
  <dimension ref="D4:S26"/>
  <sheetViews>
    <sheetView showGridLines="0" workbookViewId="0">
      <selection activeCell="N24" sqref="N24"/>
    </sheetView>
  </sheetViews>
  <sheetFormatPr defaultRowHeight="14.4" x14ac:dyDescent="0.3"/>
  <cols>
    <col min="1" max="3" width="1.33203125" customWidth="1"/>
    <col min="4" max="4" width="35.77734375" customWidth="1"/>
    <col min="5" max="8" width="10.77734375" customWidth="1"/>
    <col min="9" max="9" width="12.88671875" bestFit="1" customWidth="1"/>
    <col min="10" max="10" width="10.77734375" customWidth="1"/>
    <col min="11" max="11" width="12.44140625" bestFit="1" customWidth="1"/>
    <col min="12" max="12" width="3.77734375" customWidth="1"/>
    <col min="13" max="15" width="10.77734375" customWidth="1"/>
    <col min="16" max="16" width="3.77734375" customWidth="1"/>
    <col min="17" max="19" width="10.77734375" customWidth="1"/>
  </cols>
  <sheetData>
    <row r="4" spans="4:19" ht="16.8" customHeight="1" x14ac:dyDescent="0.3">
      <c r="D4" s="420" t="s">
        <v>362</v>
      </c>
      <c r="E4" s="420"/>
      <c r="F4" s="420"/>
      <c r="G4" s="420"/>
      <c r="H4" s="420"/>
      <c r="I4" s="420"/>
      <c r="J4" s="420"/>
      <c r="K4" s="420"/>
      <c r="L4" s="420"/>
      <c r="M4" s="420"/>
      <c r="N4" s="420"/>
      <c r="O4" s="420"/>
      <c r="P4" s="420"/>
      <c r="Q4" s="420"/>
      <c r="R4" s="420"/>
      <c r="S4" s="420"/>
    </row>
    <row r="5" spans="4:19" x14ac:dyDescent="0.3">
      <c r="D5" s="124" t="s">
        <v>258</v>
      </c>
    </row>
    <row r="6" spans="4:19" x14ac:dyDescent="0.3">
      <c r="D6" s="184"/>
      <c r="E6" s="184"/>
      <c r="F6" s="185"/>
      <c r="G6" s="417" t="s">
        <v>350</v>
      </c>
      <c r="H6" s="417"/>
      <c r="I6" s="417"/>
      <c r="J6" s="417"/>
      <c r="K6" s="185"/>
      <c r="L6" s="186"/>
      <c r="M6" s="418" t="s">
        <v>351</v>
      </c>
      <c r="N6" s="418"/>
      <c r="O6" s="418"/>
      <c r="P6" s="186"/>
      <c r="Q6" s="419" t="s">
        <v>352</v>
      </c>
      <c r="R6" s="419"/>
      <c r="S6" s="419"/>
    </row>
    <row r="7" spans="4:19" x14ac:dyDescent="0.3">
      <c r="D7" s="188"/>
      <c r="E7" s="188"/>
      <c r="F7" s="188" t="s">
        <v>330</v>
      </c>
      <c r="G7" s="188" t="s">
        <v>353</v>
      </c>
      <c r="H7" s="188" t="s">
        <v>308</v>
      </c>
      <c r="I7" s="188" t="s">
        <v>197</v>
      </c>
      <c r="J7" s="188" t="s">
        <v>181</v>
      </c>
      <c r="K7" s="193" t="s">
        <v>354</v>
      </c>
      <c r="L7" s="186"/>
      <c r="M7" s="187" t="s">
        <v>355</v>
      </c>
      <c r="N7" s="187" t="s">
        <v>172</v>
      </c>
      <c r="O7" s="187" t="s">
        <v>356</v>
      </c>
      <c r="P7" s="186"/>
      <c r="Q7" s="189" t="s">
        <v>357</v>
      </c>
      <c r="R7" s="189" t="s">
        <v>358</v>
      </c>
      <c r="S7" s="189" t="s">
        <v>342</v>
      </c>
    </row>
    <row r="8" spans="4:19" x14ac:dyDescent="0.3">
      <c r="D8" s="184" t="s">
        <v>144</v>
      </c>
      <c r="E8" s="188" t="s">
        <v>359</v>
      </c>
      <c r="F8" s="190" t="s">
        <v>363</v>
      </c>
      <c r="G8" s="190" t="s">
        <v>365</v>
      </c>
      <c r="H8" s="190" t="s">
        <v>365</v>
      </c>
      <c r="I8" s="188"/>
      <c r="J8" s="188" t="s">
        <v>360</v>
      </c>
      <c r="K8" s="188"/>
      <c r="L8" s="186"/>
      <c r="M8" s="191" t="s">
        <v>364</v>
      </c>
      <c r="N8" s="191" t="s">
        <v>364</v>
      </c>
      <c r="O8" s="191" t="s">
        <v>364</v>
      </c>
      <c r="P8" s="186"/>
      <c r="Q8" s="192" t="s">
        <v>361</v>
      </c>
      <c r="R8" s="192" t="s">
        <v>361</v>
      </c>
      <c r="S8" s="192" t="s">
        <v>361</v>
      </c>
    </row>
    <row r="10" spans="4:19" x14ac:dyDescent="0.3">
      <c r="D10" s="1" t="s">
        <v>338</v>
      </c>
      <c r="E10" s="114">
        <v>500241</v>
      </c>
      <c r="F10" s="214">
        <f>'Comps Data'!E9</f>
        <v>734.65</v>
      </c>
      <c r="G10" s="214">
        <f>'Comps Data'!H9</f>
        <v>14.52</v>
      </c>
      <c r="H10" s="200">
        <f t="shared" ref="H10:H11" si="0">G10*F10</f>
        <v>10667.117999999999</v>
      </c>
      <c r="I10" s="214">
        <f>'Comps Data'!F9</f>
        <v>5430.4</v>
      </c>
      <c r="J10" s="214">
        <f>'Comps Data'!J8</f>
        <v>1504.66</v>
      </c>
      <c r="K10" s="200">
        <f t="shared" ref="K10:K12" si="1">H10+I10-J10</f>
        <v>14592.857999999998</v>
      </c>
      <c r="L10" s="200"/>
      <c r="M10" s="214">
        <f>'Comps Data'!K9</f>
        <v>6253.86</v>
      </c>
      <c r="N10" s="200">
        <f>K10/R10</f>
        <v>1160.0046104928456</v>
      </c>
      <c r="O10" s="214">
        <f>'Comps Data'!M9</f>
        <v>496.07</v>
      </c>
      <c r="P10" s="1"/>
      <c r="Q10" s="197">
        <f t="shared" ref="Q10:Q12" si="2">K10/M10</f>
        <v>2.3334161621782386</v>
      </c>
      <c r="R10" s="198">
        <f>'Comps Data'!L9</f>
        <v>12.58</v>
      </c>
      <c r="S10" s="198">
        <f>'Comps Data'!I9</f>
        <v>22.5</v>
      </c>
    </row>
    <row r="11" spans="4:19" x14ac:dyDescent="0.3">
      <c r="D11" s="1" t="s">
        <v>339</v>
      </c>
      <c r="E11" s="114">
        <v>400407</v>
      </c>
      <c r="F11" s="214">
        <f>'Comps Data'!E10</f>
        <v>4185</v>
      </c>
      <c r="G11" s="214">
        <f>'Comps Data'!H10</f>
        <v>1.21</v>
      </c>
      <c r="H11" s="200">
        <f t="shared" si="0"/>
        <v>5063.8499999999995</v>
      </c>
      <c r="I11" s="214">
        <f>'Comps Data'!F10</f>
        <v>0.59</v>
      </c>
      <c r="J11" s="214">
        <f>'Comps Data'!J9</f>
        <v>504.75</v>
      </c>
      <c r="K11" s="200">
        <f t="shared" si="1"/>
        <v>4559.6899999999996</v>
      </c>
      <c r="L11" s="200"/>
      <c r="M11" s="214">
        <f>'Comps Data'!K10</f>
        <v>1681.89</v>
      </c>
      <c r="N11" s="200">
        <f t="shared" ref="N11:N12" si="3">K11/R11</f>
        <v>227.30259222333001</v>
      </c>
      <c r="O11" s="214">
        <f>'Comps Data'!M10</f>
        <v>165.98</v>
      </c>
      <c r="P11" s="1"/>
      <c r="Q11" s="197">
        <f t="shared" si="2"/>
        <v>2.7110512578111527</v>
      </c>
      <c r="R11" s="198">
        <f>'Comps Data'!L10</f>
        <v>20.059999999999999</v>
      </c>
      <c r="S11" s="198">
        <f>'Comps Data'!I10</f>
        <v>30.67</v>
      </c>
    </row>
    <row r="12" spans="4:19" x14ac:dyDescent="0.3">
      <c r="D12" s="1" t="s">
        <v>340</v>
      </c>
      <c r="E12" s="114">
        <v>501455</v>
      </c>
      <c r="F12" s="214">
        <f>'Comps Data'!E11</f>
        <v>192.1</v>
      </c>
      <c r="G12" s="214">
        <f>'Comps Data'!H11</f>
        <v>23.28</v>
      </c>
      <c r="H12" s="200">
        <f>G12*F12</f>
        <v>4472.0879999999997</v>
      </c>
      <c r="I12" s="214">
        <f>'Comps Data'!F11</f>
        <v>83.95</v>
      </c>
      <c r="J12" s="214">
        <f>'Comps Data'!J10</f>
        <v>174.3</v>
      </c>
      <c r="K12" s="200">
        <f t="shared" si="1"/>
        <v>4381.7379999999994</v>
      </c>
      <c r="L12" s="200"/>
      <c r="M12" s="214">
        <f>'Comps Data'!K11</f>
        <v>2768.14</v>
      </c>
      <c r="N12" s="200">
        <f t="shared" si="3"/>
        <v>167.05062905070528</v>
      </c>
      <c r="O12" s="214">
        <f>'Comps Data'!M11</f>
        <v>-21.16</v>
      </c>
      <c r="P12" s="1"/>
      <c r="Q12" s="197">
        <f t="shared" si="2"/>
        <v>1.5829177714999962</v>
      </c>
      <c r="R12" s="198">
        <f>'Comps Data'!L11</f>
        <v>26.23</v>
      </c>
      <c r="S12" s="198"/>
    </row>
    <row r="14" spans="4:19" x14ac:dyDescent="0.3">
      <c r="D14" s="155" t="s">
        <v>366</v>
      </c>
      <c r="E14" s="201"/>
      <c r="F14" s="201"/>
      <c r="G14" s="201"/>
      <c r="H14" s="201"/>
      <c r="I14" s="201"/>
      <c r="J14" s="201"/>
      <c r="K14" s="201"/>
      <c r="L14" s="201"/>
      <c r="M14" s="201"/>
      <c r="N14" s="201"/>
      <c r="O14" s="201"/>
      <c r="P14" s="201"/>
      <c r="Q14" s="202">
        <f>AVERAGE(Q10:Q12)</f>
        <v>2.2091283971631293</v>
      </c>
      <c r="R14" s="202">
        <f t="shared" ref="R14" si="4">AVERAGE(R10:R12)</f>
        <v>19.623333333333335</v>
      </c>
      <c r="S14" s="202">
        <f>AVERAGE(S10:S12)</f>
        <v>26.585000000000001</v>
      </c>
    </row>
    <row r="15" spans="4:19" x14ac:dyDescent="0.3">
      <c r="D15" s="155" t="s">
        <v>367</v>
      </c>
      <c r="E15" s="201"/>
      <c r="F15" s="201"/>
      <c r="G15" s="201"/>
      <c r="H15" s="201"/>
      <c r="I15" s="201"/>
      <c r="J15" s="201"/>
      <c r="K15" s="201"/>
      <c r="L15" s="201"/>
      <c r="M15" s="201"/>
      <c r="N15" s="201"/>
      <c r="O15" s="201"/>
      <c r="P15" s="201"/>
      <c r="Q15" s="202">
        <f>MEDIAN(Q10:Q12)</f>
        <v>2.3334161621782386</v>
      </c>
      <c r="R15" s="202">
        <f t="shared" ref="R15:S15" si="5">MEDIAN(R10:R12)</f>
        <v>20.059999999999999</v>
      </c>
      <c r="S15" s="202">
        <f t="shared" si="5"/>
        <v>26.585000000000001</v>
      </c>
    </row>
    <row r="17" spans="4:19" x14ac:dyDescent="0.3">
      <c r="D17" s="203" t="s">
        <v>337</v>
      </c>
      <c r="E17" s="204">
        <v>500480</v>
      </c>
      <c r="F17" s="205">
        <f>'Comps Data'!E8</f>
        <v>2863.45</v>
      </c>
      <c r="G17" s="205">
        <f>'Comps Data'!H8</f>
        <v>27.72</v>
      </c>
      <c r="H17" s="207">
        <f>F17*G17</f>
        <v>79374.833999999988</v>
      </c>
      <c r="I17" s="205">
        <f>'Comps Data'!F8</f>
        <v>19.47</v>
      </c>
      <c r="J17" s="205">
        <f>'Comps Data'!J8</f>
        <v>1504.66</v>
      </c>
      <c r="K17" s="207">
        <f>H17+I17-J17</f>
        <v>77889.643999999986</v>
      </c>
      <c r="L17" s="203"/>
      <c r="M17" s="209">
        <f>'Comps Data'!K8</f>
        <v>10198.66</v>
      </c>
      <c r="N17" s="207">
        <f>K17/R17</f>
        <v>2735.8498068141898</v>
      </c>
      <c r="O17" s="205">
        <f>'Comps Data'!M8</f>
        <v>1945.93</v>
      </c>
      <c r="P17" s="203"/>
      <c r="Q17" s="208">
        <f>K17/M17</f>
        <v>7.6372429319145834</v>
      </c>
      <c r="R17" s="206">
        <f>'Comps Data'!L8</f>
        <v>28.47</v>
      </c>
      <c r="S17" s="206">
        <f>'Comps Data'!I8</f>
        <v>40.770000000000003</v>
      </c>
    </row>
    <row r="19" spans="4:19" ht="16.8" customHeight="1" x14ac:dyDescent="0.3">
      <c r="D19" s="211" t="s">
        <v>368</v>
      </c>
      <c r="E19" s="211"/>
      <c r="F19" s="212" t="s">
        <v>369</v>
      </c>
      <c r="G19" s="212" t="s">
        <v>354</v>
      </c>
      <c r="H19" s="212" t="s">
        <v>370</v>
      </c>
      <c r="I19" s="212" t="s">
        <v>315</v>
      </c>
      <c r="J19" s="212" t="s">
        <v>353</v>
      </c>
      <c r="K19" s="212" t="s">
        <v>371</v>
      </c>
    </row>
    <row r="21" spans="4:19" x14ac:dyDescent="0.3">
      <c r="D21" s="186" t="s">
        <v>372</v>
      </c>
      <c r="E21" s="1"/>
      <c r="F21" s="197">
        <f>Q15</f>
        <v>2.3334161621782386</v>
      </c>
      <c r="G21" s="200">
        <f>M17*F21</f>
        <v>23797.718076560715</v>
      </c>
      <c r="H21" s="200">
        <f>I17-J17</f>
        <v>-1485.19</v>
      </c>
      <c r="I21" s="200">
        <f t="shared" ref="I21:I22" si="6">G21-H21</f>
        <v>25282.908076560714</v>
      </c>
      <c r="J21" s="133">
        <f t="array" ref="J21:J23">G17</f>
        <v>27.72</v>
      </c>
      <c r="K21" s="210">
        <f t="shared" ref="K21:K23" si="7">I21/J21</f>
        <v>912.08182094374877</v>
      </c>
    </row>
    <row r="22" spans="4:19" x14ac:dyDescent="0.3">
      <c r="D22" s="186" t="s">
        <v>358</v>
      </c>
      <c r="E22" s="1"/>
      <c r="F22" s="197">
        <f>R15</f>
        <v>20.059999999999999</v>
      </c>
      <c r="G22" s="200">
        <f>N17*F22</f>
        <v>54881.147124692645</v>
      </c>
      <c r="H22" s="200">
        <f t="shared" ref="H22" si="8">H21</f>
        <v>-1485.19</v>
      </c>
      <c r="I22" s="200">
        <f t="shared" si="6"/>
        <v>56366.337124692647</v>
      </c>
      <c r="J22" s="133">
        <v>27.72</v>
      </c>
      <c r="K22" s="210">
        <f t="shared" si="7"/>
        <v>2033.4176451909325</v>
      </c>
    </row>
    <row r="23" spans="4:19" x14ac:dyDescent="0.3">
      <c r="D23" s="186" t="s">
        <v>342</v>
      </c>
      <c r="E23" s="1"/>
      <c r="F23" s="197">
        <f>S15</f>
        <v>26.585000000000001</v>
      </c>
      <c r="G23" s="200">
        <f>I23+H23</f>
        <v>52816.419500000004</v>
      </c>
      <c r="H23" s="200">
        <f>F23*S17</f>
        <v>1083.8704500000001</v>
      </c>
      <c r="I23" s="200">
        <f>O17*F23</f>
        <v>51732.549050000001</v>
      </c>
      <c r="J23" s="133">
        <v>27.72</v>
      </c>
      <c r="K23" s="210">
        <f t="shared" si="7"/>
        <v>1866.2535732323233</v>
      </c>
    </row>
    <row r="24" spans="4:19" ht="15" thickBot="1" x14ac:dyDescent="0.35"/>
    <row r="25" spans="4:19" ht="15.6" thickTop="1" thickBot="1" x14ac:dyDescent="0.35">
      <c r="D25" s="231"/>
      <c r="E25" s="231"/>
      <c r="F25" s="231"/>
      <c r="G25" s="231"/>
      <c r="H25" s="231"/>
      <c r="I25" s="231"/>
      <c r="J25" s="231"/>
      <c r="K25" s="231"/>
      <c r="L25" s="231"/>
    </row>
    <row r="26" spans="4:19" ht="15" thickTop="1" x14ac:dyDescent="0.3"/>
  </sheetData>
  <mergeCells count="4">
    <mergeCell ref="G6:J6"/>
    <mergeCell ref="M6:O6"/>
    <mergeCell ref="Q6:S6"/>
    <mergeCell ref="D4:S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01E3-018E-4FB9-87A7-2C66926CA337}">
  <dimension ref="D4:AL35"/>
  <sheetViews>
    <sheetView showGridLines="0" topLeftCell="R1" zoomScale="102" zoomScaleNormal="102" workbookViewId="0">
      <selection activeCell="AG7" sqref="AG7"/>
    </sheetView>
  </sheetViews>
  <sheetFormatPr defaultRowHeight="14.4" customHeight="1" x14ac:dyDescent="0.3"/>
  <cols>
    <col min="1" max="3" width="1.33203125" customWidth="1"/>
    <col min="4" max="4" width="35.77734375" customWidth="1"/>
    <col min="5" max="19" width="9.33203125" customWidth="1"/>
    <col min="38" max="38" width="15.33203125" customWidth="1"/>
  </cols>
  <sheetData>
    <row r="4" spans="4:38" ht="16.8" customHeight="1" x14ac:dyDescent="0.3">
      <c r="D4" s="378" t="s">
        <v>205</v>
      </c>
      <c r="E4" s="378"/>
      <c r="F4" s="378"/>
      <c r="G4" s="378"/>
      <c r="H4" s="378"/>
      <c r="I4" s="378"/>
      <c r="J4" s="378"/>
      <c r="K4" s="378"/>
      <c r="L4" s="378"/>
      <c r="M4" s="378"/>
      <c r="N4" s="378"/>
      <c r="O4" s="378"/>
      <c r="P4" s="378"/>
      <c r="Q4" s="378"/>
      <c r="R4" s="378"/>
      <c r="S4" s="378"/>
      <c r="U4" s="275"/>
      <c r="V4" s="378" t="s">
        <v>411</v>
      </c>
      <c r="W4" s="378"/>
      <c r="X4" s="378"/>
      <c r="Y4" s="378"/>
      <c r="Z4" s="378"/>
      <c r="AA4" s="378"/>
      <c r="AB4" s="378"/>
      <c r="AC4" s="378"/>
      <c r="AD4" s="378"/>
      <c r="AE4" s="378"/>
      <c r="AF4" s="378"/>
      <c r="AG4" s="378"/>
      <c r="AH4" s="378"/>
      <c r="AI4" s="378"/>
      <c r="AJ4" s="378"/>
      <c r="AK4" s="378"/>
      <c r="AL4" s="378"/>
    </row>
    <row r="5" spans="4:38" ht="14.4" customHeight="1" x14ac:dyDescent="0.3">
      <c r="D5" s="1"/>
      <c r="E5" s="33">
        <v>2020</v>
      </c>
      <c r="F5" s="5">
        <f t="shared" ref="F5:S5" si="0">E5+1</f>
        <v>2021</v>
      </c>
      <c r="G5" s="5">
        <f t="shared" si="0"/>
        <v>2022</v>
      </c>
      <c r="H5" s="5">
        <f t="shared" si="0"/>
        <v>2023</v>
      </c>
      <c r="I5" s="5">
        <f t="shared" si="0"/>
        <v>2024</v>
      </c>
      <c r="J5" s="5">
        <f t="shared" si="0"/>
        <v>2025</v>
      </c>
      <c r="K5" s="5">
        <f t="shared" si="0"/>
        <v>2026</v>
      </c>
      <c r="L5" s="5">
        <f t="shared" si="0"/>
        <v>2027</v>
      </c>
      <c r="M5" s="5">
        <f t="shared" si="0"/>
        <v>2028</v>
      </c>
      <c r="N5" s="5">
        <f t="shared" si="0"/>
        <v>2029</v>
      </c>
      <c r="O5" s="5">
        <f t="shared" si="0"/>
        <v>2030</v>
      </c>
      <c r="P5" s="5">
        <f t="shared" si="0"/>
        <v>2031</v>
      </c>
      <c r="Q5" s="5">
        <f t="shared" si="0"/>
        <v>2032</v>
      </c>
      <c r="R5" s="5">
        <f t="shared" si="0"/>
        <v>2033</v>
      </c>
      <c r="S5" s="5">
        <f t="shared" si="0"/>
        <v>2034</v>
      </c>
    </row>
    <row r="6" spans="4:38" ht="14.4" customHeight="1" x14ac:dyDescent="0.3">
      <c r="D6" s="8" t="s">
        <v>1</v>
      </c>
      <c r="E6" s="34" t="s">
        <v>110</v>
      </c>
      <c r="F6" s="10" t="s">
        <v>110</v>
      </c>
      <c r="G6" s="10" t="s">
        <v>110</v>
      </c>
      <c r="H6" s="10" t="s">
        <v>110</v>
      </c>
      <c r="I6" s="10" t="s">
        <v>110</v>
      </c>
      <c r="J6" s="93" t="s">
        <v>111</v>
      </c>
      <c r="K6" s="93" t="s">
        <v>111</v>
      </c>
      <c r="L6" s="93" t="s">
        <v>111</v>
      </c>
      <c r="M6" s="93" t="s">
        <v>111</v>
      </c>
      <c r="N6" s="93" t="s">
        <v>111</v>
      </c>
      <c r="O6" s="93" t="s">
        <v>111</v>
      </c>
      <c r="P6" s="93" t="s">
        <v>111</v>
      </c>
      <c r="Q6" s="93" t="s">
        <v>111</v>
      </c>
      <c r="R6" s="93" t="s">
        <v>111</v>
      </c>
      <c r="S6" s="93" t="s">
        <v>111</v>
      </c>
      <c r="T6" s="125" t="s">
        <v>283</v>
      </c>
    </row>
    <row r="7" spans="4:38" ht="14.4" customHeight="1" x14ac:dyDescent="0.3">
      <c r="E7" s="101"/>
      <c r="J7" s="90"/>
      <c r="K7" s="90"/>
      <c r="L7" s="90"/>
      <c r="M7" s="90"/>
      <c r="N7" s="90"/>
      <c r="O7" s="90"/>
      <c r="P7" s="90"/>
      <c r="Q7" s="90"/>
      <c r="R7" s="90"/>
      <c r="S7" s="90"/>
      <c r="T7" s="127"/>
    </row>
    <row r="8" spans="4:38" ht="14.4" customHeight="1" x14ac:dyDescent="0.3">
      <c r="D8" s="5" t="s">
        <v>259</v>
      </c>
      <c r="E8" s="101"/>
      <c r="J8" s="90"/>
      <c r="K8" s="90"/>
      <c r="L8" s="90"/>
      <c r="M8" s="90"/>
      <c r="N8" s="90"/>
      <c r="O8" s="90"/>
      <c r="P8" s="90"/>
      <c r="Q8" s="90"/>
      <c r="R8" s="90"/>
      <c r="S8" s="90"/>
      <c r="T8" s="126"/>
    </row>
    <row r="9" spans="4:38" ht="40.799999999999997" customHeight="1" x14ac:dyDescent="0.3">
      <c r="D9" s="1" t="s">
        <v>260</v>
      </c>
      <c r="E9" s="433">
        <f>'Cost Buildup'!E13</f>
        <v>0.35051093625095114</v>
      </c>
      <c r="F9" s="284">
        <f>'Cost Buildup'!F13</f>
        <v>0.36615383203977897</v>
      </c>
      <c r="G9" s="284">
        <f>'Cost Buildup'!G13</f>
        <v>0.33448488187445319</v>
      </c>
      <c r="H9" s="284">
        <f>'Cost Buildup'!H13</f>
        <v>0.32804174938787378</v>
      </c>
      <c r="I9" s="284">
        <f>'Cost Buildup'!I13</f>
        <v>0.35880091553521026</v>
      </c>
      <c r="J9" s="362">
        <f>'Cost Buildup'!J13</f>
        <v>0.34759846301765351</v>
      </c>
      <c r="K9" s="362">
        <f>'Cost Buildup'!K13</f>
        <v>0.34759846301765351</v>
      </c>
      <c r="L9" s="362">
        <f>'Cost Buildup'!L13</f>
        <v>0.34759846301765351</v>
      </c>
      <c r="M9" s="362">
        <f>'Cost Buildup'!M13</f>
        <v>0.34759846301765351</v>
      </c>
      <c r="N9" s="362">
        <f>'Cost Buildup'!N13</f>
        <v>0.34759846301765351</v>
      </c>
      <c r="O9" s="362">
        <f>'Cost Buildup'!O13</f>
        <v>0.34759846301765351</v>
      </c>
      <c r="P9" s="362">
        <f>'Cost Buildup'!P13</f>
        <v>0.34759846301765351</v>
      </c>
      <c r="Q9" s="362">
        <f>'Cost Buildup'!Q13</f>
        <v>0.34759846301765351</v>
      </c>
      <c r="R9" s="362">
        <f>'Cost Buildup'!R13</f>
        <v>0.34759846301765351</v>
      </c>
      <c r="S9" s="362">
        <f>'Cost Buildup'!S13</f>
        <v>0.34759846301765351</v>
      </c>
      <c r="T9" s="126"/>
      <c r="V9" s="421" t="s">
        <v>438</v>
      </c>
      <c r="W9" s="422"/>
      <c r="X9" s="422"/>
      <c r="Y9" s="422"/>
      <c r="Z9" s="422"/>
      <c r="AA9" s="422"/>
      <c r="AB9" s="422"/>
      <c r="AC9" s="422"/>
      <c r="AD9" s="422"/>
      <c r="AE9" s="422"/>
      <c r="AF9" s="422"/>
      <c r="AG9" s="422"/>
      <c r="AH9" s="422"/>
      <c r="AI9" s="422"/>
      <c r="AJ9" s="422"/>
      <c r="AK9" s="422"/>
      <c r="AL9" s="423"/>
    </row>
    <row r="10" spans="4:38" ht="46.8" customHeight="1" x14ac:dyDescent="0.3">
      <c r="D10" s="1" t="s">
        <v>261</v>
      </c>
      <c r="E10" s="433">
        <f>'Income Statement'!E13/'Income Statement'!E8</f>
        <v>0.11349045064481028</v>
      </c>
      <c r="F10" s="284">
        <f>'Income Statement'!F13/'Income Statement'!F8</f>
        <v>0.13349525696776196</v>
      </c>
      <c r="G10" s="284">
        <f>'Income Statement'!G13/'Income Statement'!G8</f>
        <v>0.1439770554493309</v>
      </c>
      <c r="H10" s="284">
        <f>'Income Statement'!H13/'Income Statement'!H8</f>
        <v>0.16054111571018859</v>
      </c>
      <c r="I10" s="284">
        <f>'Income Statement'!I13/'Income Statement'!I8</f>
        <v>0.19662451945512313</v>
      </c>
      <c r="J10" s="362">
        <f>'Income Statement'!J13/'Income Statement'!J8</f>
        <v>0.16484287051249405</v>
      </c>
      <c r="K10" s="362">
        <f>'Income Statement'!K13/'Income Statement'!K8</f>
        <v>0.16484287051249408</v>
      </c>
      <c r="L10" s="362">
        <f>'Income Statement'!L13/'Income Statement'!L8</f>
        <v>0.16484287051249408</v>
      </c>
      <c r="M10" s="362">
        <f>'Income Statement'!M13/'Income Statement'!M8</f>
        <v>0.16484287051249405</v>
      </c>
      <c r="N10" s="362">
        <f>'Income Statement'!N13/'Income Statement'!N8</f>
        <v>0.16484287051249408</v>
      </c>
      <c r="O10" s="362">
        <f>'Income Statement'!O13/'Income Statement'!O8</f>
        <v>0.16484287051249411</v>
      </c>
      <c r="P10" s="362">
        <f>'Income Statement'!P13/'Income Statement'!P8</f>
        <v>0.16484287051249413</v>
      </c>
      <c r="Q10" s="362">
        <f>'Income Statement'!Q13/'Income Statement'!Q8</f>
        <v>0.16484287051249408</v>
      </c>
      <c r="R10" s="362">
        <f>'Income Statement'!R13/'Income Statement'!R8</f>
        <v>0.16484287051249411</v>
      </c>
      <c r="S10" s="362">
        <f>'Income Statement'!S13/'Income Statement'!S8</f>
        <v>0.16484287051249413</v>
      </c>
      <c r="T10" s="126"/>
      <c r="V10" s="421" t="s">
        <v>439</v>
      </c>
      <c r="W10" s="422"/>
      <c r="X10" s="422"/>
      <c r="Y10" s="422"/>
      <c r="Z10" s="422"/>
      <c r="AA10" s="422"/>
      <c r="AB10" s="422"/>
      <c r="AC10" s="422"/>
      <c r="AD10" s="422"/>
      <c r="AE10" s="422"/>
      <c r="AF10" s="422"/>
      <c r="AG10" s="422"/>
      <c r="AH10" s="422"/>
      <c r="AI10" s="422"/>
      <c r="AJ10" s="422"/>
      <c r="AK10" s="422"/>
      <c r="AL10" s="423"/>
    </row>
    <row r="11" spans="4:38" ht="31.2" customHeight="1" x14ac:dyDescent="0.3">
      <c r="D11" s="1" t="s">
        <v>262</v>
      </c>
      <c r="E11" s="433">
        <f>'Income Statement'!E15/'Income Statement'!E8</f>
        <v>9.0263799131263964E-2</v>
      </c>
      <c r="F11" s="284">
        <f>'Income Statement'!F15/'Income Statement'!F8</f>
        <v>0.10432377387570861</v>
      </c>
      <c r="G11" s="284">
        <f>'Income Statement'!G15/'Income Statement'!G8</f>
        <v>0.12200149074764247</v>
      </c>
      <c r="H11" s="284">
        <f>'Income Statement'!H15/'Income Statement'!H8</f>
        <v>0.14226546527381947</v>
      </c>
      <c r="I11" s="284">
        <f>'Income Statement'!I15/'Income Statement'!I8</f>
        <v>0.17893824581675952</v>
      </c>
      <c r="J11" s="362">
        <f>'Income Statement'!J15/'Income Statement'!J8</f>
        <v>0.14779318421210011</v>
      </c>
      <c r="K11" s="362">
        <f>'Income Statement'!K15/'Income Statement'!K8</f>
        <v>0.15042163286663551</v>
      </c>
      <c r="L11" s="362">
        <f>'Income Statement'!L15/'Income Statement'!L8</f>
        <v>0.15245602448150078</v>
      </c>
      <c r="M11" s="362">
        <f>'Income Statement'!M15/'Income Statement'!M8</f>
        <v>0.15270723699858618</v>
      </c>
      <c r="N11" s="362">
        <f>'Income Statement'!N15/'Income Statement'!N8</f>
        <v>0.15424369619127923</v>
      </c>
      <c r="O11" s="362">
        <f>'Income Statement'!O15/'Income Statement'!O8</f>
        <v>0.15546967994178224</v>
      </c>
      <c r="P11" s="362">
        <f>'Income Statement'!P15/'Income Statement'!P8</f>
        <v>0.15552915385056543</v>
      </c>
      <c r="Q11" s="362">
        <f>'Income Statement'!Q15/'Income Statement'!Q8</f>
        <v>0.15651042441678514</v>
      </c>
      <c r="R11" s="362">
        <f>'Income Statement'!R15/'Income Statement'!R8</f>
        <v>0.15731084256140332</v>
      </c>
      <c r="S11" s="362">
        <f>'Income Statement'!S15/'Income Statement'!S8</f>
        <v>0.15728332530951966</v>
      </c>
      <c r="T11" s="126"/>
      <c r="V11" s="421" t="s">
        <v>464</v>
      </c>
      <c r="W11" s="422"/>
      <c r="X11" s="422"/>
      <c r="Y11" s="422"/>
      <c r="Z11" s="422"/>
      <c r="AA11" s="422"/>
      <c r="AB11" s="422"/>
      <c r="AC11" s="422"/>
      <c r="AD11" s="422"/>
      <c r="AE11" s="422"/>
      <c r="AF11" s="422"/>
      <c r="AG11" s="422"/>
      <c r="AH11" s="422"/>
      <c r="AI11" s="422"/>
      <c r="AJ11" s="422"/>
      <c r="AK11" s="422"/>
      <c r="AL11" s="423"/>
    </row>
    <row r="12" spans="4:38" ht="33.6" customHeight="1" x14ac:dyDescent="0.3">
      <c r="D12" s="1" t="s">
        <v>263</v>
      </c>
      <c r="E12" s="433">
        <f>'Income Statement'!E19/'Income Statement'!E8</f>
        <v>0.15554035962977594</v>
      </c>
      <c r="F12" s="284">
        <f>'Income Statement'!F19/'Income Statement'!F8</f>
        <v>0.18921671161997017</v>
      </c>
      <c r="G12" s="284">
        <f>'Income Statement'!G19/'Income Statement'!G8</f>
        <v>0.19565414654697486</v>
      </c>
      <c r="H12" s="284">
        <f>'Income Statement'!H19/'Income Statement'!H8</f>
        <v>0.20474415504709798</v>
      </c>
      <c r="I12" s="284">
        <f>'Income Statement'!I19/'Income Statement'!I8</f>
        <v>0.24495122330614866</v>
      </c>
      <c r="J12" s="362">
        <f>'Income Statement'!J19/'Income Statement'!J8</f>
        <v>0.2155621854251995</v>
      </c>
      <c r="K12" s="362">
        <f>'Income Statement'!K19/'Income Statement'!K8</f>
        <v>0.21852916184463395</v>
      </c>
      <c r="L12" s="362">
        <f>'Income Statement'!L19/'Income Statement'!L8</f>
        <v>0.22083095542703329</v>
      </c>
      <c r="M12" s="362">
        <f>'Income Statement'!M19/'Income Statement'!M8</f>
        <v>0.22129601584564093</v>
      </c>
      <c r="N12" s="362">
        <f>'Income Statement'!N19/'Income Statement'!N8</f>
        <v>0.22300542570631915</v>
      </c>
      <c r="O12" s="362">
        <f>'Income Statement'!O19/'Income Statement'!O8</f>
        <v>0.22437271643146653</v>
      </c>
      <c r="P12" s="362">
        <f>'Income Statement'!P19/'Income Statement'!P8</f>
        <v>0.22454871405715732</v>
      </c>
      <c r="Q12" s="362">
        <f>'Income Statement'!Q19/'Income Statement'!Q8</f>
        <v>0.22562687826248373</v>
      </c>
      <c r="R12" s="362">
        <f>'Income Statement'!R19/'Income Statement'!R8</f>
        <v>0.22650847852126299</v>
      </c>
      <c r="S12" s="362">
        <f>'Income Statement'!S19/'Income Statement'!S8</f>
        <v>0.22654944608175903</v>
      </c>
      <c r="T12" s="126"/>
      <c r="V12" s="421" t="s">
        <v>440</v>
      </c>
      <c r="W12" s="422"/>
      <c r="X12" s="422"/>
      <c r="Y12" s="422"/>
      <c r="Z12" s="422"/>
      <c r="AA12" s="422"/>
      <c r="AB12" s="422"/>
      <c r="AC12" s="422"/>
      <c r="AD12" s="422"/>
      <c r="AE12" s="422"/>
      <c r="AF12" s="422"/>
      <c r="AG12" s="422"/>
      <c r="AH12" s="422"/>
      <c r="AI12" s="422"/>
      <c r="AJ12" s="422"/>
      <c r="AK12" s="422"/>
      <c r="AL12" s="423"/>
    </row>
    <row r="13" spans="4:38" ht="26.4" customHeight="1" x14ac:dyDescent="0.3">
      <c r="D13" s="1" t="s">
        <v>264</v>
      </c>
      <c r="E13" s="433">
        <f>'Cost Buildup'!E27</f>
        <v>0.1261579234160598</v>
      </c>
      <c r="F13" s="284">
        <f>'Cost Buildup'!F27</f>
        <v>0.23026666666666679</v>
      </c>
      <c r="G13" s="284">
        <f>'Cost Buildup'!G27</f>
        <v>0.2262932105411358</v>
      </c>
      <c r="H13" s="284">
        <f>'Cost Buildup'!H27</f>
        <v>0.22820478982460776</v>
      </c>
      <c r="I13" s="284">
        <f>'Cost Buildup'!I27</f>
        <v>0.21955357183356705</v>
      </c>
      <c r="J13" s="362">
        <f>'Cost Buildup'!J27</f>
        <v>0.22455357183356706</v>
      </c>
      <c r="K13" s="362">
        <f>'Cost Buildup'!K27</f>
        <v>0.22455357183356706</v>
      </c>
      <c r="L13" s="362">
        <f>'Cost Buildup'!L27</f>
        <v>0.22455357183356706</v>
      </c>
      <c r="M13" s="362">
        <f>'Cost Buildup'!M27</f>
        <v>0.22955357183356706</v>
      </c>
      <c r="N13" s="362">
        <f>'Cost Buildup'!N27</f>
        <v>0.22955357183356706</v>
      </c>
      <c r="O13" s="362">
        <f>'Cost Buildup'!O27</f>
        <v>0.22955357183356706</v>
      </c>
      <c r="P13" s="362">
        <f>'Cost Buildup'!P27</f>
        <v>0.23455357183356706</v>
      </c>
      <c r="Q13" s="362">
        <f>'Cost Buildup'!Q27</f>
        <v>0.23455357183356706</v>
      </c>
      <c r="R13" s="362">
        <f>'Cost Buildup'!R27</f>
        <v>0.23455357183356706</v>
      </c>
      <c r="S13" s="362">
        <f>'Cost Buildup'!S27</f>
        <v>0.23955357183356707</v>
      </c>
      <c r="T13" s="126"/>
      <c r="V13" s="421" t="s">
        <v>441</v>
      </c>
      <c r="W13" s="422"/>
      <c r="X13" s="422"/>
      <c r="Y13" s="422"/>
      <c r="Z13" s="422"/>
      <c r="AA13" s="422"/>
      <c r="AB13" s="422"/>
      <c r="AC13" s="422"/>
      <c r="AD13" s="422"/>
      <c r="AE13" s="422"/>
      <c r="AF13" s="422"/>
      <c r="AG13" s="422"/>
      <c r="AH13" s="422"/>
      <c r="AI13" s="422"/>
      <c r="AJ13" s="422"/>
      <c r="AK13" s="422"/>
      <c r="AL13" s="423"/>
    </row>
    <row r="14" spans="4:38" ht="32.4" customHeight="1" x14ac:dyDescent="0.3">
      <c r="D14" s="1" t="s">
        <v>265</v>
      </c>
      <c r="E14" s="433">
        <f>'Income Statement'!E21/'Income Statement'!E8</f>
        <v>0.13591771085149629</v>
      </c>
      <c r="F14" s="284">
        <f>'Income Statement'!F21/'Income Statement'!F8</f>
        <v>0.14564641015761168</v>
      </c>
      <c r="G14" s="284">
        <f>'Income Statement'!G21/'Income Statement'!G8</f>
        <v>0.15137894156917403</v>
      </c>
      <c r="H14" s="284">
        <f>'Income Statement'!H21/'Income Statement'!H8</f>
        <v>0.15802055817675809</v>
      </c>
      <c r="I14" s="284">
        <f>'Income Statement'!I21/'Income Statement'!I8</f>
        <v>0.19117130730428203</v>
      </c>
      <c r="J14" s="362">
        <f>'Income Statement'!J21/'Income Statement'!J8</f>
        <v>0.16715692673572127</v>
      </c>
      <c r="K14" s="362">
        <f>'Income Statement'!K21/'Income Statement'!K8</f>
        <v>0.16945765800262574</v>
      </c>
      <c r="L14" s="362">
        <f>'Income Statement'!L21/'Income Statement'!L8</f>
        <v>0.17124257561447373</v>
      </c>
      <c r="M14" s="362">
        <f>'Income Statement'!M21/'Income Statement'!M8</f>
        <v>0.1704967249757364</v>
      </c>
      <c r="N14" s="362">
        <f>'Income Statement'!N21/'Income Statement'!N8</f>
        <v>0.1718137336971684</v>
      </c>
      <c r="O14" s="362">
        <f>'Income Statement'!O21/'Income Statement'!O8</f>
        <v>0.17286715795262331</v>
      </c>
      <c r="P14" s="362">
        <f>'Income Statement'!P21/'Income Statement'!P8</f>
        <v>0.17188001112441675</v>
      </c>
      <c r="Q14" s="362">
        <f>'Income Statement'!Q21/'Income Statement'!Q8</f>
        <v>0.17270528806436075</v>
      </c>
      <c r="R14" s="362">
        <f>'Income Statement'!R21/'Income Statement'!R8</f>
        <v>0.17338010583351396</v>
      </c>
      <c r="S14" s="362">
        <f>'Income Statement'!S21/'Income Statement'!S8</f>
        <v>0.17227871707595754</v>
      </c>
      <c r="T14" s="126"/>
      <c r="V14" s="421" t="s">
        <v>442</v>
      </c>
      <c r="W14" s="422"/>
      <c r="X14" s="422"/>
      <c r="Y14" s="422"/>
      <c r="Z14" s="422"/>
      <c r="AA14" s="422"/>
      <c r="AB14" s="422"/>
      <c r="AC14" s="422"/>
      <c r="AD14" s="422"/>
      <c r="AE14" s="422"/>
      <c r="AF14" s="422"/>
      <c r="AG14" s="422"/>
      <c r="AH14" s="422"/>
      <c r="AI14" s="422"/>
      <c r="AJ14" s="422"/>
      <c r="AK14" s="422"/>
      <c r="AL14" s="423"/>
    </row>
    <row r="15" spans="4:38" ht="14.4" customHeight="1" x14ac:dyDescent="0.3">
      <c r="D15" s="1"/>
      <c r="E15" s="35"/>
      <c r="F15" s="1"/>
      <c r="G15" s="1"/>
      <c r="H15" s="1"/>
      <c r="I15" s="1"/>
      <c r="J15" s="49"/>
      <c r="K15" s="49"/>
      <c r="L15" s="49"/>
      <c r="M15" s="49"/>
      <c r="N15" s="49"/>
      <c r="O15" s="49"/>
      <c r="P15" s="49"/>
      <c r="Q15" s="49"/>
      <c r="R15" s="49"/>
      <c r="S15" s="49"/>
      <c r="T15" s="126"/>
      <c r="V15" s="424"/>
      <c r="W15" s="425"/>
      <c r="X15" s="425"/>
      <c r="Y15" s="425"/>
      <c r="Z15" s="425"/>
      <c r="AA15" s="425"/>
      <c r="AB15" s="425"/>
      <c r="AC15" s="425"/>
      <c r="AD15" s="425"/>
      <c r="AE15" s="425"/>
      <c r="AF15" s="425"/>
      <c r="AG15" s="425"/>
      <c r="AH15" s="425"/>
      <c r="AI15" s="425"/>
      <c r="AJ15" s="425"/>
      <c r="AK15" s="425"/>
      <c r="AL15" s="426"/>
    </row>
    <row r="16" spans="4:38" ht="14.4" customHeight="1" x14ac:dyDescent="0.3">
      <c r="D16" s="5" t="s">
        <v>266</v>
      </c>
      <c r="E16" s="35"/>
      <c r="F16" s="1"/>
      <c r="G16" s="1"/>
      <c r="H16" s="1"/>
      <c r="I16" s="1"/>
      <c r="J16" s="49"/>
      <c r="K16" s="49"/>
      <c r="L16" s="49"/>
      <c r="M16" s="49"/>
      <c r="N16" s="49"/>
      <c r="O16" s="49"/>
      <c r="P16" s="49"/>
      <c r="Q16" s="49"/>
      <c r="R16" s="49"/>
      <c r="S16" s="49"/>
      <c r="T16" s="126"/>
      <c r="V16" s="424"/>
      <c r="W16" s="425"/>
      <c r="X16" s="425"/>
      <c r="Y16" s="425"/>
      <c r="Z16" s="425"/>
      <c r="AA16" s="425"/>
      <c r="AB16" s="425"/>
      <c r="AC16" s="425"/>
      <c r="AD16" s="425"/>
      <c r="AE16" s="425"/>
      <c r="AF16" s="425"/>
      <c r="AG16" s="425"/>
      <c r="AH16" s="425"/>
      <c r="AI16" s="425"/>
      <c r="AJ16" s="425"/>
      <c r="AK16" s="425"/>
      <c r="AL16" s="426"/>
    </row>
    <row r="17" spans="4:38" ht="27.6" customHeight="1" x14ac:dyDescent="0.3">
      <c r="D17" s="1" t="s">
        <v>267</v>
      </c>
      <c r="E17" s="35"/>
      <c r="F17" s="284">
        <f>'Income Statement'!F19/AVERAGE('Balance Sheet'!E23:F23)</f>
        <v>0.1357769899969388</v>
      </c>
      <c r="G17" s="284">
        <f>'Income Statement'!G19/AVERAGE('Balance Sheet'!F23:G23)</f>
        <v>0.18479362115670114</v>
      </c>
      <c r="H17" s="284">
        <f>'Income Statement'!H19/AVERAGE('Balance Sheet'!G23:H23)</f>
        <v>0.21173962768027679</v>
      </c>
      <c r="I17" s="284">
        <f>'Income Statement'!I19/AVERAGE('Balance Sheet'!H23:I23)</f>
        <v>0.2610682005903196</v>
      </c>
      <c r="J17" s="362">
        <f>'Income Statement'!J19/AVERAGE('Balance Sheet'!I23:J23)</f>
        <v>0.24364408601900217</v>
      </c>
      <c r="K17" s="362">
        <f>'Income Statement'!K19/AVERAGE('Balance Sheet'!J23:K23)</f>
        <v>0.24926669298329776</v>
      </c>
      <c r="L17" s="362">
        <f>'Income Statement'!L19/AVERAGE('Balance Sheet'!K23:L23)</f>
        <v>0.25080681650141495</v>
      </c>
      <c r="M17" s="362">
        <f>'Income Statement'!M19/AVERAGE('Balance Sheet'!L23:M23)</f>
        <v>0.25423733580972385</v>
      </c>
      <c r="N17" s="362">
        <f>'Income Statement'!N19/AVERAGE('Balance Sheet'!M23:N23)</f>
        <v>0.25267453483314228</v>
      </c>
      <c r="O17" s="362">
        <f>'Income Statement'!O19/AVERAGE('Balance Sheet'!N23:O23)</f>
        <v>0.24798699961182952</v>
      </c>
      <c r="P17" s="362">
        <f>'Income Statement'!P19/AVERAGE('Balance Sheet'!O23:P23)</f>
        <v>0.24268248040341933</v>
      </c>
      <c r="Q17" s="362">
        <f>'Income Statement'!Q19/AVERAGE('Balance Sheet'!P23:Q23)</f>
        <v>0.23683013322804813</v>
      </c>
      <c r="R17" s="362">
        <f>'Income Statement'!R19/AVERAGE('Balance Sheet'!Q23:R23)</f>
        <v>0.23009383166680125</v>
      </c>
      <c r="S17" s="362">
        <f>'Income Statement'!S19/AVERAGE('Balance Sheet'!R23:S23)</f>
        <v>0.22220907031099646</v>
      </c>
      <c r="T17" s="126"/>
      <c r="V17" s="421" t="s">
        <v>444</v>
      </c>
      <c r="W17" s="422"/>
      <c r="X17" s="422"/>
      <c r="Y17" s="422"/>
      <c r="Z17" s="422"/>
      <c r="AA17" s="422"/>
      <c r="AB17" s="422"/>
      <c r="AC17" s="422"/>
      <c r="AD17" s="422"/>
      <c r="AE17" s="422"/>
      <c r="AF17" s="422"/>
      <c r="AG17" s="422"/>
      <c r="AH17" s="422"/>
      <c r="AI17" s="422"/>
      <c r="AJ17" s="422"/>
      <c r="AK17" s="422"/>
      <c r="AL17" s="423"/>
    </row>
    <row r="18" spans="4:38" ht="31.2" customHeight="1" x14ac:dyDescent="0.3">
      <c r="D18" s="1" t="s">
        <v>268</v>
      </c>
      <c r="E18" s="35"/>
      <c r="F18" s="284">
        <f>'Income Statement'!F19/AVERAGE(SUM('Balance Sheet'!E35:E37,'Balance Sheet'!F35:F37))</f>
        <v>9.1125885163711742E-2</v>
      </c>
      <c r="G18" s="284">
        <f>'Income Statement'!G19/AVERAGE(SUM('Balance Sheet'!F35:F37,'Balance Sheet'!G35:G37))</f>
        <v>0.12325623651282019</v>
      </c>
      <c r="H18" s="284">
        <f>'Income Statement'!H19/AVERAGE(SUM('Balance Sheet'!G35:G37,'Balance Sheet'!H35:H37))</f>
        <v>0.14594692755619673</v>
      </c>
      <c r="I18" s="284">
        <f>'Income Statement'!I19/AVERAGE(SUM('Balance Sheet'!H35:H37,'Balance Sheet'!I35:I37))</f>
        <v>0.17821424414092804</v>
      </c>
      <c r="J18" s="362">
        <f>'Income Statement'!J19/AVERAGE(SUM('Balance Sheet'!I35:I37,'Balance Sheet'!J35:J37))</f>
        <v>0.16275562869204721</v>
      </c>
      <c r="K18" s="362">
        <f>'Income Statement'!K19/AVERAGE(SUM('Balance Sheet'!J35:J37,'Balance Sheet'!K35:K37))</f>
        <v>0.16693151226435979</v>
      </c>
      <c r="L18" s="362">
        <f>'Income Statement'!L19/AVERAGE(SUM('Balance Sheet'!K35:K37,'Balance Sheet'!L35:L37))</f>
        <v>0.16802733491155553</v>
      </c>
      <c r="M18" s="362">
        <f>'Income Statement'!M19/AVERAGE(SUM('Balance Sheet'!L35:L37,'Balance Sheet'!M35:M37))</f>
        <v>0.165819912403874</v>
      </c>
      <c r="N18" s="362">
        <f>'Income Statement'!N19/AVERAGE(SUM('Balance Sheet'!M35:M37,'Balance Sheet'!N35:N37))</f>
        <v>0.16310245105220073</v>
      </c>
      <c r="O18" s="362">
        <f>'Income Statement'!O19/AVERAGE(SUM('Balance Sheet'!N35:N37,'Balance Sheet'!O35:O37))</f>
        <v>0.15898259130525094</v>
      </c>
      <c r="P18" s="362">
        <f>'Income Statement'!P19/AVERAGE(SUM('Balance Sheet'!O35:O37,'Balance Sheet'!P35:P37))</f>
        <v>0.15337734925331967</v>
      </c>
      <c r="Q18" s="362">
        <f>'Income Statement'!Q19/AVERAGE(SUM('Balance Sheet'!P35:P37,'Balance Sheet'!Q35:Q37))</f>
        <v>0.14801119431829779</v>
      </c>
      <c r="R18" s="362">
        <f>'Income Statement'!R19/AVERAGE(SUM('Balance Sheet'!Q35:Q37,'Balance Sheet'!R35:R37))</f>
        <v>0.1422451942670194</v>
      </c>
      <c r="S18" s="362">
        <f>'Income Statement'!S19/AVERAGE(SUM('Balance Sheet'!R35:R37,'Balance Sheet'!S35:S37))</f>
        <v>0.13595374502929666</v>
      </c>
      <c r="T18" s="126"/>
      <c r="V18" s="421" t="s">
        <v>443</v>
      </c>
      <c r="W18" s="422"/>
      <c r="X18" s="422"/>
      <c r="Y18" s="422"/>
      <c r="Z18" s="422"/>
      <c r="AA18" s="422"/>
      <c r="AB18" s="422"/>
      <c r="AC18" s="422"/>
      <c r="AD18" s="422"/>
      <c r="AE18" s="422"/>
      <c r="AF18" s="422"/>
      <c r="AG18" s="422"/>
      <c r="AH18" s="422"/>
      <c r="AI18" s="422"/>
      <c r="AJ18" s="422"/>
      <c r="AK18" s="422"/>
      <c r="AL18" s="423"/>
    </row>
    <row r="19" spans="4:38" ht="28.2" customHeight="1" x14ac:dyDescent="0.3">
      <c r="D19" s="1" t="s">
        <v>269</v>
      </c>
      <c r="E19" s="434">
        <f>'Income Statement'!E19/'Income Statement'!E21</f>
        <v>1.1443715366845708</v>
      </c>
      <c r="F19" s="199">
        <f>'Income Statement'!F19/'Income Statement'!F21</f>
        <v>1.2991512212021481</v>
      </c>
      <c r="G19" s="199">
        <f>'Income Statement'!G19/'Income Statement'!G21</f>
        <v>1.2924792875339854</v>
      </c>
      <c r="H19" s="199">
        <f>'Income Statement'!H19/'Income Statement'!H21</f>
        <v>1.2956804950535359</v>
      </c>
      <c r="I19" s="199">
        <f>'Income Statement'!I19/'Income Statement'!I21</f>
        <v>1.2813179276755515</v>
      </c>
      <c r="J19" s="270">
        <f>'Income Statement'!J19/'Income Statement'!J21</f>
        <v>1.2895797358491043</v>
      </c>
      <c r="K19" s="270">
        <f>'Income Statement'!K19/'Income Statement'!K21</f>
        <v>1.2895797358491043</v>
      </c>
      <c r="L19" s="270">
        <f>'Income Statement'!L19/'Income Statement'!L21</f>
        <v>1.2895797358491043</v>
      </c>
      <c r="M19" s="270">
        <f>'Income Statement'!M19/'Income Statement'!M21</f>
        <v>1.2979487780608914</v>
      </c>
      <c r="N19" s="270">
        <f>'Income Statement'!N19/'Income Statement'!N21</f>
        <v>1.2979487780608914</v>
      </c>
      <c r="O19" s="270">
        <f>'Income Statement'!O19/'Income Statement'!O21</f>
        <v>1.2979487780608914</v>
      </c>
      <c r="P19" s="270">
        <f>'Income Statement'!P19/'Income Statement'!P21</f>
        <v>1.3064271557128067</v>
      </c>
      <c r="Q19" s="270">
        <f>'Income Statement'!Q19/'Income Statement'!Q21</f>
        <v>1.3064271557128064</v>
      </c>
      <c r="R19" s="270">
        <f>'Income Statement'!R19/'Income Statement'!R21</f>
        <v>1.3064271557128062</v>
      </c>
      <c r="S19" s="270">
        <f>'Income Statement'!S19/'Income Statement'!S21</f>
        <v>1.3150170254743281</v>
      </c>
      <c r="T19" s="126"/>
      <c r="V19" s="421" t="s">
        <v>445</v>
      </c>
      <c r="W19" s="422"/>
      <c r="X19" s="422"/>
      <c r="Y19" s="422"/>
      <c r="Z19" s="422"/>
      <c r="AA19" s="422"/>
      <c r="AB19" s="422"/>
      <c r="AC19" s="422"/>
      <c r="AD19" s="422"/>
      <c r="AE19" s="422"/>
      <c r="AF19" s="422"/>
      <c r="AG19" s="422"/>
      <c r="AH19" s="422"/>
      <c r="AI19" s="422"/>
      <c r="AJ19" s="422"/>
      <c r="AK19" s="422"/>
      <c r="AL19" s="423"/>
    </row>
    <row r="20" spans="4:38" ht="32.4" customHeight="1" x14ac:dyDescent="0.3">
      <c r="D20" s="1" t="s">
        <v>270</v>
      </c>
      <c r="E20" s="35"/>
      <c r="F20" s="284">
        <f>'Income Statement'!E21/AVERAGE(SUM('Balance Sheet'!E35:E37,'Balance Sheet'!F35:F37))</f>
        <v>7.7938588885292981E-2</v>
      </c>
      <c r="G20" s="284">
        <f>'Income Statement'!F21/AVERAGE(SUM('Balance Sheet'!F35:F37,'Balance Sheet'!G35:G37))</f>
        <v>6.4823189068570472E-2</v>
      </c>
      <c r="H20" s="284">
        <f>'Income Statement'!G21/AVERAGE(SUM('Balance Sheet'!G35:G37,'Balance Sheet'!H35:H37))</f>
        <v>8.5683023623318338E-2</v>
      </c>
      <c r="I20" s="284">
        <f>'Income Statement'!H21/AVERAGE(SUM('Balance Sheet'!H35:H37,'Balance Sheet'!I35:I37))</f>
        <v>9.9280064928345985E-2</v>
      </c>
      <c r="J20" s="362">
        <f>'Income Statement'!I21/AVERAGE(SUM('Balance Sheet'!I35:I37,'Balance Sheet'!J35:J37))</f>
        <v>0.12179560170206309</v>
      </c>
      <c r="K20" s="362">
        <f>'Income Statement'!J21/AVERAGE(SUM('Balance Sheet'!J35:J37,'Balance Sheet'!K35:K37))</f>
        <v>0.11086206145808133</v>
      </c>
      <c r="L20" s="362">
        <f>'Income Statement'!K21/AVERAGE(SUM('Balance Sheet'!K35:K37,'Balance Sheet'!L35:L37))</f>
        <v>0.11347940106001979</v>
      </c>
      <c r="M20" s="362">
        <f>'Income Statement'!L21/AVERAGE(SUM('Balance Sheet'!L35:L37,'Balance Sheet'!M35:M37))</f>
        <v>0.11433541562600107</v>
      </c>
      <c r="N20" s="362">
        <f>'Income Statement'!M21/AVERAGE(SUM('Balance Sheet'!M35:M37,'Balance Sheet'!N35:N37))</f>
        <v>0.1123683212639023</v>
      </c>
      <c r="O20" s="362">
        <f>'Income Statement'!N21/AVERAGE(SUM('Balance Sheet'!N35:N37,'Balance Sheet'!O35:O37))</f>
        <v>0.11082667364321959</v>
      </c>
      <c r="P20" s="362">
        <f>'Income Statement'!O21/AVERAGE(SUM('Balance Sheet'!O35:O37,'Balance Sheet'!P35:P37))</f>
        <v>0.10848743004316701</v>
      </c>
      <c r="Q20" s="362">
        <f>'Income Statement'!P21/AVERAGE(SUM('Balance Sheet'!P35:P37,'Balance Sheet'!Q35:Q37))</f>
        <v>0.10446614823933173</v>
      </c>
      <c r="R20" s="362">
        <f>'Income Statement'!Q21/AVERAGE(SUM('Balance Sheet'!Q35:Q37,'Balance Sheet'!R35:R37))</f>
        <v>0.1012486888314011</v>
      </c>
      <c r="S20" s="362">
        <f>'Income Statement'!R21/AVERAGE(SUM('Balance Sheet'!R35:R37,'Balance Sheet'!S35:S37))</f>
        <v>9.7797305724607986E-2</v>
      </c>
      <c r="T20" s="126"/>
      <c r="V20" s="421" t="s">
        <v>446</v>
      </c>
      <c r="W20" s="422"/>
      <c r="X20" s="422"/>
      <c r="Y20" s="422"/>
      <c r="Z20" s="422"/>
      <c r="AA20" s="422"/>
      <c r="AB20" s="422"/>
      <c r="AC20" s="422"/>
      <c r="AD20" s="422"/>
      <c r="AE20" s="422"/>
      <c r="AF20" s="422"/>
      <c r="AG20" s="422"/>
      <c r="AH20" s="422"/>
      <c r="AI20" s="422"/>
      <c r="AJ20" s="422"/>
      <c r="AK20" s="422"/>
      <c r="AL20" s="423"/>
    </row>
    <row r="21" spans="4:38" ht="27.6" customHeight="1" x14ac:dyDescent="0.3">
      <c r="D21" s="1" t="s">
        <v>271</v>
      </c>
      <c r="E21" s="434">
        <f>'Balance Sheet'!E36/'Income Statement'!E21</f>
        <v>4.5269766584940667</v>
      </c>
      <c r="F21" s="199">
        <f>'Balance Sheet'!F36/'Income Statement'!F21</f>
        <v>5.4193345196289977</v>
      </c>
      <c r="G21" s="199">
        <f>'Balance Sheet'!G36/'Income Statement'!G21</f>
        <v>4.2090942176360997</v>
      </c>
      <c r="H21" s="199">
        <f>'Balance Sheet'!H36/'Income Statement'!H21</f>
        <v>3.6968285632862448</v>
      </c>
      <c r="I21" s="199">
        <f>'Balance Sheet'!I36/'Income Statement'!I21</f>
        <v>3.1290901905171538</v>
      </c>
      <c r="J21" s="270">
        <f>'Balance Sheet'!J36/'Income Statement'!J21</f>
        <v>3.5256791788318131</v>
      </c>
      <c r="K21" s="270">
        <f>'Balance Sheet'!K36/'Income Statement'!K21</f>
        <v>3.5254966221354094</v>
      </c>
      <c r="L21" s="270">
        <f>'Balance Sheet'!L36/'Income Statement'!L21</f>
        <v>3.5764678294922714</v>
      </c>
      <c r="M21" s="270">
        <f>'Balance Sheet'!M36/'Income Statement'!M21</f>
        <v>3.7067736674536826</v>
      </c>
      <c r="N21" s="270">
        <f>'Balance Sheet'!N36/'Income Statement'!N21</f>
        <v>3.8206376420580659</v>
      </c>
      <c r="O21" s="270">
        <f>'Balance Sheet'!O36/'Income Statement'!O21</f>
        <v>3.9629030584853395</v>
      </c>
      <c r="P21" s="270">
        <f>'Balance Sheet'!P36/'Income Statement'!P21</f>
        <v>4.1679799583518768</v>
      </c>
      <c r="Q21" s="270">
        <f>'Balance Sheet'!Q36/'Income Statement'!Q21</f>
        <v>4.34918245894234</v>
      </c>
      <c r="R21" s="270">
        <f>'Balance Sheet'!R36/'Income Statement'!R21</f>
        <v>4.5503044085180466</v>
      </c>
      <c r="S21" s="270">
        <f>'Balance Sheet'!S36/'Income Statement'!S21</f>
        <v>4.8103422381218053</v>
      </c>
      <c r="T21" s="126"/>
      <c r="V21" s="421" t="s">
        <v>447</v>
      </c>
      <c r="W21" s="422"/>
      <c r="X21" s="422"/>
      <c r="Y21" s="422"/>
      <c r="Z21" s="422"/>
      <c r="AA21" s="422"/>
      <c r="AB21" s="422"/>
      <c r="AC21" s="422"/>
      <c r="AD21" s="422"/>
      <c r="AE21" s="422"/>
      <c r="AF21" s="422"/>
      <c r="AG21" s="422"/>
      <c r="AH21" s="422"/>
      <c r="AI21" s="422"/>
      <c r="AJ21" s="422"/>
      <c r="AK21" s="422"/>
      <c r="AL21" s="423"/>
    </row>
    <row r="22" spans="4:38" ht="14.4" customHeight="1" x14ac:dyDescent="0.3">
      <c r="D22" s="1"/>
      <c r="E22" s="35"/>
      <c r="F22" s="1"/>
      <c r="G22" s="1"/>
      <c r="H22" s="1"/>
      <c r="I22" s="1"/>
      <c r="J22" s="49"/>
      <c r="K22" s="49"/>
      <c r="L22" s="49"/>
      <c r="M22" s="49"/>
      <c r="N22" s="49"/>
      <c r="O22" s="49"/>
      <c r="P22" s="49"/>
      <c r="Q22" s="49"/>
      <c r="R22" s="49"/>
      <c r="S22" s="49"/>
      <c r="T22" s="126"/>
      <c r="V22" s="424"/>
      <c r="W22" s="425"/>
      <c r="X22" s="425"/>
      <c r="Y22" s="425"/>
      <c r="Z22" s="425"/>
      <c r="AA22" s="425"/>
      <c r="AB22" s="425"/>
      <c r="AC22" s="425"/>
      <c r="AD22" s="425"/>
      <c r="AE22" s="425"/>
      <c r="AF22" s="425"/>
      <c r="AG22" s="425"/>
      <c r="AH22" s="425"/>
      <c r="AI22" s="425"/>
      <c r="AJ22" s="425"/>
      <c r="AK22" s="425"/>
      <c r="AL22" s="426"/>
    </row>
    <row r="23" spans="4:38" ht="14.4" customHeight="1" x14ac:dyDescent="0.3">
      <c r="D23" s="5" t="s">
        <v>272</v>
      </c>
      <c r="E23" s="35"/>
      <c r="F23" s="1"/>
      <c r="G23" s="1"/>
      <c r="H23" s="1"/>
      <c r="I23" s="1"/>
      <c r="J23" s="49"/>
      <c r="K23" s="49"/>
      <c r="L23" s="49"/>
      <c r="M23" s="49"/>
      <c r="N23" s="49"/>
      <c r="O23" s="49"/>
      <c r="P23" s="49"/>
      <c r="Q23" s="49"/>
      <c r="R23" s="49"/>
      <c r="S23" s="49"/>
      <c r="T23" s="126"/>
      <c r="V23" s="424"/>
      <c r="W23" s="425"/>
      <c r="X23" s="425"/>
      <c r="Y23" s="425"/>
      <c r="Z23" s="425"/>
      <c r="AA23" s="425"/>
      <c r="AB23" s="425"/>
      <c r="AC23" s="425"/>
      <c r="AD23" s="425"/>
      <c r="AE23" s="425"/>
      <c r="AF23" s="425"/>
      <c r="AG23" s="425"/>
      <c r="AH23" s="425"/>
      <c r="AI23" s="425"/>
      <c r="AJ23" s="425"/>
      <c r="AK23" s="425"/>
      <c r="AL23" s="426"/>
    </row>
    <row r="24" spans="4:38" ht="30.6" customHeight="1" x14ac:dyDescent="0.3">
      <c r="D24" s="1" t="s">
        <v>273</v>
      </c>
      <c r="E24" s="434">
        <f>SUM('Balance Sheet'!E10:E12,'Balance Sheet'!E14)/SUM('Balance Sheet'!E31:E32)</f>
        <v>2.5058798999165983</v>
      </c>
      <c r="F24" s="199">
        <f>SUM('Balance Sheet'!F10:F12,'Balance Sheet'!F14)/SUM('Balance Sheet'!F31:F32)</f>
        <v>9.9922989807474458</v>
      </c>
      <c r="G24" s="199">
        <f>SUM('Balance Sheet'!G10:G12,'Balance Sheet'!G14)/SUM('Balance Sheet'!G31:G32)</f>
        <v>4.5665670010288073</v>
      </c>
      <c r="H24" s="199">
        <f>SUM('Balance Sheet'!H10:H12,'Balance Sheet'!H14)/SUM('Balance Sheet'!H31:H32)</f>
        <v>4.9561550625329449</v>
      </c>
      <c r="I24" s="199">
        <f>SUM('Balance Sheet'!I10:I12,'Balance Sheet'!I14)/SUM('Balance Sheet'!I31:I32)</f>
        <v>9.2385709738240465</v>
      </c>
      <c r="J24" s="270">
        <f>SUM('Balance Sheet'!J10:J12,'Balance Sheet'!J14)/SUM('Balance Sheet'!J31:J32)</f>
        <v>10.948953869343789</v>
      </c>
      <c r="K24" s="270">
        <f>SUM('Balance Sheet'!K10:K12,'Balance Sheet'!K14)/SUM('Balance Sheet'!K31:K32)</f>
        <v>14.864030373258455</v>
      </c>
      <c r="L24" s="270">
        <f>SUM('Balance Sheet'!L10:L12,'Balance Sheet'!L14)/SUM('Balance Sheet'!L31:L32)</f>
        <v>17.702881813648958</v>
      </c>
      <c r="M24" s="270">
        <f>SUM('Balance Sheet'!M10:M12,'Balance Sheet'!M14)/SUM('Balance Sheet'!M31:M32)</f>
        <v>20.764826317649355</v>
      </c>
      <c r="N24" s="270">
        <f>SUM('Balance Sheet'!N10:N12,'Balance Sheet'!N14)/SUM('Balance Sheet'!N31:N32)</f>
        <v>25.389469384119408</v>
      </c>
      <c r="O24" s="270">
        <f>SUM('Balance Sheet'!O10:O12,'Balance Sheet'!O14)/SUM('Balance Sheet'!O31:O32)</f>
        <v>29.533485627868227</v>
      </c>
      <c r="P24" s="270">
        <f>SUM('Balance Sheet'!P10:P12,'Balance Sheet'!P14)/SUM('Balance Sheet'!P31:P32)</f>
        <v>34.276744340382599</v>
      </c>
      <c r="Q24" s="270">
        <f>SUM('Balance Sheet'!Q10:Q12,'Balance Sheet'!Q14)/SUM('Balance Sheet'!Q31:Q32)</f>
        <v>39.372621882204349</v>
      </c>
      <c r="R24" s="270">
        <f>SUM('Balance Sheet'!R10:R12,'Balance Sheet'!R14)/SUM('Balance Sheet'!R31:R32)</f>
        <v>44.809551369668021</v>
      </c>
      <c r="S24" s="270">
        <f>SUM('Balance Sheet'!S10:S12,'Balance Sheet'!S14)/SUM('Balance Sheet'!S31:S32)</f>
        <v>50.56427200889798</v>
      </c>
      <c r="T24" s="126"/>
      <c r="V24" s="421" t="s">
        <v>448</v>
      </c>
      <c r="W24" s="422"/>
      <c r="X24" s="422"/>
      <c r="Y24" s="422"/>
      <c r="Z24" s="422"/>
      <c r="AA24" s="422"/>
      <c r="AB24" s="422"/>
      <c r="AC24" s="422"/>
      <c r="AD24" s="422"/>
      <c r="AE24" s="422"/>
      <c r="AF24" s="422"/>
      <c r="AG24" s="422"/>
      <c r="AH24" s="422"/>
      <c r="AI24" s="422"/>
      <c r="AJ24" s="422"/>
      <c r="AK24" s="422"/>
      <c r="AL24" s="423"/>
    </row>
    <row r="25" spans="4:38" ht="25.8" customHeight="1" x14ac:dyDescent="0.3">
      <c r="D25" s="1" t="s">
        <v>274</v>
      </c>
      <c r="E25" s="434">
        <f>SUM('Balance Sheet'!E10:E14)/SUM('Balance Sheet'!E27:E28)</f>
        <v>2.2146785405209237</v>
      </c>
      <c r="F25" s="199">
        <f>SUM('Balance Sheet'!F10:F14)/SUM('Balance Sheet'!F27:F28)</f>
        <v>2.5551476353439275</v>
      </c>
      <c r="G25" s="199">
        <f>SUM('Balance Sheet'!G10:G14)/SUM('Balance Sheet'!G27:G28)</f>
        <v>2.660564783559118</v>
      </c>
      <c r="H25" s="199">
        <f>SUM('Balance Sheet'!H10:H14)/SUM('Balance Sheet'!H27:H28)</f>
        <v>2.611276583264357</v>
      </c>
      <c r="I25" s="199">
        <f>SUM('Balance Sheet'!I10:I14)/SUM('Balance Sheet'!I27:I28)</f>
        <v>2.4220894450712902</v>
      </c>
      <c r="J25" s="270">
        <f>SUM('Balance Sheet'!J10:J14)/SUM('Balance Sheet'!J27:J28)</f>
        <v>2.8853797772201348</v>
      </c>
      <c r="K25" s="270">
        <f>SUM('Balance Sheet'!K10:K14)/SUM('Balance Sheet'!K27:K28)</f>
        <v>2.8187885832831991</v>
      </c>
      <c r="L25" s="270">
        <f>SUM('Balance Sheet'!L10:L14)/SUM('Balance Sheet'!L27:L28)</f>
        <v>3.2112432186979065</v>
      </c>
      <c r="M25" s="270">
        <f>SUM('Balance Sheet'!M10:M14)/SUM('Balance Sheet'!M27:M28)</f>
        <v>3.6926924290982792</v>
      </c>
      <c r="N25" s="270">
        <f>SUM('Balance Sheet'!N10:N14)/SUM('Balance Sheet'!N27:N28)</f>
        <v>3.7445936865095604</v>
      </c>
      <c r="O25" s="270">
        <f>SUM('Balance Sheet'!O10:O14)/SUM('Balance Sheet'!O27:O28)</f>
        <v>4.1065606854095957</v>
      </c>
      <c r="P25" s="270">
        <f>SUM('Balance Sheet'!P10:P14)/SUM('Balance Sheet'!P27:P28)</f>
        <v>4.3921006980944828</v>
      </c>
      <c r="Q25" s="270">
        <f>SUM('Balance Sheet'!Q10:Q14)/SUM('Balance Sheet'!Q27:Q28)</f>
        <v>4.6824796196522271</v>
      </c>
      <c r="R25" s="270">
        <f>SUM('Balance Sheet'!R10:R14)/SUM('Balance Sheet'!R27:R28)</f>
        <v>4.9788658811533297</v>
      </c>
      <c r="S25" s="270">
        <f>SUM('Balance Sheet'!S10:S14)/SUM('Balance Sheet'!S27:S28)</f>
        <v>5.2812861723999278</v>
      </c>
      <c r="T25" s="126"/>
      <c r="V25" s="421" t="s">
        <v>449</v>
      </c>
      <c r="W25" s="422"/>
      <c r="X25" s="422"/>
      <c r="Y25" s="422"/>
      <c r="Z25" s="422"/>
      <c r="AA25" s="422"/>
      <c r="AB25" s="422"/>
      <c r="AC25" s="422"/>
      <c r="AD25" s="422"/>
      <c r="AE25" s="422"/>
      <c r="AF25" s="422"/>
      <c r="AG25" s="422"/>
      <c r="AH25" s="422"/>
      <c r="AI25" s="422"/>
      <c r="AJ25" s="422"/>
      <c r="AK25" s="422"/>
      <c r="AL25" s="423"/>
    </row>
    <row r="26" spans="4:38" ht="27" customHeight="1" x14ac:dyDescent="0.3">
      <c r="D26" s="1" t="s">
        <v>275</v>
      </c>
      <c r="E26" s="434">
        <f>'Supporting Schedules'!E18</f>
        <v>67.55465372063145</v>
      </c>
      <c r="F26" s="199">
        <f>'Supporting Schedules'!F18</f>
        <v>69.057309639885531</v>
      </c>
      <c r="G26" s="199">
        <f>'Supporting Schedules'!G18</f>
        <v>51.11174585151754</v>
      </c>
      <c r="H26" s="199">
        <f>'Supporting Schedules'!H18</f>
        <v>57.823743297189537</v>
      </c>
      <c r="I26" s="199">
        <f>'Supporting Schedules'!I18</f>
        <v>55.532158899769328</v>
      </c>
      <c r="J26" s="270">
        <f>'Supporting Schedules'!J18</f>
        <v>60.215922281798655</v>
      </c>
      <c r="K26" s="270">
        <f>'Supporting Schedules'!K18</f>
        <v>60.215922281798655</v>
      </c>
      <c r="L26" s="270">
        <f>'Supporting Schedules'!L18</f>
        <v>60.215922281798655</v>
      </c>
      <c r="M26" s="270">
        <f>'Supporting Schedules'!M18</f>
        <v>60.215922281798655</v>
      </c>
      <c r="N26" s="270">
        <f>'Supporting Schedules'!N18</f>
        <v>60.215922281798655</v>
      </c>
      <c r="O26" s="270">
        <f>'Supporting Schedules'!O18</f>
        <v>60.215922281798655</v>
      </c>
      <c r="P26" s="270">
        <f>'Supporting Schedules'!P18</f>
        <v>60.215922281798655</v>
      </c>
      <c r="Q26" s="270">
        <f>'Supporting Schedules'!Q18</f>
        <v>60.215922281798655</v>
      </c>
      <c r="R26" s="270">
        <f>'Supporting Schedules'!R18</f>
        <v>60.215922281798655</v>
      </c>
      <c r="S26" s="270">
        <f>'Supporting Schedules'!S18</f>
        <v>60.215922281798655</v>
      </c>
      <c r="T26" s="126"/>
      <c r="V26" s="421" t="s">
        <v>465</v>
      </c>
      <c r="W26" s="422"/>
      <c r="X26" s="422"/>
      <c r="Y26" s="422"/>
      <c r="Z26" s="422"/>
      <c r="AA26" s="422"/>
      <c r="AB26" s="422"/>
      <c r="AC26" s="422"/>
      <c r="AD26" s="422"/>
      <c r="AE26" s="422"/>
      <c r="AF26" s="422"/>
      <c r="AG26" s="422"/>
      <c r="AH26" s="422"/>
      <c r="AI26" s="422"/>
      <c r="AJ26" s="422"/>
      <c r="AK26" s="422"/>
      <c r="AL26" s="423"/>
    </row>
    <row r="27" spans="4:38" ht="14.4" customHeight="1" x14ac:dyDescent="0.3">
      <c r="D27" s="1"/>
      <c r="E27" s="35"/>
      <c r="F27" s="1"/>
      <c r="G27" s="1"/>
      <c r="H27" s="1"/>
      <c r="I27" s="1"/>
      <c r="J27" s="49"/>
      <c r="K27" s="49"/>
      <c r="L27" s="49"/>
      <c r="M27" s="49"/>
      <c r="N27" s="49"/>
      <c r="O27" s="49"/>
      <c r="P27" s="49"/>
      <c r="Q27" s="49"/>
      <c r="R27" s="49"/>
      <c r="S27" s="49"/>
      <c r="T27" s="126"/>
      <c r="V27" s="424"/>
      <c r="W27" s="425"/>
      <c r="X27" s="425"/>
      <c r="Y27" s="425"/>
      <c r="Z27" s="425"/>
      <c r="AA27" s="425"/>
      <c r="AB27" s="425"/>
      <c r="AC27" s="425"/>
      <c r="AD27" s="425"/>
      <c r="AE27" s="425"/>
      <c r="AF27" s="425"/>
      <c r="AG27" s="425"/>
      <c r="AH27" s="425"/>
      <c r="AI27" s="425"/>
      <c r="AJ27" s="425"/>
      <c r="AK27" s="425"/>
      <c r="AL27" s="426"/>
    </row>
    <row r="28" spans="4:38" ht="14.4" customHeight="1" x14ac:dyDescent="0.3">
      <c r="D28" s="5" t="s">
        <v>281</v>
      </c>
      <c r="E28" s="35"/>
      <c r="F28" s="1"/>
      <c r="G28" s="1"/>
      <c r="H28" s="1"/>
      <c r="I28" s="1"/>
      <c r="J28" s="49"/>
      <c r="K28" s="49"/>
      <c r="L28" s="49"/>
      <c r="M28" s="49"/>
      <c r="N28" s="49"/>
      <c r="O28" s="49"/>
      <c r="P28" s="49"/>
      <c r="Q28" s="49"/>
      <c r="R28" s="49"/>
      <c r="S28" s="49"/>
      <c r="T28" s="126"/>
      <c r="V28" s="424"/>
      <c r="W28" s="425"/>
      <c r="X28" s="425"/>
      <c r="Y28" s="425"/>
      <c r="Z28" s="425"/>
      <c r="AA28" s="425"/>
      <c r="AB28" s="425"/>
      <c r="AC28" s="425"/>
      <c r="AD28" s="425"/>
      <c r="AE28" s="425"/>
      <c r="AF28" s="425"/>
      <c r="AG28" s="425"/>
      <c r="AH28" s="425"/>
      <c r="AI28" s="425"/>
      <c r="AJ28" s="425"/>
      <c r="AK28" s="425"/>
      <c r="AL28" s="426"/>
    </row>
    <row r="29" spans="4:38" ht="46.8" customHeight="1" x14ac:dyDescent="0.3">
      <c r="D29" s="1" t="s">
        <v>276</v>
      </c>
      <c r="E29" s="434">
        <f>'Balance Sheet'!E23/SUM('Balance Sheet'!E35:E37)</f>
        <v>1.4075451381632158</v>
      </c>
      <c r="F29" s="199">
        <f>'Balance Sheet'!F23/SUM('Balance Sheet'!F35:F37)</f>
        <v>1.2805281024730342</v>
      </c>
      <c r="G29" s="199">
        <f>'Balance Sheet'!G23/SUM('Balance Sheet'!G35:G37)</f>
        <v>1.3823190417048108</v>
      </c>
      <c r="H29" s="199">
        <f>'Balance Sheet'!H23/SUM('Balance Sheet'!H35:H37)</f>
        <v>1.375184084025675</v>
      </c>
      <c r="I29" s="199">
        <f>'Balance Sheet'!I23/SUM('Balance Sheet'!I35:I37)</f>
        <v>1.3566357950008472</v>
      </c>
      <c r="J29" s="270">
        <f>'Balance Sheet'!J23/SUM('Balance Sheet'!J35:J37)</f>
        <v>1.3178629027446371</v>
      </c>
      <c r="K29" s="270">
        <f>'Balance Sheet'!K23/SUM('Balance Sheet'!K35:K37)</f>
        <v>1.3582531910640081</v>
      </c>
      <c r="L29" s="270">
        <f>'Balance Sheet'!L23/SUM('Balance Sheet'!L35:L37)</f>
        <v>1.3238067894223067</v>
      </c>
      <c r="M29" s="270">
        <f>'Balance Sheet'!M23/SUM('Balance Sheet'!M35:M37)</f>
        <v>1.287443329328807</v>
      </c>
      <c r="N29" s="270">
        <f>'Balance Sheet'!N23/SUM('Balance Sheet'!N35:N37)</f>
        <v>1.2941468781085497</v>
      </c>
      <c r="O29" s="270">
        <f>'Balance Sheet'!O23/SUM('Balance Sheet'!O35:O37)</f>
        <v>1.2716191135076367</v>
      </c>
      <c r="P29" s="270">
        <f>'Balance Sheet'!P23/SUM('Balance Sheet'!P35:P37)</f>
        <v>1.2572668016011725</v>
      </c>
      <c r="Q29" s="270">
        <f>'Balance Sheet'!Q23/SUM('Balance Sheet'!Q35:Q37)</f>
        <v>1.2433991584735236</v>
      </c>
      <c r="R29" s="270">
        <f>'Balance Sheet'!R23/SUM('Balance Sheet'!R35:R37)</f>
        <v>1.2301513476898398</v>
      </c>
      <c r="S29" s="270">
        <f>'Balance Sheet'!S23/SUM('Balance Sheet'!S35:S37)</f>
        <v>1.2178066816766175</v>
      </c>
      <c r="T29" s="126"/>
      <c r="V29" s="421" t="s">
        <v>450</v>
      </c>
      <c r="W29" s="422"/>
      <c r="X29" s="422"/>
      <c r="Y29" s="422"/>
      <c r="Z29" s="422"/>
      <c r="AA29" s="422"/>
      <c r="AB29" s="422"/>
      <c r="AC29" s="422"/>
      <c r="AD29" s="422"/>
      <c r="AE29" s="422"/>
      <c r="AF29" s="422"/>
      <c r="AG29" s="422"/>
      <c r="AH29" s="422"/>
      <c r="AI29" s="422"/>
      <c r="AJ29" s="422"/>
      <c r="AK29" s="422"/>
      <c r="AL29" s="423"/>
    </row>
    <row r="30" spans="4:38" ht="45" customHeight="1" x14ac:dyDescent="0.3">
      <c r="D30" s="1" t="s">
        <v>277</v>
      </c>
      <c r="E30" s="434">
        <f>'Balance Sheet'!E31/SUM('Balance Sheet'!E35:E37)</f>
        <v>0.11625746244922808</v>
      </c>
      <c r="F30" s="199">
        <f>'Balance Sheet'!F31/SUM('Balance Sheet'!F35:F37)</f>
        <v>8.5372696646364415E-3</v>
      </c>
      <c r="G30" s="199">
        <f>'Balance Sheet'!G31/SUM('Balance Sheet'!G35:G37)</f>
        <v>8.1153048511458784E-2</v>
      </c>
      <c r="H30" s="199">
        <f>'Balance Sheet'!H31/SUM('Balance Sheet'!H35:H37)</f>
        <v>6.5313359637667073E-2</v>
      </c>
      <c r="I30" s="199">
        <f>'Balance Sheet'!I31/SUM('Balance Sheet'!I35:I37)</f>
        <v>1.9203547317734167E-2</v>
      </c>
      <c r="J30" s="270">
        <f>'Balance Sheet'!J31/SUM('Balance Sheet'!J35:J37)</f>
        <v>1.6898081065688662E-2</v>
      </c>
      <c r="K30" s="270">
        <f>'Balance Sheet'!K31/SUM('Balance Sheet'!K35:K37)</f>
        <v>1.4820544623689419E-2</v>
      </c>
      <c r="L30" s="270">
        <f>'Balance Sheet'!L31/SUM('Balance Sheet'!L35:L37)</f>
        <v>1.2987209675059277E-2</v>
      </c>
      <c r="M30" s="270">
        <f>'Balance Sheet'!M31/SUM('Balance Sheet'!M35:M37)</f>
        <v>1.1410088637547307E-2</v>
      </c>
      <c r="N30" s="270">
        <f>'Balance Sheet'!N31/SUM('Balance Sheet'!N35:N37)</f>
        <v>1.0045837395301764E-2</v>
      </c>
      <c r="O30" s="270">
        <f>'Balance Sheet'!O31/SUM('Balance Sheet'!O35:O37)</f>
        <v>8.8732725244391394E-3</v>
      </c>
      <c r="P30" s="270">
        <f>'Balance Sheet'!P31/SUM('Balance Sheet'!P35:P37)</f>
        <v>7.8781601089507967E-3</v>
      </c>
      <c r="Q30" s="270">
        <f>'Balance Sheet'!Q31/SUM('Balance Sheet'!Q35:Q37)</f>
        <v>7.0238819377941618E-3</v>
      </c>
      <c r="R30" s="270">
        <f>'Balance Sheet'!R31/SUM('Balance Sheet'!R35:R37)</f>
        <v>6.29036015702116E-3</v>
      </c>
      <c r="S30" s="270">
        <f>'Balance Sheet'!S31/SUM('Balance Sheet'!S35:S37)</f>
        <v>5.6649501669752186E-3</v>
      </c>
      <c r="T30" s="126"/>
      <c r="V30" s="421" t="s">
        <v>412</v>
      </c>
      <c r="W30" s="422"/>
      <c r="X30" s="422"/>
      <c r="Y30" s="422"/>
      <c r="Z30" s="422"/>
      <c r="AA30" s="422"/>
      <c r="AB30" s="422"/>
      <c r="AC30" s="422"/>
      <c r="AD30" s="422"/>
      <c r="AE30" s="422"/>
      <c r="AF30" s="422"/>
      <c r="AG30" s="422"/>
      <c r="AH30" s="422"/>
      <c r="AI30" s="422"/>
      <c r="AJ30" s="422"/>
      <c r="AK30" s="422"/>
      <c r="AL30" s="423"/>
    </row>
    <row r="31" spans="4:38" ht="14.4" customHeight="1" x14ac:dyDescent="0.3">
      <c r="D31" s="1"/>
      <c r="E31" s="35"/>
      <c r="F31" s="1"/>
      <c r="G31" s="1"/>
      <c r="H31" s="1"/>
      <c r="I31" s="1"/>
      <c r="J31" s="49"/>
      <c r="K31" s="49"/>
      <c r="L31" s="49"/>
      <c r="M31" s="49"/>
      <c r="N31" s="49"/>
      <c r="O31" s="49"/>
      <c r="P31" s="49"/>
      <c r="Q31" s="49"/>
      <c r="R31" s="49"/>
      <c r="S31" s="49"/>
      <c r="T31" s="126"/>
      <c r="V31" s="424"/>
      <c r="W31" s="425"/>
      <c r="X31" s="425"/>
      <c r="Y31" s="425"/>
      <c r="Z31" s="425"/>
      <c r="AA31" s="425"/>
      <c r="AB31" s="425"/>
      <c r="AC31" s="425"/>
      <c r="AD31" s="425"/>
      <c r="AE31" s="425"/>
      <c r="AF31" s="425"/>
      <c r="AG31" s="425"/>
      <c r="AH31" s="425"/>
      <c r="AI31" s="425"/>
      <c r="AJ31" s="425"/>
      <c r="AK31" s="425"/>
      <c r="AL31" s="426"/>
    </row>
    <row r="32" spans="4:38" ht="14.4" customHeight="1" x14ac:dyDescent="0.3">
      <c r="D32" s="5" t="s">
        <v>282</v>
      </c>
      <c r="E32" s="35"/>
      <c r="F32" s="1"/>
      <c r="G32" s="1"/>
      <c r="H32" s="1"/>
      <c r="I32" s="1"/>
      <c r="J32" s="49"/>
      <c r="K32" s="49"/>
      <c r="L32" s="49"/>
      <c r="M32" s="49"/>
      <c r="N32" s="49"/>
      <c r="O32" s="49"/>
      <c r="P32" s="49"/>
      <c r="Q32" s="49"/>
      <c r="R32" s="49"/>
      <c r="S32" s="49"/>
      <c r="T32" s="126"/>
      <c r="V32" s="424"/>
      <c r="W32" s="425"/>
      <c r="X32" s="425"/>
      <c r="Y32" s="425"/>
      <c r="Z32" s="425"/>
      <c r="AA32" s="425"/>
      <c r="AB32" s="425"/>
      <c r="AC32" s="425"/>
      <c r="AD32" s="425"/>
      <c r="AE32" s="425"/>
      <c r="AF32" s="425"/>
      <c r="AG32" s="425"/>
      <c r="AH32" s="425"/>
      <c r="AI32" s="425"/>
      <c r="AJ32" s="425"/>
      <c r="AK32" s="425"/>
      <c r="AL32" s="426"/>
    </row>
    <row r="33" spans="4:38" ht="40.799999999999997" customHeight="1" x14ac:dyDescent="0.3">
      <c r="D33" s="1" t="s">
        <v>278</v>
      </c>
      <c r="E33" s="35"/>
      <c r="F33" s="199">
        <f>'Income Statement'!F8/AVERAGE('Balance Sheet'!E12:F12)</f>
        <v>3.9036286965163445</v>
      </c>
      <c r="G33" s="199">
        <f>'Income Statement'!G8/AVERAGE('Balance Sheet'!F12:G12)</f>
        <v>5.26078450594368</v>
      </c>
      <c r="H33" s="199">
        <f>'Income Statement'!H8/AVERAGE('Balance Sheet'!G12:H12)</f>
        <v>5.4441268974019517</v>
      </c>
      <c r="I33" s="199">
        <f>'Income Statement'!I8/AVERAGE('Balance Sheet'!H12:I12)</f>
        <v>4.8881321504316393</v>
      </c>
      <c r="J33" s="270">
        <f>'Income Statement'!J8/AVERAGE('Balance Sheet'!I12:J12)</f>
        <v>4.787271794559449</v>
      </c>
      <c r="K33" s="270">
        <f>'Income Statement'!K8/AVERAGE('Balance Sheet'!J12:K12)</f>
        <v>4.8165365066668446</v>
      </c>
      <c r="L33" s="270">
        <f>'Income Statement'!L8/AVERAGE('Balance Sheet'!K12:L12)</f>
        <v>4.7860812500186993</v>
      </c>
      <c r="M33" s="270">
        <f>'Income Statement'!M8/AVERAGE('Balance Sheet'!L12:M12)</f>
        <v>4.7583674465363934</v>
      </c>
      <c r="N33" s="270">
        <f>'Income Statement'!N8/AVERAGE('Balance Sheet'!M12:N12)</f>
        <v>4.7331819412516198</v>
      </c>
      <c r="O33" s="270">
        <f>'Income Statement'!O8/AVERAGE('Balance Sheet'!N12:O12)</f>
        <v>4.7103218115886936</v>
      </c>
      <c r="P33" s="270">
        <f>'Income Statement'!P8/AVERAGE('Balance Sheet'!O12:P12)</f>
        <v>4.6895951773961704</v>
      </c>
      <c r="Q33" s="270">
        <f>'Income Statement'!Q8/AVERAGE('Balance Sheet'!P12:Q12)</f>
        <v>4.6708216651753069</v>
      </c>
      <c r="R33" s="270">
        <f>'Income Statement'!R8/AVERAGE('Balance Sheet'!Q12:R12)</f>
        <v>4.6538325896236294</v>
      </c>
      <c r="S33" s="270">
        <f>'Income Statement'!S8/AVERAGE('Balance Sheet'!R12:S12)</f>
        <v>4.6384709090086389</v>
      </c>
      <c r="T33" s="126"/>
      <c r="V33" s="421" t="s">
        <v>451</v>
      </c>
      <c r="W33" s="422"/>
      <c r="X33" s="422"/>
      <c r="Y33" s="422"/>
      <c r="Z33" s="422"/>
      <c r="AA33" s="422"/>
      <c r="AB33" s="422"/>
      <c r="AC33" s="422"/>
      <c r="AD33" s="422"/>
      <c r="AE33" s="422"/>
      <c r="AF33" s="422"/>
      <c r="AG33" s="422"/>
      <c r="AH33" s="422"/>
      <c r="AI33" s="422"/>
      <c r="AJ33" s="422"/>
      <c r="AK33" s="422"/>
      <c r="AL33" s="423"/>
    </row>
    <row r="34" spans="4:38" ht="47.4" customHeight="1" x14ac:dyDescent="0.3">
      <c r="D34" s="1" t="s">
        <v>279</v>
      </c>
      <c r="E34" s="35"/>
      <c r="F34" s="199">
        <f>-'Income Statement'!F9/AVERAGE('Balance Sheet'!E13:F13)</f>
        <v>4.8423395009812173</v>
      </c>
      <c r="G34" s="199">
        <f>-'Income Statement'!G9/AVERAGE('Balance Sheet'!F13:G13)</f>
        <v>6.3102616497918165</v>
      </c>
      <c r="H34" s="199">
        <f>-'Income Statement'!H9/AVERAGE('Balance Sheet'!G13:H13)</f>
        <v>6.3643088246942758</v>
      </c>
      <c r="I34" s="199">
        <f>-'Income Statement'!I9/AVERAGE('Balance Sheet'!H13:I13)</f>
        <v>6.2276899169593865</v>
      </c>
      <c r="J34" s="270">
        <f>-'Income Statement'!J9/AVERAGE('Balance Sheet'!I13:J13)</f>
        <v>6.3497366425962944</v>
      </c>
      <c r="K34" s="270">
        <f>-'Income Statement'!K9/AVERAGE('Balance Sheet'!J13:K13)</f>
        <v>5.997336722433702</v>
      </c>
      <c r="L34" s="270">
        <f>-'Income Statement'!L9/AVERAGE('Balance Sheet'!K13:L13)</f>
        <v>5.9594151933776587</v>
      </c>
      <c r="M34" s="270">
        <f>-'Income Statement'!M9/AVERAGE('Balance Sheet'!L13:M13)</f>
        <v>5.9249071996953342</v>
      </c>
      <c r="N34" s="270">
        <f>-'Income Statement'!N9/AVERAGE('Balance Sheet'!M13:N13)</f>
        <v>5.8935473303144317</v>
      </c>
      <c r="O34" s="270">
        <f>-'Income Statement'!O9/AVERAGE('Balance Sheet'!N13:O13)</f>
        <v>5.8650829150821808</v>
      </c>
      <c r="P34" s="270">
        <f>-'Income Statement'!P9/AVERAGE('Balance Sheet'!O13:P13)</f>
        <v>5.8392750333806278</v>
      </c>
      <c r="Q34" s="270">
        <f>-'Income Statement'!Q9/AVERAGE('Balance Sheet'!P13:Q13)</f>
        <v>5.8158990921632396</v>
      </c>
      <c r="R34" s="270">
        <f>-'Income Statement'!R9/AVERAGE('Balance Sheet'!Q13:R13)</f>
        <v>5.7947450520048713</v>
      </c>
      <c r="S34" s="270">
        <f>-'Income Statement'!S9/AVERAGE('Balance Sheet'!R13:S13)</f>
        <v>5.7756173715350867</v>
      </c>
      <c r="T34" s="126"/>
      <c r="V34" s="421" t="s">
        <v>452</v>
      </c>
      <c r="W34" s="422"/>
      <c r="X34" s="422"/>
      <c r="Y34" s="422"/>
      <c r="Z34" s="422"/>
      <c r="AA34" s="422"/>
      <c r="AB34" s="422"/>
      <c r="AC34" s="422"/>
      <c r="AD34" s="422"/>
      <c r="AE34" s="422"/>
      <c r="AF34" s="422"/>
      <c r="AG34" s="422"/>
      <c r="AH34" s="422"/>
      <c r="AI34" s="422"/>
      <c r="AJ34" s="422"/>
      <c r="AK34" s="422"/>
      <c r="AL34" s="423"/>
    </row>
    <row r="35" spans="4:38" ht="43.8" customHeight="1" x14ac:dyDescent="0.3">
      <c r="D35" s="1" t="s">
        <v>280</v>
      </c>
      <c r="E35" s="35"/>
      <c r="F35" s="199">
        <f>-'Income Statement'!F9/AVERAGE('Balance Sheet'!E27:F27)</f>
        <v>3.8696407068246104</v>
      </c>
      <c r="G35" s="199">
        <f>-'Income Statement'!G9/AVERAGE('Balance Sheet'!F27:G27)</f>
        <v>4.7462414052117641</v>
      </c>
      <c r="H35" s="199">
        <f>-'Income Statement'!H9/AVERAGE('Balance Sheet'!G27:H27)</f>
        <v>4.860011725402245</v>
      </c>
      <c r="I35" s="199">
        <f>-'Income Statement'!I9/AVERAGE('Balance Sheet'!H27:I27)</f>
        <v>4.5115800912335278</v>
      </c>
      <c r="J35" s="270">
        <f>-'Income Statement'!J9/AVERAGE('Balance Sheet'!I27:J27)</f>
        <v>4.8867942384339003</v>
      </c>
      <c r="K35" s="270">
        <f>-'Income Statement'!K9/AVERAGE('Balance Sheet'!J27:K27)</f>
        <v>4.503722642335581</v>
      </c>
      <c r="L35" s="270">
        <f>-'Income Statement'!L9/AVERAGE('Balance Sheet'!K27:L27)</f>
        <v>4.1999039126034274</v>
      </c>
      <c r="M35" s="270">
        <f>-'Income Statement'!M9/AVERAGE('Balance Sheet'!L27:M27)</f>
        <v>4.5767912705041702</v>
      </c>
      <c r="N35" s="270">
        <f>-'Income Statement'!N9/AVERAGE('Balance Sheet'!M27:N27)</f>
        <v>4.5202241043797686</v>
      </c>
      <c r="O35" s="270">
        <f>-'Income Statement'!O9/AVERAGE('Balance Sheet'!N27:O27)</f>
        <v>4.3666242949953729</v>
      </c>
      <c r="P35" s="270">
        <f>-'Income Statement'!P9/AVERAGE('Balance Sheet'!O27:P27)</f>
        <v>4.420556912178025</v>
      </c>
      <c r="Q35" s="270">
        <f>-'Income Statement'!Q9/AVERAGE('Balance Sheet'!P27:Q27)</f>
        <v>4.4028604211005433</v>
      </c>
      <c r="R35" s="270">
        <f>-'Income Statement'!R9/AVERAGE('Balance Sheet'!Q27:R27)</f>
        <v>4.3868459950103187</v>
      </c>
      <c r="S35" s="270">
        <f>-'Income Statement'!S9/AVERAGE('Balance Sheet'!R27:S27)</f>
        <v>4.3723656015314569</v>
      </c>
      <c r="T35" s="126"/>
      <c r="V35" s="421" t="s">
        <v>453</v>
      </c>
      <c r="W35" s="422"/>
      <c r="X35" s="422"/>
      <c r="Y35" s="422"/>
      <c r="Z35" s="422"/>
      <c r="AA35" s="422"/>
      <c r="AB35" s="422"/>
      <c r="AC35" s="422"/>
      <c r="AD35" s="422"/>
      <c r="AE35" s="422"/>
      <c r="AF35" s="422"/>
      <c r="AG35" s="422"/>
      <c r="AH35" s="422"/>
      <c r="AI35" s="422"/>
      <c r="AJ35" s="422"/>
      <c r="AK35" s="422"/>
      <c r="AL35" s="423"/>
    </row>
  </sheetData>
  <mergeCells count="25">
    <mergeCell ref="D4:S4"/>
    <mergeCell ref="V9:AL9"/>
    <mergeCell ref="V4:AL4"/>
    <mergeCell ref="V10:AL10"/>
    <mergeCell ref="V11:AL11"/>
    <mergeCell ref="V12:AL12"/>
    <mergeCell ref="V13:AL13"/>
    <mergeCell ref="V14:AL14"/>
    <mergeCell ref="V15:AL16"/>
    <mergeCell ref="V17:AL17"/>
    <mergeCell ref="V18:AL18"/>
    <mergeCell ref="V19:AL19"/>
    <mergeCell ref="V20:AL20"/>
    <mergeCell ref="V21:AL21"/>
    <mergeCell ref="V22:AL23"/>
    <mergeCell ref="V24:AL24"/>
    <mergeCell ref="V25:AL25"/>
    <mergeCell ref="V26:AL26"/>
    <mergeCell ref="V34:AL34"/>
    <mergeCell ref="V35:AL35"/>
    <mergeCell ref="V27:AL28"/>
    <mergeCell ref="V29:AL29"/>
    <mergeCell ref="V30:AL30"/>
    <mergeCell ref="V31:AL32"/>
    <mergeCell ref="V33:AL33"/>
  </mergeCell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markers="1" high="1" low="1" first="1" last="1" negative="1" xr2:uid="{9AA7EBFC-0ACE-4839-A20D-B1E3C5430B25}">
          <x14:colorSeries rgb="FF376092"/>
          <x14:colorNegative rgb="FFD00000"/>
          <x14:colorAxis rgb="FF000000"/>
          <x14:colorMarkers rgb="FFD00000"/>
          <x14:colorFirst rgb="FFD00000"/>
          <x14:colorLast rgb="FFD00000"/>
          <x14:colorHigh rgb="FFD00000"/>
          <x14:colorLow rgb="FFD00000"/>
          <x14:sparklines>
            <x14:sparkline>
              <xm:f>'Ratio Analysis'!E9:S9</xm:f>
              <xm:sqref>T9</xm:sqref>
            </x14:sparkline>
            <x14:sparkline>
              <xm:f>'Ratio Analysis'!E10:S10</xm:f>
              <xm:sqref>T10</xm:sqref>
            </x14:sparkline>
            <x14:sparkline>
              <xm:f>'Ratio Analysis'!E11:S11</xm:f>
              <xm:sqref>T11</xm:sqref>
            </x14:sparkline>
            <x14:sparkline>
              <xm:f>'Ratio Analysis'!E12:S12</xm:f>
              <xm:sqref>T12</xm:sqref>
            </x14:sparkline>
            <x14:sparkline>
              <xm:f>'Ratio Analysis'!E13:S13</xm:f>
              <xm:sqref>T13</xm:sqref>
            </x14:sparkline>
            <x14:sparkline>
              <xm:f>'Ratio Analysis'!E14:S14</xm:f>
              <xm:sqref>T14</xm:sqref>
            </x14:sparkline>
          </x14:sparklines>
        </x14:sparklineGroup>
        <x14:sparklineGroup displayEmptyCellsAs="gap" markers="1" high="1" low="1" first="1" last="1" negative="1" xr2:uid="{5E0FBE40-BB16-49F0-A20A-CEFDBA549891}">
          <x14:colorSeries rgb="FF376092"/>
          <x14:colorNegative rgb="FFD00000"/>
          <x14:colorAxis rgb="FF000000"/>
          <x14:colorMarkers rgb="FFD00000"/>
          <x14:colorFirst rgb="FFD00000"/>
          <x14:colorLast rgb="FFD00000"/>
          <x14:colorHigh rgb="FFD00000"/>
          <x14:colorLow rgb="FFD00000"/>
          <x14:sparklines>
            <x14:sparkline>
              <xm:f>'Ratio Analysis'!F17:S17</xm:f>
              <xm:sqref>T17</xm:sqref>
            </x14:sparkline>
            <x14:sparkline>
              <xm:f>'Ratio Analysis'!F18:S18</xm:f>
              <xm:sqref>T18</xm:sqref>
            </x14:sparkline>
            <x14:sparkline>
              <xm:f>'Ratio Analysis'!F19:S19</xm:f>
              <xm:sqref>T19</xm:sqref>
            </x14:sparkline>
            <x14:sparkline>
              <xm:f>'Ratio Analysis'!F20:S20</xm:f>
              <xm:sqref>T20</xm:sqref>
            </x14:sparkline>
            <x14:sparkline>
              <xm:f>'Ratio Analysis'!F21:S21</xm:f>
              <xm:sqref>T21</xm:sqref>
            </x14:sparkline>
          </x14:sparklines>
        </x14:sparklineGroup>
        <x14:sparklineGroup displayEmptyCellsAs="gap" markers="1" high="1" low="1" first="1" last="1" negative="1" xr2:uid="{D9E75065-3617-46CE-A7CC-619CAC14AC9A}">
          <x14:colorSeries rgb="FF376092"/>
          <x14:colorNegative rgb="FFD00000"/>
          <x14:colorAxis rgb="FF000000"/>
          <x14:colorMarkers rgb="FFD00000"/>
          <x14:colorFirst rgb="FFD00000"/>
          <x14:colorLast rgb="FFD00000"/>
          <x14:colorHigh rgb="FFD00000"/>
          <x14:colorLow rgb="FFD00000"/>
          <x14:sparklines>
            <x14:sparkline>
              <xm:f>'Ratio Analysis'!F33:S33</xm:f>
              <xm:sqref>T33</xm:sqref>
            </x14:sparkline>
            <x14:sparkline>
              <xm:f>'Ratio Analysis'!F34:S34</xm:f>
              <xm:sqref>T34</xm:sqref>
            </x14:sparkline>
            <x14:sparkline>
              <xm:f>'Ratio Analysis'!F35:S35</xm:f>
              <xm:sqref>T35</xm:sqref>
            </x14:sparkline>
          </x14:sparklines>
        </x14:sparklineGroup>
        <x14:sparklineGroup displayEmptyCellsAs="gap" markers="1" high="1" low="1" first="1" last="1" negative="1" xr2:uid="{C5B3CE2D-03E7-40CF-8F13-DF744A99B39D}">
          <x14:colorSeries rgb="FF376092"/>
          <x14:colorNegative rgb="FFD00000"/>
          <x14:colorAxis rgb="FF000000"/>
          <x14:colorMarkers rgb="FFD00000"/>
          <x14:colorFirst rgb="FFD00000"/>
          <x14:colorLast rgb="FFD00000"/>
          <x14:colorHigh rgb="FFD00000"/>
          <x14:colorLow rgb="FFD00000"/>
          <x14:sparklines>
            <x14:sparkline>
              <xm:f>'Ratio Analysis'!E24:S24</xm:f>
              <xm:sqref>T24</xm:sqref>
            </x14:sparkline>
            <x14:sparkline>
              <xm:f>'Ratio Analysis'!E25:S25</xm:f>
              <xm:sqref>T25</xm:sqref>
            </x14:sparkline>
            <x14:sparkline>
              <xm:f>'Ratio Analysis'!E26:S26</xm:f>
              <xm:sqref>T26</xm:sqref>
            </x14:sparkline>
            <x14:sparkline>
              <xm:f>'Ratio Analysis'!E27:S27</xm:f>
              <xm:sqref>T27</xm:sqref>
            </x14:sparkline>
            <x14:sparkline>
              <xm:f>'Ratio Analysis'!E28:S28</xm:f>
              <xm:sqref>T28</xm:sqref>
            </x14:sparkline>
            <x14:sparkline>
              <xm:f>'Ratio Analysis'!E29:S29</xm:f>
              <xm:sqref>T29</xm:sqref>
            </x14:sparkline>
            <x14:sparkline>
              <xm:f>'Ratio Analysis'!E30:S30</xm:f>
              <xm:sqref>T30</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2859-A15E-4208-A26A-28899932A9D4}">
  <dimension ref="D4:Q26"/>
  <sheetViews>
    <sheetView showGridLines="0" workbookViewId="0">
      <selection activeCell="F17" sqref="F17"/>
    </sheetView>
  </sheetViews>
  <sheetFormatPr defaultRowHeight="14.4" x14ac:dyDescent="0.3"/>
  <cols>
    <col min="1" max="3" width="1.33203125" customWidth="1"/>
    <col min="4" max="4" width="35.77734375" customWidth="1"/>
    <col min="5" max="12" width="16.77734375" customWidth="1"/>
  </cols>
  <sheetData>
    <row r="4" spans="4:17" ht="16.8" customHeight="1" x14ac:dyDescent="0.3">
      <c r="D4" s="378" t="s">
        <v>257</v>
      </c>
      <c r="E4" s="378"/>
      <c r="F4" s="378"/>
      <c r="G4" s="378"/>
      <c r="H4" s="378"/>
      <c r="I4" s="378"/>
      <c r="J4" s="378"/>
      <c r="K4" s="378"/>
      <c r="L4" s="378"/>
      <c r="M4" s="378"/>
      <c r="N4" s="147"/>
      <c r="O4" s="147"/>
      <c r="P4" s="147"/>
    </row>
    <row r="5" spans="4:17" x14ac:dyDescent="0.3">
      <c r="D5" s="1"/>
      <c r="E5" s="1"/>
      <c r="F5" s="1"/>
      <c r="G5" s="1"/>
      <c r="H5" s="1"/>
      <c r="I5" s="1"/>
      <c r="J5" s="1"/>
      <c r="K5" s="1"/>
      <c r="L5" s="1"/>
      <c r="M5" s="1"/>
      <c r="N5" s="1"/>
      <c r="O5" s="1"/>
      <c r="P5" s="1"/>
    </row>
    <row r="6" spans="4:17" ht="14.4" customHeight="1" x14ac:dyDescent="0.3">
      <c r="D6" s="163" t="s">
        <v>341</v>
      </c>
      <c r="E6" s="164" t="s">
        <v>343</v>
      </c>
      <c r="F6" s="165" t="s">
        <v>344</v>
      </c>
      <c r="G6" s="165" t="s">
        <v>345</v>
      </c>
      <c r="H6" s="165" t="s">
        <v>346</v>
      </c>
      <c r="I6" s="165" t="s">
        <v>342</v>
      </c>
      <c r="J6" s="165" t="s">
        <v>347</v>
      </c>
      <c r="K6" s="165" t="s">
        <v>348</v>
      </c>
      <c r="L6" s="165" t="s">
        <v>358</v>
      </c>
      <c r="M6" s="165" t="s">
        <v>349</v>
      </c>
      <c r="N6" s="1"/>
      <c r="O6" s="1"/>
      <c r="P6" s="1"/>
      <c r="Q6" s="1"/>
    </row>
    <row r="7" spans="4:17" ht="14.4" customHeight="1" x14ac:dyDescent="0.3">
      <c r="D7" s="166"/>
      <c r="E7" s="167"/>
      <c r="F7" s="168"/>
      <c r="G7" s="168"/>
      <c r="H7" s="168"/>
      <c r="I7" s="168"/>
      <c r="J7" s="168"/>
      <c r="K7" s="168"/>
      <c r="L7" s="168"/>
      <c r="M7" s="168"/>
      <c r="N7" s="1"/>
      <c r="O7" s="1"/>
      <c r="P7" s="1"/>
      <c r="Q7" s="1"/>
    </row>
    <row r="8" spans="4:17" ht="14.4" customHeight="1" x14ac:dyDescent="0.3">
      <c r="D8" s="169" t="s">
        <v>337</v>
      </c>
      <c r="E8" s="170">
        <v>2863.45</v>
      </c>
      <c r="F8" s="170">
        <v>19.47</v>
      </c>
      <c r="G8" s="171">
        <f t="shared" ref="G8:G11" si="0">E8*H8</f>
        <v>79374.833999999988</v>
      </c>
      <c r="H8" s="172">
        <v>27.72</v>
      </c>
      <c r="I8" s="172">
        <v>40.770000000000003</v>
      </c>
      <c r="J8" s="172">
        <v>1504.66</v>
      </c>
      <c r="K8" s="172">
        <v>10198.66</v>
      </c>
      <c r="L8" s="194">
        <v>28.47</v>
      </c>
      <c r="M8" s="173">
        <v>1945.93</v>
      </c>
      <c r="N8" s="1"/>
      <c r="O8" s="1"/>
      <c r="P8" s="1"/>
      <c r="Q8" s="1"/>
    </row>
    <row r="9" spans="4:17" ht="14.4" customHeight="1" x14ac:dyDescent="0.3">
      <c r="D9" s="174" t="s">
        <v>338</v>
      </c>
      <c r="E9" s="175">
        <v>734.65</v>
      </c>
      <c r="F9" s="175">
        <v>5430.4</v>
      </c>
      <c r="G9" s="176">
        <f t="shared" si="0"/>
        <v>10667.117999999999</v>
      </c>
      <c r="H9" s="177">
        <v>14.52</v>
      </c>
      <c r="I9" s="177">
        <v>22.5</v>
      </c>
      <c r="J9" s="177">
        <v>504.75</v>
      </c>
      <c r="K9" s="177">
        <v>6253.86</v>
      </c>
      <c r="L9" s="195">
        <v>12.58</v>
      </c>
      <c r="M9" s="178">
        <v>496.07</v>
      </c>
      <c r="N9" s="1"/>
      <c r="O9" s="1"/>
      <c r="P9" s="1"/>
      <c r="Q9" s="1"/>
    </row>
    <row r="10" spans="4:17" x14ac:dyDescent="0.3">
      <c r="D10" s="174" t="s">
        <v>339</v>
      </c>
      <c r="E10" s="175">
        <v>4185</v>
      </c>
      <c r="F10" s="175">
        <v>0.59</v>
      </c>
      <c r="G10" s="176">
        <f t="shared" si="0"/>
        <v>5063.8499999999995</v>
      </c>
      <c r="H10" s="177">
        <v>1.21</v>
      </c>
      <c r="I10" s="177">
        <v>30.67</v>
      </c>
      <c r="J10" s="177">
        <v>174.3</v>
      </c>
      <c r="K10" s="177">
        <v>1681.89</v>
      </c>
      <c r="L10" s="195">
        <v>20.059999999999999</v>
      </c>
      <c r="M10" s="178">
        <v>165.98</v>
      </c>
      <c r="N10" s="1"/>
      <c r="O10" s="1"/>
      <c r="P10" s="1"/>
      <c r="Q10" s="1"/>
    </row>
    <row r="11" spans="4:17" x14ac:dyDescent="0.3">
      <c r="D11" s="179" t="s">
        <v>340</v>
      </c>
      <c r="E11" s="180">
        <v>192.1</v>
      </c>
      <c r="F11" s="180">
        <v>83.95</v>
      </c>
      <c r="G11" s="181">
        <f t="shared" si="0"/>
        <v>4472.0879999999997</v>
      </c>
      <c r="H11" s="182">
        <v>23.28</v>
      </c>
      <c r="I11" s="182"/>
      <c r="J11" s="182">
        <v>314.14999999999998</v>
      </c>
      <c r="K11" s="182">
        <v>2768.14</v>
      </c>
      <c r="L11" s="196">
        <v>26.23</v>
      </c>
      <c r="M11" s="183">
        <v>-21.16</v>
      </c>
      <c r="N11" s="1"/>
      <c r="O11" s="1"/>
      <c r="P11" s="1"/>
      <c r="Q11" s="1"/>
    </row>
    <row r="12" spans="4:17" x14ac:dyDescent="0.3">
      <c r="D12" s="161"/>
      <c r="E12" s="162"/>
      <c r="F12" s="162"/>
      <c r="G12" s="162"/>
      <c r="H12" s="162"/>
      <c r="I12" s="162"/>
      <c r="J12" s="162"/>
      <c r="K12" s="162"/>
      <c r="L12" s="162"/>
      <c r="M12" s="1"/>
      <c r="N12" s="1"/>
      <c r="O12" s="1"/>
      <c r="P12" s="1"/>
    </row>
    <row r="13" spans="4:17" x14ac:dyDescent="0.3">
      <c r="D13" s="1"/>
      <c r="E13" s="1"/>
      <c r="F13" s="1"/>
      <c r="G13" s="1"/>
      <c r="H13" s="1"/>
      <c r="I13" s="1"/>
      <c r="J13" s="1"/>
      <c r="K13" s="1"/>
      <c r="L13" s="1"/>
      <c r="M13" s="1"/>
      <c r="N13" s="1"/>
      <c r="O13" s="1"/>
      <c r="P13" s="1"/>
    </row>
    <row r="14" spans="4:17" x14ac:dyDescent="0.3">
      <c r="D14" s="1"/>
      <c r="E14" s="1"/>
      <c r="F14" s="1"/>
      <c r="G14" s="1"/>
      <c r="H14" s="1"/>
      <c r="I14" s="1"/>
      <c r="J14" s="1"/>
      <c r="K14" s="1"/>
      <c r="L14" s="1"/>
      <c r="M14" s="1"/>
      <c r="N14" s="1"/>
      <c r="O14" s="1"/>
      <c r="P14" s="1"/>
    </row>
    <row r="15" spans="4:17" x14ac:dyDescent="0.3">
      <c r="D15" s="1"/>
      <c r="E15" s="1"/>
      <c r="F15" s="1"/>
      <c r="G15" s="1"/>
      <c r="H15" s="1"/>
      <c r="I15" s="1"/>
      <c r="J15" s="1"/>
      <c r="K15" s="1"/>
      <c r="L15" s="1"/>
      <c r="M15" s="1"/>
      <c r="N15" s="1"/>
      <c r="O15" s="1"/>
      <c r="P15" s="1"/>
    </row>
    <row r="16" spans="4:17" x14ac:dyDescent="0.3">
      <c r="D16" s="1"/>
      <c r="E16" s="1"/>
      <c r="F16" s="1"/>
      <c r="G16" s="1"/>
      <c r="H16" s="1"/>
      <c r="I16" s="1"/>
      <c r="J16" s="1"/>
      <c r="K16" s="1"/>
      <c r="L16" s="1"/>
      <c r="M16" s="1"/>
      <c r="N16" s="1"/>
      <c r="O16" s="1"/>
      <c r="P16" s="1"/>
    </row>
    <row r="17" spans="4:16" x14ac:dyDescent="0.3">
      <c r="D17" s="1"/>
      <c r="E17" s="1"/>
      <c r="F17" s="1"/>
      <c r="G17" s="1"/>
      <c r="H17" s="1"/>
      <c r="I17" s="1"/>
      <c r="J17" s="1"/>
      <c r="K17" s="1"/>
      <c r="L17" s="1"/>
      <c r="M17" s="1"/>
      <c r="N17" s="1"/>
      <c r="O17" s="1"/>
      <c r="P17" s="1"/>
    </row>
    <row r="18" spans="4:16" x14ac:dyDescent="0.3">
      <c r="D18" s="1"/>
      <c r="E18" s="1"/>
      <c r="F18" s="1"/>
      <c r="G18" s="1"/>
      <c r="H18" s="1"/>
      <c r="I18" s="1"/>
      <c r="J18" s="1"/>
      <c r="K18" s="1"/>
      <c r="L18" s="1"/>
      <c r="M18" s="1"/>
      <c r="N18" s="1"/>
      <c r="O18" s="1"/>
      <c r="P18" s="1"/>
    </row>
    <row r="19" spans="4:16" x14ac:dyDescent="0.3">
      <c r="D19" s="1"/>
      <c r="E19" s="1"/>
      <c r="F19" s="1"/>
      <c r="G19" s="1"/>
      <c r="H19" s="1"/>
      <c r="I19" s="1"/>
      <c r="J19" s="1"/>
      <c r="K19" s="1"/>
      <c r="L19" s="1"/>
      <c r="M19" s="1"/>
      <c r="N19" s="1"/>
      <c r="O19" s="1"/>
      <c r="P19" s="1"/>
    </row>
    <row r="20" spans="4:16" x14ac:dyDescent="0.3">
      <c r="D20" s="1"/>
      <c r="E20" s="1"/>
      <c r="F20" s="1"/>
      <c r="G20" s="1"/>
      <c r="H20" s="1"/>
      <c r="I20" s="1"/>
      <c r="J20" s="1"/>
      <c r="K20" s="1"/>
      <c r="L20" s="1"/>
      <c r="M20" s="1"/>
      <c r="N20" s="1"/>
      <c r="O20" s="1"/>
      <c r="P20" s="1"/>
    </row>
    <row r="21" spans="4:16" x14ac:dyDescent="0.3">
      <c r="D21" s="1"/>
      <c r="E21" s="1"/>
      <c r="F21" s="1"/>
      <c r="G21" s="1"/>
      <c r="H21" s="1"/>
      <c r="I21" s="1"/>
      <c r="J21" s="1"/>
      <c r="K21" s="1"/>
      <c r="L21" s="1"/>
      <c r="M21" s="1"/>
      <c r="N21" s="1"/>
      <c r="O21" s="1"/>
      <c r="P21" s="1"/>
    </row>
    <row r="22" spans="4:16" x14ac:dyDescent="0.3">
      <c r="D22" s="1"/>
      <c r="E22" s="1"/>
      <c r="F22" s="1"/>
      <c r="G22" s="1"/>
      <c r="H22" s="1"/>
      <c r="I22" s="1"/>
      <c r="J22" s="1"/>
      <c r="K22" s="1"/>
      <c r="L22" s="1"/>
      <c r="M22" s="1"/>
      <c r="N22" s="1"/>
      <c r="O22" s="1"/>
      <c r="P22" s="1"/>
    </row>
    <row r="23" spans="4:16" x14ac:dyDescent="0.3">
      <c r="D23" s="1"/>
      <c r="E23" s="1"/>
      <c r="F23" s="1"/>
      <c r="G23" s="1"/>
      <c r="H23" s="1"/>
      <c r="I23" s="1"/>
      <c r="J23" s="1"/>
      <c r="K23" s="1"/>
      <c r="L23" s="1"/>
      <c r="M23" s="1"/>
      <c r="N23" s="1"/>
      <c r="O23" s="1"/>
      <c r="P23" s="1"/>
    </row>
    <row r="24" spans="4:16" x14ac:dyDescent="0.3">
      <c r="H24" s="1"/>
      <c r="I24" s="1"/>
      <c r="J24" s="1"/>
      <c r="K24" s="1"/>
      <c r="L24" s="1"/>
      <c r="M24" s="1"/>
    </row>
    <row r="25" spans="4:16" x14ac:dyDescent="0.3">
      <c r="H25" s="1"/>
      <c r="I25" s="1"/>
      <c r="J25" s="1"/>
      <c r="K25" s="1"/>
      <c r="L25" s="1"/>
      <c r="M25" s="1"/>
    </row>
    <row r="26" spans="4:16" x14ac:dyDescent="0.3">
      <c r="H26" s="1"/>
      <c r="I26" s="1"/>
      <c r="J26" s="1"/>
      <c r="K26" s="1"/>
      <c r="L26" s="1"/>
      <c r="M26" s="1"/>
    </row>
  </sheetData>
  <mergeCells count="1">
    <mergeCell ref="D4:M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D49C0-C791-43B6-B038-0C938DB97334}">
  <dimension ref="D4:R47"/>
  <sheetViews>
    <sheetView showGridLines="0" topLeftCell="A16" zoomScale="99" zoomScaleNormal="99" workbookViewId="0">
      <selection activeCell="J27" sqref="J27"/>
    </sheetView>
  </sheetViews>
  <sheetFormatPr defaultRowHeight="14.4" x14ac:dyDescent="0.3"/>
  <cols>
    <col min="1" max="3" width="1.33203125" customWidth="1"/>
    <col min="4" max="4" width="35.77734375" customWidth="1"/>
    <col min="5" max="5" width="11.77734375" customWidth="1"/>
    <col min="6" max="13" width="10.77734375" customWidth="1"/>
  </cols>
  <sheetData>
    <row r="4" spans="4:15" ht="16.8" customHeight="1" x14ac:dyDescent="0.3">
      <c r="D4" s="378" t="s">
        <v>322</v>
      </c>
      <c r="E4" s="378"/>
      <c r="F4" s="378"/>
      <c r="G4" s="378"/>
      <c r="H4" s="378"/>
      <c r="I4" s="378"/>
      <c r="J4" s="378"/>
      <c r="K4" s="378"/>
      <c r="L4" s="378"/>
      <c r="M4" s="147"/>
      <c r="N4" s="147"/>
      <c r="O4" s="147"/>
    </row>
    <row r="6" spans="4:15" ht="15" x14ac:dyDescent="0.3">
      <c r="D6" s="416" t="s">
        <v>323</v>
      </c>
      <c r="E6" s="416"/>
      <c r="F6" s="416"/>
      <c r="G6" s="416"/>
      <c r="H6" s="416"/>
      <c r="I6" s="416"/>
      <c r="J6" s="416"/>
      <c r="K6" s="416"/>
      <c r="L6" s="416"/>
      <c r="M6" s="148"/>
      <c r="N6" s="148"/>
      <c r="O6" s="148"/>
    </row>
    <row r="7" spans="4:15" x14ac:dyDescent="0.3">
      <c r="D7" s="186"/>
      <c r="E7" s="186"/>
      <c r="F7" s="277" t="s">
        <v>46</v>
      </c>
      <c r="G7" s="277" t="s">
        <v>65</v>
      </c>
      <c r="H7" s="277" t="s">
        <v>324</v>
      </c>
      <c r="I7" s="277" t="s">
        <v>324</v>
      </c>
      <c r="J7" s="277" t="s">
        <v>177</v>
      </c>
      <c r="K7" s="277" t="s">
        <v>325</v>
      </c>
      <c r="L7" s="277" t="s">
        <v>326</v>
      </c>
      <c r="M7" s="5"/>
      <c r="N7" s="5"/>
      <c r="O7" s="5"/>
    </row>
    <row r="8" spans="4:15" x14ac:dyDescent="0.3">
      <c r="D8" s="278" t="s">
        <v>144</v>
      </c>
      <c r="E8" s="279"/>
      <c r="F8" s="280" t="s">
        <v>327</v>
      </c>
      <c r="G8" s="280" t="s">
        <v>197</v>
      </c>
      <c r="H8" s="280" t="s">
        <v>46</v>
      </c>
      <c r="I8" s="280" t="s">
        <v>328</v>
      </c>
      <c r="J8" s="280" t="s">
        <v>329</v>
      </c>
      <c r="K8" s="280" t="s">
        <v>319</v>
      </c>
      <c r="L8" s="280" t="s">
        <v>319</v>
      </c>
      <c r="M8" s="5"/>
      <c r="N8" s="5"/>
      <c r="O8" s="5"/>
    </row>
    <row r="9" spans="4:15" x14ac:dyDescent="0.3">
      <c r="D9" s="5"/>
      <c r="E9" s="5"/>
      <c r="F9" s="5"/>
      <c r="G9" s="5"/>
      <c r="H9" s="5"/>
      <c r="I9" s="5"/>
      <c r="J9" s="5"/>
      <c r="K9" s="5"/>
      <c r="L9" s="5"/>
      <c r="M9" s="5"/>
      <c r="N9" s="5"/>
      <c r="O9" s="5"/>
    </row>
    <row r="10" spans="4:15" x14ac:dyDescent="0.3">
      <c r="D10" s="1" t="s">
        <v>338</v>
      </c>
      <c r="E10" s="5"/>
      <c r="F10" s="214">
        <f>Comps!H10</f>
        <v>10667.117999999999</v>
      </c>
      <c r="G10" s="214">
        <f>Comps!I10</f>
        <v>5430.4</v>
      </c>
      <c r="H10" s="199">
        <f t="shared" ref="H10:H12" si="0">G10/F10</f>
        <v>0.5090784596176775</v>
      </c>
      <c r="I10" s="213">
        <f t="shared" ref="I10:I12" si="1">H10/(F10+G10)</f>
        <v>3.1624655404496368E-5</v>
      </c>
      <c r="J10" s="215">
        <v>0.27200000000000002</v>
      </c>
      <c r="K10" s="216">
        <f>'Equity Beta'!AB12</f>
        <v>0.1407601404148941</v>
      </c>
      <c r="L10" s="199">
        <f>K10/(1+I10)*(1-J10)</f>
        <v>0.10247014163912432</v>
      </c>
      <c r="M10" s="5"/>
      <c r="N10" s="5"/>
      <c r="O10" s="5"/>
    </row>
    <row r="11" spans="4:15" x14ac:dyDescent="0.3">
      <c r="D11" s="1" t="s">
        <v>339</v>
      </c>
      <c r="E11" s="5"/>
      <c r="F11" s="214">
        <f>Comps!H11</f>
        <v>5063.8499999999995</v>
      </c>
      <c r="G11" s="214">
        <f>Comps!I11</f>
        <v>0.59</v>
      </c>
      <c r="H11" s="199">
        <f t="shared" si="0"/>
        <v>1.1651213997255053E-4</v>
      </c>
      <c r="I11" s="213">
        <f t="shared" si="1"/>
        <v>2.3005927599606382E-8</v>
      </c>
      <c r="J11" s="215">
        <v>0.25390000000000001</v>
      </c>
      <c r="K11" s="216">
        <f>'Equity Beta'!AB13</f>
        <v>0.20903286756573608</v>
      </c>
      <c r="L11" s="199">
        <f t="shared" ref="L11:L12" si="2">K11/(1+I11)*(1-J11)</f>
        <v>0.1559594189028046</v>
      </c>
      <c r="M11" s="5"/>
      <c r="N11" s="5"/>
      <c r="O11" s="5"/>
    </row>
    <row r="12" spans="4:15" x14ac:dyDescent="0.3">
      <c r="D12" s="1" t="s">
        <v>340</v>
      </c>
      <c r="E12" s="5"/>
      <c r="F12" s="214">
        <f>Comps!H12</f>
        <v>4472.0879999999997</v>
      </c>
      <c r="G12" s="214">
        <f>Comps!I12</f>
        <v>83.95</v>
      </c>
      <c r="H12" s="199">
        <f t="shared" si="0"/>
        <v>1.8771991964379953E-2</v>
      </c>
      <c r="I12" s="213">
        <f t="shared" si="1"/>
        <v>4.1202448189369697E-6</v>
      </c>
      <c r="J12" s="215">
        <v>0.20069999999999999</v>
      </c>
      <c r="K12" s="216">
        <f>'Equity Beta'!AB14</f>
        <v>0.14652317398426629</v>
      </c>
      <c r="L12" s="199">
        <f t="shared" si="2"/>
        <v>0.11711549042113144</v>
      </c>
      <c r="M12" s="5"/>
      <c r="N12" s="5"/>
      <c r="O12" s="5"/>
    </row>
    <row r="13" spans="4:15" x14ac:dyDescent="0.3">
      <c r="D13" s="5"/>
      <c r="E13" s="5"/>
      <c r="F13" s="5"/>
      <c r="G13" s="5"/>
      <c r="H13" s="5"/>
      <c r="I13" s="5"/>
      <c r="J13" s="5"/>
      <c r="K13" s="5"/>
      <c r="L13" s="5"/>
      <c r="M13" s="5"/>
      <c r="N13" s="5"/>
      <c r="O13" s="5"/>
    </row>
    <row r="14" spans="4:15" x14ac:dyDescent="0.3">
      <c r="D14" s="155" t="s">
        <v>366</v>
      </c>
      <c r="E14" s="155"/>
      <c r="F14" s="155"/>
      <c r="G14" s="155"/>
      <c r="H14" s="155"/>
      <c r="I14" s="217">
        <f t="shared" ref="I14:L14" si="3">AVERAGE(I10:I12)</f>
        <v>1.1922635383677649E-5</v>
      </c>
      <c r="J14" s="217">
        <f t="shared" si="3"/>
        <v>0.2422</v>
      </c>
      <c r="K14" s="227">
        <f t="shared" si="3"/>
        <v>0.16543872732163215</v>
      </c>
      <c r="L14" s="227">
        <f t="shared" si="3"/>
        <v>0.12518168365435345</v>
      </c>
      <c r="M14" s="5"/>
      <c r="N14" s="5"/>
      <c r="O14" s="5"/>
    </row>
    <row r="15" spans="4:15" x14ac:dyDescent="0.3">
      <c r="D15" s="155" t="s">
        <v>367</v>
      </c>
      <c r="E15" s="155"/>
      <c r="F15" s="155"/>
      <c r="G15" s="155"/>
      <c r="H15" s="155"/>
      <c r="I15" s="217">
        <f t="shared" ref="I15:L15" si="4">MEDIAN(I10:I12)</f>
        <v>4.1202448189369697E-6</v>
      </c>
      <c r="J15" s="217">
        <f t="shared" si="4"/>
        <v>0.25390000000000001</v>
      </c>
      <c r="K15" s="227">
        <f t="shared" si="4"/>
        <v>0.14652317398426629</v>
      </c>
      <c r="L15" s="227">
        <f t="shared" si="4"/>
        <v>0.11711549042113144</v>
      </c>
      <c r="M15" s="5"/>
      <c r="N15" s="5"/>
      <c r="O15" s="5"/>
    </row>
    <row r="16" spans="4:15" x14ac:dyDescent="0.3">
      <c r="D16" s="5"/>
      <c r="E16" s="5"/>
      <c r="F16" s="5"/>
      <c r="G16" s="5"/>
      <c r="H16" s="5"/>
      <c r="I16" s="5"/>
      <c r="J16" s="5"/>
      <c r="K16" s="5"/>
      <c r="L16" s="5"/>
      <c r="M16" s="5"/>
      <c r="N16" s="5"/>
      <c r="O16" s="5"/>
    </row>
    <row r="17" spans="4:18" x14ac:dyDescent="0.3">
      <c r="D17" s="203" t="s">
        <v>337</v>
      </c>
      <c r="E17" s="203"/>
      <c r="F17" s="207">
        <f>Comps!H17</f>
        <v>79374.833999999988</v>
      </c>
      <c r="G17" s="203">
        <f>Comps!I17</f>
        <v>19.47</v>
      </c>
      <c r="H17" s="203"/>
      <c r="I17" s="203"/>
      <c r="J17" s="203"/>
      <c r="K17" s="203"/>
      <c r="L17" s="203"/>
      <c r="M17" s="5"/>
      <c r="N17" s="5"/>
      <c r="O17" s="5"/>
    </row>
    <row r="18" spans="4:18" x14ac:dyDescent="0.3">
      <c r="D18" s="5"/>
      <c r="E18" s="5"/>
      <c r="F18" s="5"/>
      <c r="G18" s="5"/>
      <c r="H18" s="5"/>
      <c r="I18" s="5"/>
      <c r="J18" s="5"/>
      <c r="K18" s="5"/>
      <c r="L18" s="5"/>
      <c r="M18" s="5"/>
      <c r="N18" s="5"/>
      <c r="O18" s="5"/>
    </row>
    <row r="19" spans="4:18" ht="16.8" customHeight="1" x14ac:dyDescent="0.3">
      <c r="D19" s="427" t="s">
        <v>373</v>
      </c>
      <c r="E19" s="427"/>
      <c r="F19" s="427"/>
      <c r="G19" s="427"/>
      <c r="H19" s="427"/>
      <c r="I19" s="427"/>
      <c r="J19" s="427"/>
      <c r="K19" s="427"/>
      <c r="L19" s="427"/>
      <c r="M19" s="5"/>
      <c r="N19" s="5"/>
      <c r="O19" s="5"/>
    </row>
    <row r="20" spans="4:18" x14ac:dyDescent="0.3">
      <c r="D20" s="5"/>
      <c r="E20" s="5"/>
      <c r="F20" s="5"/>
      <c r="G20" s="5"/>
      <c r="H20" s="5"/>
      <c r="I20" s="5"/>
      <c r="J20" s="5"/>
      <c r="K20" s="5"/>
      <c r="L20" s="5"/>
      <c r="M20" s="5"/>
      <c r="N20" s="5"/>
      <c r="O20" s="5"/>
    </row>
    <row r="21" spans="4:18" x14ac:dyDescent="0.3">
      <c r="D21" s="218" t="s">
        <v>374</v>
      </c>
      <c r="E21" s="219"/>
      <c r="F21" s="5"/>
      <c r="G21" s="5"/>
      <c r="H21" s="5"/>
      <c r="I21" s="5"/>
      <c r="J21" s="5"/>
      <c r="K21" s="5"/>
      <c r="L21" s="5"/>
      <c r="M21" s="5"/>
      <c r="N21" s="5"/>
      <c r="O21" s="5"/>
    </row>
    <row r="22" spans="4:18" x14ac:dyDescent="0.3">
      <c r="D22" s="146" t="s">
        <v>375</v>
      </c>
      <c r="E22" s="226">
        <f>I14</f>
        <v>1.1922635383677649E-5</v>
      </c>
      <c r="F22" s="5"/>
      <c r="G22" s="5"/>
      <c r="H22" s="5"/>
      <c r="I22" s="5"/>
      <c r="J22" s="5"/>
      <c r="K22" s="5"/>
      <c r="L22" s="5"/>
      <c r="M22" s="5"/>
      <c r="N22" s="5"/>
      <c r="O22" s="5"/>
      <c r="P22" s="5"/>
    </row>
    <row r="23" spans="4:18" x14ac:dyDescent="0.3">
      <c r="D23" s="146" t="s">
        <v>376</v>
      </c>
      <c r="E23" s="284">
        <f>(1-E22)</f>
        <v>0.99998807736461637</v>
      </c>
      <c r="F23" s="5"/>
      <c r="G23" s="5"/>
      <c r="H23" s="5"/>
      <c r="I23" s="5"/>
      <c r="J23" s="5"/>
      <c r="K23" s="5"/>
      <c r="L23" s="5"/>
      <c r="M23" s="5"/>
      <c r="N23" s="5"/>
      <c r="O23" s="5"/>
    </row>
    <row r="24" spans="4:18" x14ac:dyDescent="0.3">
      <c r="D24" s="146"/>
      <c r="E24" s="5"/>
      <c r="F24" s="5"/>
      <c r="G24" s="5"/>
      <c r="H24" s="5"/>
      <c r="I24" s="5"/>
      <c r="J24" s="5"/>
      <c r="K24" s="5"/>
      <c r="L24" s="5"/>
      <c r="M24" s="5"/>
      <c r="N24" s="5"/>
      <c r="O24" s="5"/>
    </row>
    <row r="25" spans="4:18" x14ac:dyDescent="0.3">
      <c r="D25" s="218" t="s">
        <v>377</v>
      </c>
      <c r="E25" s="219"/>
      <c r="F25" s="5"/>
      <c r="G25" s="5"/>
      <c r="H25" s="5"/>
      <c r="I25" s="5"/>
      <c r="J25" s="5"/>
      <c r="K25" s="5"/>
      <c r="L25" s="5"/>
      <c r="M25" s="5"/>
      <c r="N25" s="5"/>
      <c r="O25" s="5"/>
    </row>
    <row r="26" spans="4:18" x14ac:dyDescent="0.3">
      <c r="D26" s="146" t="s">
        <v>308</v>
      </c>
      <c r="E26" s="214">
        <f>F17</f>
        <v>79374.833999999988</v>
      </c>
      <c r="F26" s="5"/>
      <c r="G26" s="5"/>
      <c r="H26" s="5"/>
      <c r="I26" s="5"/>
      <c r="J26" s="5"/>
      <c r="K26" s="5"/>
      <c r="L26" s="5"/>
      <c r="M26" s="5"/>
      <c r="N26" s="5"/>
      <c r="O26" s="5"/>
    </row>
    <row r="27" spans="4:18" x14ac:dyDescent="0.3">
      <c r="D27" s="146" t="s">
        <v>378</v>
      </c>
      <c r="E27" s="359">
        <f>G17</f>
        <v>19.47</v>
      </c>
      <c r="F27" s="5"/>
      <c r="G27" s="5"/>
      <c r="H27" s="5"/>
      <c r="I27" s="5"/>
      <c r="J27" s="5"/>
      <c r="K27" s="5"/>
      <c r="L27" s="5"/>
      <c r="M27" s="5"/>
      <c r="N27" s="5"/>
      <c r="O27" s="5"/>
    </row>
    <row r="28" spans="4:18" x14ac:dyDescent="0.3">
      <c r="D28" s="220" t="s">
        <v>379</v>
      </c>
      <c r="E28" s="223">
        <f>E27/E26</f>
        <v>2.4529185157099039E-4</v>
      </c>
      <c r="F28" s="5"/>
      <c r="G28" s="5"/>
      <c r="H28" s="5"/>
      <c r="I28" s="5"/>
      <c r="J28" s="5"/>
      <c r="K28" s="5"/>
      <c r="L28" s="5"/>
      <c r="M28" s="5"/>
      <c r="N28" s="5"/>
      <c r="O28" s="5"/>
      <c r="P28" s="5"/>
      <c r="Q28" s="5"/>
      <c r="R28" s="5"/>
    </row>
    <row r="29" spans="4:18" x14ac:dyDescent="0.3">
      <c r="D29" s="146"/>
      <c r="E29" s="5"/>
      <c r="F29" s="5"/>
      <c r="G29" s="5"/>
      <c r="H29" s="5"/>
      <c r="I29" s="5"/>
      <c r="J29" s="5"/>
      <c r="K29" s="5"/>
      <c r="L29" s="5"/>
      <c r="M29" s="5"/>
      <c r="N29" s="5"/>
      <c r="O29" s="5"/>
      <c r="P29" s="5"/>
      <c r="Q29" s="5"/>
      <c r="R29" s="5"/>
    </row>
    <row r="30" spans="4:18" x14ac:dyDescent="0.3">
      <c r="D30" s="218" t="s">
        <v>380</v>
      </c>
      <c r="E30" s="219"/>
      <c r="F30" s="5"/>
      <c r="G30" s="5"/>
      <c r="H30" s="5"/>
      <c r="I30" s="5"/>
      <c r="J30" s="5"/>
      <c r="K30" s="5"/>
      <c r="L30" s="5"/>
      <c r="M30" s="5"/>
      <c r="N30" s="5"/>
      <c r="O30" s="5"/>
      <c r="P30" s="5"/>
      <c r="Q30" s="5"/>
      <c r="R30" s="5"/>
    </row>
    <row r="31" spans="4:18" x14ac:dyDescent="0.3">
      <c r="D31" s="146" t="s">
        <v>381</v>
      </c>
      <c r="E31" s="224">
        <v>0.156</v>
      </c>
      <c r="F31" s="5"/>
      <c r="G31" s="5"/>
      <c r="H31" s="5"/>
      <c r="I31" s="5"/>
      <c r="J31" s="5"/>
      <c r="K31" s="5"/>
      <c r="L31" s="5"/>
      <c r="M31" s="5"/>
      <c r="N31" s="5"/>
      <c r="O31" s="5"/>
      <c r="P31" s="5"/>
      <c r="Q31" s="5"/>
      <c r="R31" s="5"/>
    </row>
    <row r="32" spans="4:18" x14ac:dyDescent="0.3">
      <c r="D32" s="146" t="s">
        <v>287</v>
      </c>
      <c r="E32" s="226">
        <f>'Cost Buildup'!I27</f>
        <v>0.21955357183356705</v>
      </c>
      <c r="F32" s="5"/>
      <c r="G32" s="5"/>
      <c r="H32" s="5"/>
      <c r="I32" s="5"/>
      <c r="J32" s="5"/>
      <c r="K32" s="5"/>
      <c r="L32" s="5"/>
      <c r="M32" s="5"/>
      <c r="N32" s="5"/>
      <c r="O32" s="5"/>
      <c r="P32" s="5"/>
      <c r="Q32" s="5"/>
      <c r="R32" s="5"/>
    </row>
    <row r="33" spans="4:18" x14ac:dyDescent="0.3">
      <c r="D33" s="220" t="s">
        <v>382</v>
      </c>
      <c r="E33" s="222">
        <f>E31*(1-E32)</f>
        <v>0.12174964279396354</v>
      </c>
      <c r="F33" s="5"/>
      <c r="G33" s="5"/>
      <c r="H33" s="5"/>
      <c r="I33" s="5"/>
      <c r="J33" s="5"/>
      <c r="K33" s="5"/>
      <c r="L33" s="5"/>
      <c r="M33" s="5"/>
      <c r="N33" s="5"/>
      <c r="O33" s="5"/>
      <c r="P33" s="5"/>
      <c r="Q33" s="5"/>
      <c r="R33" s="5"/>
    </row>
    <row r="34" spans="4:18" x14ac:dyDescent="0.3">
      <c r="D34" s="146"/>
      <c r="E34" s="5"/>
      <c r="F34" s="5"/>
      <c r="G34" s="5"/>
      <c r="H34" s="5"/>
      <c r="I34" s="5"/>
      <c r="J34" s="5"/>
      <c r="K34" s="5"/>
      <c r="L34" s="5"/>
      <c r="M34" s="5"/>
      <c r="N34" s="5"/>
      <c r="O34" s="5"/>
      <c r="P34" s="5"/>
      <c r="Q34" s="5"/>
      <c r="R34" s="5"/>
    </row>
    <row r="35" spans="4:18" x14ac:dyDescent="0.3">
      <c r="D35" s="218" t="s">
        <v>383</v>
      </c>
      <c r="E35" s="219"/>
      <c r="F35" s="5"/>
      <c r="G35" s="5"/>
      <c r="H35" s="5"/>
      <c r="I35" s="5"/>
      <c r="J35" s="5"/>
      <c r="K35" s="5"/>
      <c r="L35" s="5"/>
      <c r="M35" s="5"/>
      <c r="N35" s="5"/>
      <c r="O35" s="5"/>
      <c r="P35" s="5"/>
      <c r="Q35" s="5"/>
      <c r="R35" s="5"/>
    </row>
    <row r="36" spans="4:18" x14ac:dyDescent="0.3">
      <c r="D36" s="146" t="s">
        <v>384</v>
      </c>
      <c r="E36" s="224">
        <v>6.6799999999999998E-2</v>
      </c>
      <c r="F36" s="225" t="s">
        <v>389</v>
      </c>
      <c r="G36" s="5"/>
      <c r="H36" s="5"/>
      <c r="I36" s="5"/>
      <c r="J36" s="5"/>
      <c r="K36" s="5"/>
      <c r="L36" s="5"/>
      <c r="M36" s="5"/>
      <c r="N36" s="5"/>
      <c r="O36" s="5"/>
      <c r="P36" s="5"/>
      <c r="Q36" s="5"/>
      <c r="R36" s="5"/>
    </row>
    <row r="37" spans="4:18" x14ac:dyDescent="0.3">
      <c r="D37" s="146" t="s">
        <v>385</v>
      </c>
      <c r="E37" s="226">
        <f>'Market Return'!J14</f>
        <v>0.10645781828415002</v>
      </c>
      <c r="F37" s="5"/>
      <c r="G37" s="5"/>
      <c r="H37" s="5"/>
      <c r="I37" s="5"/>
      <c r="J37" s="5"/>
      <c r="K37" s="5"/>
      <c r="L37" s="5"/>
      <c r="M37" s="5"/>
      <c r="N37" s="5"/>
      <c r="O37" s="5"/>
      <c r="P37" s="5"/>
      <c r="Q37" s="5"/>
      <c r="R37" s="5"/>
    </row>
    <row r="38" spans="4:18" x14ac:dyDescent="0.3">
      <c r="D38" s="146" t="s">
        <v>386</v>
      </c>
      <c r="E38" s="284">
        <f>E37-E36</f>
        <v>3.965781828415002E-2</v>
      </c>
      <c r="F38" s="5"/>
      <c r="G38" s="5"/>
      <c r="H38" s="5"/>
      <c r="I38" s="5"/>
      <c r="J38" s="5"/>
      <c r="K38" s="5"/>
      <c r="L38" s="5"/>
      <c r="M38" s="5"/>
      <c r="N38" s="5"/>
      <c r="O38" s="5"/>
      <c r="P38" s="5"/>
      <c r="Q38" s="5"/>
      <c r="R38" s="5"/>
    </row>
    <row r="39" spans="4:18" x14ac:dyDescent="0.3">
      <c r="D39" s="146" t="s">
        <v>387</v>
      </c>
      <c r="E39" s="199">
        <f>L15*(1+E28)*(1-E33)</f>
        <v>0.10288195121233222</v>
      </c>
      <c r="F39" s="5"/>
      <c r="G39" s="5"/>
      <c r="H39" s="5"/>
      <c r="I39" s="5"/>
      <c r="J39" s="5"/>
      <c r="K39" s="5"/>
      <c r="L39" s="5"/>
      <c r="M39" s="5"/>
      <c r="N39" s="5"/>
      <c r="O39" s="5"/>
      <c r="P39" s="5"/>
      <c r="Q39" s="5"/>
      <c r="R39" s="5"/>
    </row>
    <row r="40" spans="4:18" x14ac:dyDescent="0.3">
      <c r="D40" s="220" t="s">
        <v>383</v>
      </c>
      <c r="E40" s="222">
        <f>E36+(E39*E38)</f>
        <v>7.0880073725897455E-2</v>
      </c>
      <c r="F40" s="5"/>
      <c r="G40" s="5"/>
      <c r="H40" s="5"/>
      <c r="I40" s="5"/>
      <c r="J40" s="5"/>
      <c r="K40" s="5"/>
      <c r="L40" s="5"/>
      <c r="M40" s="5"/>
      <c r="N40" s="5"/>
      <c r="O40" s="5"/>
      <c r="P40" s="5"/>
      <c r="Q40" s="5"/>
      <c r="R40" s="5"/>
    </row>
    <row r="41" spans="4:18" ht="15" thickBot="1" x14ac:dyDescent="0.35">
      <c r="D41" s="146"/>
      <c r="E41" s="5"/>
      <c r="F41" s="5"/>
      <c r="G41" s="5"/>
      <c r="H41" s="5"/>
      <c r="I41" s="5"/>
      <c r="J41" s="5"/>
      <c r="K41" s="5"/>
      <c r="L41" s="5"/>
      <c r="M41" s="5"/>
      <c r="N41" s="5"/>
      <c r="O41" s="5"/>
      <c r="P41" s="5"/>
      <c r="Q41" s="5"/>
      <c r="R41" s="5"/>
    </row>
    <row r="42" spans="4:18" ht="15.6" thickTop="1" thickBot="1" x14ac:dyDescent="0.35">
      <c r="D42" s="221" t="s">
        <v>388</v>
      </c>
      <c r="E42" s="228">
        <f>(E22*E33)+(E28*E40)</f>
        <v>1.883788112283912E-5</v>
      </c>
      <c r="F42" s="5"/>
      <c r="G42" s="5"/>
      <c r="H42" s="5"/>
      <c r="I42" s="5"/>
      <c r="J42" s="5"/>
      <c r="K42" s="5"/>
      <c r="L42" s="5"/>
      <c r="M42" s="5"/>
      <c r="N42" s="5"/>
      <c r="O42" s="5"/>
      <c r="P42" s="5"/>
      <c r="Q42" s="5"/>
      <c r="R42" s="5"/>
    </row>
    <row r="43" spans="4:18" ht="15" thickTop="1" x14ac:dyDescent="0.3">
      <c r="D43" s="5"/>
      <c r="E43" s="5"/>
      <c r="F43" s="5"/>
      <c r="G43" s="5"/>
      <c r="H43" s="5"/>
      <c r="I43" s="5"/>
      <c r="J43" s="5"/>
      <c r="K43" s="5"/>
      <c r="L43" s="5"/>
      <c r="M43" s="5"/>
      <c r="N43" s="5"/>
      <c r="O43" s="5"/>
      <c r="P43" s="5"/>
      <c r="Q43" s="5"/>
      <c r="R43" s="5"/>
    </row>
    <row r="44" spans="4:18" x14ac:dyDescent="0.3">
      <c r="D44" s="5"/>
      <c r="E44" s="5"/>
      <c r="F44" s="5"/>
      <c r="G44" s="5"/>
      <c r="H44" s="5"/>
      <c r="I44" s="5"/>
      <c r="J44" s="5"/>
      <c r="K44" s="5"/>
      <c r="L44" s="5"/>
      <c r="M44" s="5"/>
      <c r="N44" s="5"/>
      <c r="O44" s="5"/>
      <c r="P44" s="5"/>
      <c r="Q44" s="5"/>
      <c r="R44" s="5"/>
    </row>
    <row r="45" spans="4:18" x14ac:dyDescent="0.3">
      <c r="K45" s="5"/>
      <c r="L45" s="5"/>
      <c r="M45" s="5"/>
      <c r="N45" s="5"/>
      <c r="O45" s="5"/>
      <c r="P45" s="5"/>
      <c r="Q45" s="5"/>
      <c r="R45" s="5"/>
    </row>
    <row r="46" spans="4:18" x14ac:dyDescent="0.3">
      <c r="K46" s="5"/>
      <c r="L46" s="5"/>
      <c r="M46" s="5"/>
      <c r="N46" s="5"/>
      <c r="O46" s="5"/>
      <c r="P46" s="5"/>
      <c r="Q46" s="5"/>
      <c r="R46" s="5"/>
    </row>
    <row r="47" spans="4:18" x14ac:dyDescent="0.3">
      <c r="K47" s="5"/>
      <c r="L47" s="5"/>
      <c r="M47" s="5"/>
      <c r="N47" s="5"/>
      <c r="O47" s="5"/>
      <c r="P47" s="5"/>
      <c r="Q47" s="5"/>
      <c r="R47" s="5"/>
    </row>
  </sheetData>
  <mergeCells count="3">
    <mergeCell ref="D4:L4"/>
    <mergeCell ref="D6:L6"/>
    <mergeCell ref="D19:L19"/>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26D8-9F96-485A-9BAF-791FEE4180FC}">
  <dimension ref="D4:AB539"/>
  <sheetViews>
    <sheetView showGridLines="0" workbookViewId="0">
      <selection activeCell="AB11" sqref="AB11"/>
    </sheetView>
  </sheetViews>
  <sheetFormatPr defaultRowHeight="13.8" x14ac:dyDescent="0.25"/>
  <cols>
    <col min="1" max="3" width="1.33203125" style="1" customWidth="1"/>
    <col min="4" max="4" width="11.88671875" style="1" bestFit="1" customWidth="1"/>
    <col min="5" max="5" width="1.77734375" style="1" customWidth="1"/>
    <col min="6" max="6" width="8.5546875" style="1" bestFit="1" customWidth="1"/>
    <col min="7" max="7" width="1.77734375" style="1" customWidth="1"/>
    <col min="8" max="8" width="8.88671875" style="1"/>
    <col min="9" max="9" width="1.77734375" style="1" customWidth="1"/>
    <col min="10" max="10" width="9.77734375" style="1" bestFit="1" customWidth="1"/>
    <col min="11" max="11" width="1.77734375" style="1" customWidth="1"/>
    <col min="12" max="12" width="8.88671875" style="1"/>
    <col min="13" max="13" width="1.77734375" style="1" customWidth="1"/>
    <col min="14" max="14" width="8.88671875" style="1"/>
    <col min="15" max="15" width="1.77734375" style="1" customWidth="1"/>
    <col min="16" max="16" width="8.88671875" style="1"/>
    <col min="17" max="17" width="1.77734375" style="1" customWidth="1"/>
    <col min="18" max="18" width="8.5546875" style="1" bestFit="1" customWidth="1"/>
    <col min="19" max="19" width="1.77734375" style="1" customWidth="1"/>
    <col min="20" max="20" width="8.88671875" style="1"/>
    <col min="21" max="21" width="1.77734375" style="1" customWidth="1"/>
    <col min="22" max="22" width="9.6640625" style="1" bestFit="1" customWidth="1"/>
    <col min="23" max="23" width="1.77734375" style="1" customWidth="1"/>
    <col min="24" max="25" width="8.88671875" style="1"/>
    <col min="26" max="26" width="16.21875" style="1" bestFit="1" customWidth="1"/>
    <col min="27" max="16384" width="8.88671875" style="1"/>
  </cols>
  <sheetData>
    <row r="4" spans="4:28" ht="16.8" customHeight="1" x14ac:dyDescent="0.25">
      <c r="D4" s="378" t="s">
        <v>320</v>
      </c>
      <c r="E4" s="378"/>
      <c r="F4" s="378"/>
      <c r="G4" s="378"/>
      <c r="H4" s="378"/>
      <c r="I4" s="378"/>
      <c r="J4" s="378"/>
    </row>
    <row r="6" spans="4:28" ht="16.8" customHeight="1" x14ac:dyDescent="0.25">
      <c r="D6" s="378" t="s">
        <v>321</v>
      </c>
      <c r="E6" s="378"/>
      <c r="F6" s="378"/>
      <c r="G6" s="378"/>
      <c r="H6" s="378"/>
      <c r="I6" s="378"/>
      <c r="J6" s="378"/>
    </row>
    <row r="7" spans="4:28" ht="16.8" customHeight="1" x14ac:dyDescent="0.25">
      <c r="D7" s="154"/>
      <c r="E7" s="154"/>
      <c r="F7" s="154"/>
      <c r="G7" s="154"/>
      <c r="H7" s="154"/>
      <c r="I7" s="154"/>
      <c r="J7" s="154"/>
    </row>
    <row r="8" spans="4:28" x14ac:dyDescent="0.25">
      <c r="E8" s="153"/>
      <c r="G8" s="153"/>
      <c r="H8" s="153"/>
      <c r="I8" s="153"/>
      <c r="K8" s="153"/>
      <c r="L8" s="153"/>
      <c r="M8" s="153"/>
      <c r="O8" s="153"/>
      <c r="P8" s="153"/>
      <c r="Q8" s="153"/>
      <c r="S8" s="153"/>
      <c r="T8" s="153"/>
      <c r="U8" s="153"/>
      <c r="W8" s="153"/>
      <c r="X8" s="153"/>
    </row>
    <row r="9" spans="4:28" x14ac:dyDescent="0.25">
      <c r="D9" s="435" t="s">
        <v>251</v>
      </c>
      <c r="E9" s="436"/>
      <c r="F9" s="435" t="s">
        <v>463</v>
      </c>
      <c r="G9" s="436"/>
      <c r="H9" s="435" t="s">
        <v>331</v>
      </c>
      <c r="I9" s="436"/>
      <c r="J9" s="435" t="s">
        <v>332</v>
      </c>
      <c r="K9" s="436"/>
      <c r="L9" s="435" t="s">
        <v>331</v>
      </c>
      <c r="M9" s="436"/>
      <c r="N9" s="435" t="s">
        <v>333</v>
      </c>
      <c r="O9" s="436"/>
      <c r="P9" s="435" t="s">
        <v>331</v>
      </c>
      <c r="Q9" s="436"/>
      <c r="R9" s="435" t="s">
        <v>334</v>
      </c>
      <c r="S9" s="436"/>
      <c r="T9" s="435" t="s">
        <v>331</v>
      </c>
      <c r="U9" s="436"/>
      <c r="V9" s="435" t="s">
        <v>335</v>
      </c>
      <c r="W9" s="436"/>
      <c r="X9" s="435" t="s">
        <v>331</v>
      </c>
      <c r="Z9" s="374" t="s">
        <v>336</v>
      </c>
      <c r="AA9" s="229"/>
      <c r="AB9" s="229" t="s">
        <v>319</v>
      </c>
    </row>
    <row r="10" spans="4:28" x14ac:dyDescent="0.25">
      <c r="D10" s="153"/>
      <c r="E10" s="153"/>
      <c r="F10" s="364"/>
      <c r="G10" s="153"/>
      <c r="H10" s="364"/>
      <c r="I10" s="153"/>
      <c r="J10" s="364"/>
      <c r="K10" s="153"/>
      <c r="L10" s="364"/>
      <c r="M10" s="153"/>
      <c r="N10" s="364"/>
      <c r="O10" s="153"/>
      <c r="P10" s="364"/>
      <c r="Q10" s="153"/>
      <c r="R10" s="364"/>
      <c r="S10" s="153"/>
      <c r="T10" s="364"/>
      <c r="U10" s="153"/>
      <c r="V10" s="364"/>
      <c r="W10" s="153"/>
      <c r="X10" s="364"/>
    </row>
    <row r="11" spans="4:28" x14ac:dyDescent="0.25">
      <c r="D11" s="366">
        <v>45777</v>
      </c>
      <c r="E11" s="153"/>
      <c r="F11" s="123">
        <v>24334.2</v>
      </c>
      <c r="G11" s="153"/>
      <c r="H11" s="364"/>
      <c r="I11" s="153"/>
      <c r="J11" s="123">
        <v>746.5</v>
      </c>
      <c r="K11" s="153"/>
      <c r="L11" s="364"/>
      <c r="M11" s="153"/>
      <c r="N11" s="123">
        <v>4071.2</v>
      </c>
      <c r="O11" s="153"/>
      <c r="P11" s="364"/>
      <c r="Q11" s="153"/>
      <c r="R11" s="123">
        <v>199.57</v>
      </c>
      <c r="S11" s="153"/>
      <c r="T11" s="364"/>
      <c r="U11" s="153"/>
      <c r="V11" s="123">
        <v>2891</v>
      </c>
      <c r="W11" s="153"/>
      <c r="X11" s="364"/>
      <c r="Z11" s="19" t="s">
        <v>337</v>
      </c>
      <c r="AA11" s="19"/>
      <c r="AB11" s="156">
        <f>SLOPE(H12:H273,X12:X273)</f>
        <v>0.23007419675006963</v>
      </c>
    </row>
    <row r="12" spans="4:28" x14ac:dyDescent="0.25">
      <c r="D12" s="122">
        <v>45772</v>
      </c>
      <c r="F12" s="123">
        <v>24091.599999999999</v>
      </c>
      <c r="H12" s="50">
        <f>F12/F11-1</f>
        <v>-9.96950793533391E-3</v>
      </c>
      <c r="J12" s="123">
        <v>734.85</v>
      </c>
      <c r="L12" s="50">
        <f>J12/J11-1</f>
        <v>-1.5606162089752185E-2</v>
      </c>
      <c r="N12" s="123">
        <v>4171.2</v>
      </c>
      <c r="P12" s="50">
        <f>N12/N11-1</f>
        <v>2.4562782471998501E-2</v>
      </c>
      <c r="R12" s="123">
        <v>192.24</v>
      </c>
      <c r="T12" s="50">
        <f>R12/R11-1</f>
        <v>-3.6728967279651137E-2</v>
      </c>
      <c r="V12" s="123">
        <v>2861.1</v>
      </c>
      <c r="X12" s="50">
        <f>V12/V11-1</f>
        <v>-1.0342442061570423E-2</v>
      </c>
      <c r="Z12" s="157" t="s">
        <v>338</v>
      </c>
      <c r="AA12" s="157"/>
      <c r="AB12" s="158">
        <f>SLOPE(H12:H274,L12:L274)</f>
        <v>0.1407601404148941</v>
      </c>
    </row>
    <row r="13" spans="4:28" x14ac:dyDescent="0.25">
      <c r="D13" s="122">
        <v>45768</v>
      </c>
      <c r="F13" s="123">
        <v>24246.7</v>
      </c>
      <c r="H13" s="50">
        <f>F13/F12-1</f>
        <v>6.4379285726146041E-3</v>
      </c>
      <c r="J13" s="123">
        <v>753.95</v>
      </c>
      <c r="L13" s="50">
        <f>J13/J12-1</f>
        <v>2.5991698986187695E-2</v>
      </c>
      <c r="N13" s="123">
        <v>4209</v>
      </c>
      <c r="P13" s="50">
        <f>N13/N12-1</f>
        <v>9.062140391254303E-3</v>
      </c>
      <c r="R13" s="123">
        <v>201.88</v>
      </c>
      <c r="T13" s="50">
        <f>R13/R12-1</f>
        <v>5.0145651269246638E-2</v>
      </c>
      <c r="V13" s="123">
        <v>2935.9</v>
      </c>
      <c r="X13" s="50">
        <f>V13/V12-1</f>
        <v>2.6143790849673332E-2</v>
      </c>
      <c r="Z13" s="157" t="s">
        <v>339</v>
      </c>
      <c r="AA13" s="157"/>
      <c r="AB13" s="158">
        <f>SLOPE(H12:H273,P12:P273)</f>
        <v>0.20903286756573608</v>
      </c>
    </row>
    <row r="14" spans="4:28" x14ac:dyDescent="0.25">
      <c r="D14" s="122">
        <v>45761</v>
      </c>
      <c r="F14" s="123">
        <v>23851.65</v>
      </c>
      <c r="H14" s="50">
        <f t="shared" ref="H14:H77" si="0">F14/F13-1</f>
        <v>-1.6292938832913273E-2</v>
      </c>
      <c r="J14" s="123">
        <v>746</v>
      </c>
      <c r="L14" s="50">
        <f t="shared" ref="L14:L77" si="1">J14/J13-1</f>
        <v>-1.0544465813382864E-2</v>
      </c>
      <c r="N14" s="123">
        <v>4137</v>
      </c>
      <c r="P14" s="50">
        <f t="shared" ref="P14:P77" si="2">N14/N13-1</f>
        <v>-1.7106200997861754E-2</v>
      </c>
      <c r="R14" s="123">
        <v>194.66</v>
      </c>
      <c r="T14" s="50">
        <f t="shared" ref="T14:T77" si="3">R14/R13-1</f>
        <v>-3.5763820091143206E-2</v>
      </c>
      <c r="V14" s="123">
        <v>2891.2</v>
      </c>
      <c r="X14" s="50">
        <f t="shared" ref="X14:X77" si="4">V14/V13-1</f>
        <v>-1.5225314213699437E-2</v>
      </c>
      <c r="Z14" s="159" t="s">
        <v>340</v>
      </c>
      <c r="AA14" s="159"/>
      <c r="AB14" s="160">
        <f>SLOPE(H12:H273,T12:T273)</f>
        <v>0.14652317398426629</v>
      </c>
    </row>
    <row r="15" spans="4:28" x14ac:dyDescent="0.25">
      <c r="D15" s="122">
        <v>45754</v>
      </c>
      <c r="F15" s="123">
        <v>22828.55</v>
      </c>
      <c r="H15" s="50">
        <f t="shared" si="0"/>
        <v>-4.2894307102443685E-2</v>
      </c>
      <c r="J15" s="123">
        <v>726.15</v>
      </c>
      <c r="L15" s="50">
        <f t="shared" si="1"/>
        <v>-2.6608579088471918E-2</v>
      </c>
      <c r="N15" s="123">
        <v>3869.7</v>
      </c>
      <c r="P15" s="50">
        <f t="shared" si="2"/>
        <v>-6.4612037708484449E-2</v>
      </c>
      <c r="R15" s="123">
        <v>182.7</v>
      </c>
      <c r="T15" s="50">
        <f t="shared" si="3"/>
        <v>-6.1440460289736043E-2</v>
      </c>
      <c r="V15" s="123">
        <v>2814.95</v>
      </c>
      <c r="X15" s="50">
        <f t="shared" si="4"/>
        <v>-2.6373132263420085E-2</v>
      </c>
    </row>
    <row r="16" spans="4:28" x14ac:dyDescent="0.25">
      <c r="D16" s="122">
        <v>45747</v>
      </c>
      <c r="F16" s="123">
        <v>22904.45</v>
      </c>
      <c r="H16" s="50">
        <f t="shared" si="0"/>
        <v>3.3247840971064591E-3</v>
      </c>
      <c r="J16" s="123">
        <v>723.1</v>
      </c>
      <c r="L16" s="50">
        <f t="shared" si="1"/>
        <v>-4.2002341114094621E-3</v>
      </c>
      <c r="N16" s="123">
        <v>3732.5</v>
      </c>
      <c r="P16" s="50">
        <f t="shared" si="2"/>
        <v>-3.5454944827764345E-2</v>
      </c>
      <c r="R16" s="123">
        <v>194.44</v>
      </c>
      <c r="T16" s="50">
        <f t="shared" si="3"/>
        <v>6.4258347016967754E-2</v>
      </c>
      <c r="V16" s="123">
        <v>2844.95</v>
      </c>
      <c r="X16" s="50">
        <f t="shared" si="4"/>
        <v>1.0657382902005352E-2</v>
      </c>
    </row>
    <row r="17" spans="4:24" x14ac:dyDescent="0.25">
      <c r="D17" s="122">
        <v>45740</v>
      </c>
      <c r="F17" s="123">
        <v>23519.35</v>
      </c>
      <c r="H17" s="50">
        <f t="shared" si="0"/>
        <v>2.6846311524616251E-2</v>
      </c>
      <c r="J17" s="123">
        <v>719.75</v>
      </c>
      <c r="L17" s="50">
        <f t="shared" si="1"/>
        <v>-4.6328308670999796E-3</v>
      </c>
      <c r="N17" s="123">
        <v>3899.45</v>
      </c>
      <c r="P17" s="50">
        <f t="shared" si="2"/>
        <v>4.4728734092431388E-2</v>
      </c>
      <c r="R17" s="123">
        <v>214.8</v>
      </c>
      <c r="T17" s="50">
        <f t="shared" si="3"/>
        <v>0.10471096482205322</v>
      </c>
      <c r="V17" s="123">
        <v>3051.85</v>
      </c>
      <c r="X17" s="50">
        <f t="shared" si="4"/>
        <v>7.2725355454401619E-2</v>
      </c>
    </row>
    <row r="18" spans="4:24" x14ac:dyDescent="0.25">
      <c r="D18" s="122">
        <v>45733</v>
      </c>
      <c r="F18" s="123">
        <v>23350.400000000001</v>
      </c>
      <c r="H18" s="50">
        <f t="shared" si="0"/>
        <v>-7.1834468214468927E-3</v>
      </c>
      <c r="J18" s="123">
        <v>746.75</v>
      </c>
      <c r="L18" s="50">
        <f t="shared" si="1"/>
        <v>3.7513025356026297E-2</v>
      </c>
      <c r="N18" s="123">
        <v>3749.1</v>
      </c>
      <c r="P18" s="50">
        <f t="shared" si="2"/>
        <v>-3.855671953737061E-2</v>
      </c>
      <c r="R18" s="123">
        <v>228.3</v>
      </c>
      <c r="T18" s="50">
        <f t="shared" si="3"/>
        <v>6.2849162011173076E-2</v>
      </c>
      <c r="V18" s="123">
        <v>2937.75</v>
      </c>
      <c r="X18" s="50">
        <f t="shared" si="4"/>
        <v>-3.7387158608712667E-2</v>
      </c>
    </row>
    <row r="19" spans="4:24" x14ac:dyDescent="0.25">
      <c r="D19" s="122">
        <v>45726</v>
      </c>
      <c r="F19" s="123">
        <v>22397.200000000001</v>
      </c>
      <c r="H19" s="50">
        <f t="shared" si="0"/>
        <v>-4.0821570508428162E-2</v>
      </c>
      <c r="J19" s="123">
        <v>652.35</v>
      </c>
      <c r="L19" s="50">
        <f t="shared" si="1"/>
        <v>-0.12641446267157685</v>
      </c>
      <c r="N19" s="123">
        <v>3158.95</v>
      </c>
      <c r="P19" s="50">
        <f t="shared" si="2"/>
        <v>-0.1574111120002134</v>
      </c>
      <c r="R19" s="123">
        <v>214.96</v>
      </c>
      <c r="T19" s="50">
        <f t="shared" si="3"/>
        <v>-5.8431887866841836E-2</v>
      </c>
      <c r="V19" s="123">
        <v>2835.25</v>
      </c>
      <c r="X19" s="50">
        <f t="shared" si="4"/>
        <v>-3.4890647604459146E-2</v>
      </c>
    </row>
    <row r="20" spans="4:24" x14ac:dyDescent="0.25">
      <c r="D20" s="122">
        <v>45719</v>
      </c>
      <c r="F20" s="123">
        <v>22552.5</v>
      </c>
      <c r="H20" s="50">
        <f t="shared" si="0"/>
        <v>6.9339024520922443E-3</v>
      </c>
      <c r="J20" s="123">
        <v>652</v>
      </c>
      <c r="L20" s="50">
        <f t="shared" si="1"/>
        <v>-5.3652180577912212E-4</v>
      </c>
      <c r="N20" s="123">
        <v>3028.8</v>
      </c>
      <c r="P20" s="50">
        <f t="shared" si="2"/>
        <v>-4.1200398866711896E-2</v>
      </c>
      <c r="R20" s="123">
        <v>237.2</v>
      </c>
      <c r="T20" s="50">
        <f t="shared" si="3"/>
        <v>0.10346110904354289</v>
      </c>
      <c r="V20" s="123">
        <v>2899.05</v>
      </c>
      <c r="X20" s="50">
        <f t="shared" si="4"/>
        <v>2.250242483026188E-2</v>
      </c>
    </row>
    <row r="21" spans="4:24" x14ac:dyDescent="0.25">
      <c r="D21" s="122">
        <v>45712</v>
      </c>
      <c r="F21" s="123">
        <v>22124.7</v>
      </c>
      <c r="H21" s="50">
        <f t="shared" si="0"/>
        <v>-1.8969072164948475E-2</v>
      </c>
      <c r="J21" s="123">
        <v>576.1</v>
      </c>
      <c r="L21" s="50">
        <f t="shared" si="1"/>
        <v>-0.11641104294478521</v>
      </c>
      <c r="N21" s="123">
        <v>2615.25</v>
      </c>
      <c r="P21" s="50">
        <f t="shared" si="2"/>
        <v>-0.1365392234548336</v>
      </c>
      <c r="R21" s="123">
        <v>228.65</v>
      </c>
      <c r="T21" s="50">
        <f t="shared" si="3"/>
        <v>-3.6045531197301806E-2</v>
      </c>
      <c r="V21" s="123">
        <v>2717.95</v>
      </c>
      <c r="X21" s="50">
        <f t="shared" si="4"/>
        <v>-6.2468739759576564E-2</v>
      </c>
    </row>
    <row r="22" spans="4:24" x14ac:dyDescent="0.25">
      <c r="D22" s="122">
        <v>45705</v>
      </c>
      <c r="F22" s="123">
        <v>22795.9</v>
      </c>
      <c r="H22" s="50">
        <f t="shared" si="0"/>
        <v>3.0337134514818231E-2</v>
      </c>
      <c r="J22" s="123">
        <v>582.84</v>
      </c>
      <c r="L22" s="50">
        <f t="shared" si="1"/>
        <v>1.1699357750390549E-2</v>
      </c>
      <c r="N22" s="123">
        <v>2845.35</v>
      </c>
      <c r="P22" s="50">
        <f t="shared" si="2"/>
        <v>8.7983940349871004E-2</v>
      </c>
      <c r="R22" s="123">
        <v>263.14999999999998</v>
      </c>
      <c r="T22" s="50">
        <f t="shared" si="3"/>
        <v>0.15088563306363434</v>
      </c>
      <c r="V22" s="123">
        <v>2836.15</v>
      </c>
      <c r="X22" s="50">
        <f t="shared" si="4"/>
        <v>4.3488658731764884E-2</v>
      </c>
    </row>
    <row r="23" spans="4:24" x14ac:dyDescent="0.25">
      <c r="D23" s="122">
        <v>45698</v>
      </c>
      <c r="F23" s="123">
        <v>22929.25</v>
      </c>
      <c r="H23" s="50">
        <f t="shared" si="0"/>
        <v>5.8497361367613188E-3</v>
      </c>
      <c r="J23" s="123">
        <v>672.11</v>
      </c>
      <c r="L23" s="50">
        <f t="shared" si="1"/>
        <v>0.15316381854368255</v>
      </c>
      <c r="N23" s="123">
        <v>2831.25</v>
      </c>
      <c r="P23" s="50">
        <f t="shared" si="2"/>
        <v>-4.9554536348779266E-3</v>
      </c>
      <c r="R23" s="123">
        <v>262.05</v>
      </c>
      <c r="T23" s="50">
        <f t="shared" si="3"/>
        <v>-4.1801254037620028E-3</v>
      </c>
      <c r="V23" s="123">
        <v>2717.23</v>
      </c>
      <c r="X23" s="50">
        <f t="shared" si="4"/>
        <v>-4.1930081272147146E-2</v>
      </c>
    </row>
    <row r="24" spans="4:24" x14ac:dyDescent="0.25">
      <c r="D24" s="122">
        <v>45691</v>
      </c>
      <c r="F24" s="123">
        <v>23559.95</v>
      </c>
      <c r="H24" s="50">
        <f t="shared" si="0"/>
        <v>2.7506351058146361E-2</v>
      </c>
      <c r="J24" s="123">
        <v>815.55</v>
      </c>
      <c r="L24" s="50">
        <f t="shared" si="1"/>
        <v>0.2134174465489278</v>
      </c>
      <c r="N24" s="123">
        <v>3191.35</v>
      </c>
      <c r="P24" s="50">
        <f t="shared" si="2"/>
        <v>0.12718763796909482</v>
      </c>
      <c r="R24" s="123">
        <v>288.75</v>
      </c>
      <c r="T24" s="50">
        <f t="shared" si="3"/>
        <v>0.10188895248998286</v>
      </c>
      <c r="V24" s="123">
        <v>2853.45</v>
      </c>
      <c r="X24" s="50">
        <f t="shared" si="4"/>
        <v>5.0131935831710939E-2</v>
      </c>
    </row>
    <row r="25" spans="4:24" x14ac:dyDescent="0.25">
      <c r="D25" s="122">
        <v>45684</v>
      </c>
      <c r="F25" s="123">
        <v>23508.400000000001</v>
      </c>
      <c r="H25" s="50">
        <f t="shared" si="0"/>
        <v>-2.188035203809835E-3</v>
      </c>
      <c r="J25" s="123">
        <v>869.73</v>
      </c>
      <c r="L25" s="50">
        <f t="shared" si="1"/>
        <v>6.6433695052418695E-2</v>
      </c>
      <c r="N25" s="123">
        <v>3290</v>
      </c>
      <c r="P25" s="50">
        <f t="shared" si="2"/>
        <v>3.0911683143497237E-2</v>
      </c>
      <c r="R25" s="123">
        <v>265.39999999999998</v>
      </c>
      <c r="T25" s="50">
        <f t="shared" si="3"/>
        <v>-8.0865800865800974E-2</v>
      </c>
      <c r="V25" s="123">
        <v>2779.47</v>
      </c>
      <c r="X25" s="50">
        <f t="shared" si="4"/>
        <v>-2.5926510014193327E-2</v>
      </c>
    </row>
    <row r="26" spans="4:24" x14ac:dyDescent="0.25">
      <c r="D26" s="122">
        <v>45677</v>
      </c>
      <c r="F26" s="123">
        <v>23092.2</v>
      </c>
      <c r="H26" s="50">
        <f t="shared" si="0"/>
        <v>-1.7704309948784247E-2</v>
      </c>
      <c r="J26" s="123">
        <v>883.62</v>
      </c>
      <c r="L26" s="50">
        <f t="shared" si="1"/>
        <v>1.597047359525372E-2</v>
      </c>
      <c r="N26" s="123">
        <v>3084.1</v>
      </c>
      <c r="P26" s="50">
        <f t="shared" si="2"/>
        <v>-6.2583586626139831E-2</v>
      </c>
      <c r="R26" s="123">
        <v>241</v>
      </c>
      <c r="T26" s="50">
        <f t="shared" si="3"/>
        <v>-9.1936699321778392E-2</v>
      </c>
      <c r="V26" s="123">
        <v>2786.03</v>
      </c>
      <c r="X26" s="50">
        <f t="shared" si="4"/>
        <v>2.3601621891944369E-3</v>
      </c>
    </row>
    <row r="27" spans="4:24" x14ac:dyDescent="0.25">
      <c r="D27" s="122">
        <v>45670</v>
      </c>
      <c r="F27" s="123">
        <v>23203.200000000001</v>
      </c>
      <c r="H27" s="50">
        <f t="shared" si="0"/>
        <v>4.8068178865590117E-3</v>
      </c>
      <c r="J27" s="123">
        <v>933.56</v>
      </c>
      <c r="L27" s="50">
        <f t="shared" si="1"/>
        <v>5.6517507525859489E-2</v>
      </c>
      <c r="N27" s="123">
        <v>3224.95</v>
      </c>
      <c r="P27" s="50">
        <f t="shared" si="2"/>
        <v>4.5669725365584668E-2</v>
      </c>
      <c r="R27" s="123">
        <v>248.9</v>
      </c>
      <c r="T27" s="50">
        <f t="shared" si="3"/>
        <v>3.2780082987551973E-2</v>
      </c>
      <c r="V27" s="123">
        <v>2916.39</v>
      </c>
      <c r="X27" s="50">
        <f t="shared" si="4"/>
        <v>4.6790594501853855E-2</v>
      </c>
    </row>
    <row r="28" spans="4:24" x14ac:dyDescent="0.25">
      <c r="D28" s="122">
        <v>45663</v>
      </c>
      <c r="F28" s="123">
        <v>23431.5</v>
      </c>
      <c r="H28" s="50">
        <f t="shared" si="0"/>
        <v>9.8391601158460684E-3</v>
      </c>
      <c r="J28" s="123">
        <v>937.79</v>
      </c>
      <c r="L28" s="50">
        <f t="shared" si="1"/>
        <v>4.5310424611166855E-3</v>
      </c>
      <c r="N28" s="123">
        <v>2929.85</v>
      </c>
      <c r="P28" s="50">
        <f t="shared" si="2"/>
        <v>-9.1505294655731095E-2</v>
      </c>
      <c r="R28" s="123">
        <v>248.65</v>
      </c>
      <c r="T28" s="50">
        <f t="shared" si="3"/>
        <v>-1.0044194455605115E-3</v>
      </c>
      <c r="V28" s="123">
        <v>2980.18</v>
      </c>
      <c r="X28" s="50">
        <f t="shared" si="4"/>
        <v>2.1872931946687491E-2</v>
      </c>
    </row>
    <row r="29" spans="4:24" x14ac:dyDescent="0.25">
      <c r="D29" s="122">
        <v>45656</v>
      </c>
      <c r="F29" s="123">
        <v>24004.75</v>
      </c>
      <c r="H29" s="50">
        <f t="shared" si="0"/>
        <v>2.4464929688666981E-2</v>
      </c>
      <c r="J29" s="123">
        <v>1047.43</v>
      </c>
      <c r="L29" s="50">
        <f t="shared" si="1"/>
        <v>0.11691316819330555</v>
      </c>
      <c r="N29" s="123">
        <v>3142.55</v>
      </c>
      <c r="P29" s="50">
        <f t="shared" si="2"/>
        <v>7.2597573254603587E-2</v>
      </c>
      <c r="R29" s="123">
        <v>278.55</v>
      </c>
      <c r="T29" s="50">
        <f t="shared" si="3"/>
        <v>0.1202493464709431</v>
      </c>
      <c r="V29" s="123">
        <v>3196.23</v>
      </c>
      <c r="X29" s="50">
        <f t="shared" si="4"/>
        <v>7.2495621069868399E-2</v>
      </c>
    </row>
    <row r="30" spans="4:24" x14ac:dyDescent="0.25">
      <c r="D30" s="122">
        <v>45649</v>
      </c>
      <c r="F30" s="123">
        <v>23813.4</v>
      </c>
      <c r="H30" s="50">
        <f t="shared" si="0"/>
        <v>-7.9713390058216982E-3</v>
      </c>
      <c r="J30" s="123">
        <v>1029.6500000000001</v>
      </c>
      <c r="L30" s="50">
        <f t="shared" si="1"/>
        <v>-1.6974881376321083E-2</v>
      </c>
      <c r="N30" s="123">
        <v>2957</v>
      </c>
      <c r="P30" s="50">
        <f t="shared" si="2"/>
        <v>-5.9044406612464462E-2</v>
      </c>
      <c r="R30" s="123">
        <v>281.83</v>
      </c>
      <c r="T30" s="50">
        <f t="shared" si="3"/>
        <v>1.1775264763956184E-2</v>
      </c>
      <c r="V30" s="123">
        <v>3276.46</v>
      </c>
      <c r="X30" s="50">
        <f t="shared" si="4"/>
        <v>2.5101447643004482E-2</v>
      </c>
    </row>
    <row r="31" spans="4:24" x14ac:dyDescent="0.25">
      <c r="D31" s="122">
        <v>45642</v>
      </c>
      <c r="F31" s="123">
        <v>23587.5</v>
      </c>
      <c r="H31" s="50">
        <f t="shared" si="0"/>
        <v>-9.4862556375822082E-3</v>
      </c>
      <c r="J31" s="123">
        <v>1029.8</v>
      </c>
      <c r="L31" s="50">
        <f t="shared" si="1"/>
        <v>1.4568057106778554E-4</v>
      </c>
      <c r="N31" s="123">
        <v>2982.2</v>
      </c>
      <c r="P31" s="50">
        <f t="shared" si="2"/>
        <v>8.522150828542463E-3</v>
      </c>
      <c r="R31" s="123">
        <v>232.38</v>
      </c>
      <c r="T31" s="50">
        <f t="shared" si="3"/>
        <v>-0.17546038391938401</v>
      </c>
      <c r="V31" s="123">
        <v>3291.61</v>
      </c>
      <c r="X31" s="50">
        <f t="shared" si="4"/>
        <v>4.6238928599768858E-3</v>
      </c>
    </row>
    <row r="32" spans="4:24" x14ac:dyDescent="0.25">
      <c r="D32" s="122">
        <v>45635</v>
      </c>
      <c r="F32" s="123">
        <v>24768.3</v>
      </c>
      <c r="H32" s="50">
        <f t="shared" si="0"/>
        <v>5.0060413354531041E-2</v>
      </c>
      <c r="J32" s="123">
        <v>1113.8399999999999</v>
      </c>
      <c r="L32" s="50">
        <f t="shared" si="1"/>
        <v>8.160807923868707E-2</v>
      </c>
      <c r="N32" s="123">
        <v>3251.5</v>
      </c>
      <c r="P32" s="50">
        <f t="shared" si="2"/>
        <v>9.0302461270203249E-2</v>
      </c>
      <c r="R32" s="123">
        <v>241.33</v>
      </c>
      <c r="T32" s="50">
        <f t="shared" si="3"/>
        <v>3.8514502108615289E-2</v>
      </c>
      <c r="V32" s="123">
        <v>3576.77</v>
      </c>
      <c r="X32" s="50">
        <f t="shared" si="4"/>
        <v>8.6632377468776722E-2</v>
      </c>
    </row>
    <row r="33" spans="4:24" x14ac:dyDescent="0.25">
      <c r="D33" s="122">
        <v>45628</v>
      </c>
      <c r="F33" s="123">
        <v>24677.8</v>
      </c>
      <c r="H33" s="50">
        <f t="shared" si="0"/>
        <v>-3.653864011660013E-3</v>
      </c>
      <c r="J33" s="123">
        <v>1116.98</v>
      </c>
      <c r="L33" s="50">
        <f t="shared" si="1"/>
        <v>2.8190763484881032E-3</v>
      </c>
      <c r="N33" s="123">
        <v>3272.45</v>
      </c>
      <c r="P33" s="50">
        <f t="shared" si="2"/>
        <v>6.4431800707365205E-3</v>
      </c>
      <c r="R33" s="123">
        <v>197.68</v>
      </c>
      <c r="T33" s="50">
        <f t="shared" si="3"/>
        <v>-0.18087266398707169</v>
      </c>
      <c r="V33" s="123">
        <v>3442.74</v>
      </c>
      <c r="X33" s="50">
        <f t="shared" si="4"/>
        <v>-3.7472356343852153E-2</v>
      </c>
    </row>
    <row r="34" spans="4:24" x14ac:dyDescent="0.25">
      <c r="D34" s="122">
        <v>45621</v>
      </c>
      <c r="F34" s="123">
        <v>24131.1</v>
      </c>
      <c r="H34" s="50">
        <f t="shared" si="0"/>
        <v>-2.2153514494809179E-2</v>
      </c>
      <c r="J34" s="123">
        <v>1117.03</v>
      </c>
      <c r="L34" s="50">
        <f t="shared" si="1"/>
        <v>4.4763558882054966E-5</v>
      </c>
      <c r="N34" s="123">
        <v>3141.45</v>
      </c>
      <c r="P34" s="50">
        <f t="shared" si="2"/>
        <v>-4.0031169307399694E-2</v>
      </c>
      <c r="R34" s="123">
        <v>186.98</v>
      </c>
      <c r="T34" s="50">
        <f t="shared" si="3"/>
        <v>-5.4127883447996794E-2</v>
      </c>
      <c r="V34" s="123">
        <v>3461.32</v>
      </c>
      <c r="X34" s="50">
        <f t="shared" si="4"/>
        <v>5.3968641256674221E-3</v>
      </c>
    </row>
    <row r="35" spans="4:24" x14ac:dyDescent="0.25">
      <c r="D35" s="122">
        <v>45614</v>
      </c>
      <c r="F35" s="123">
        <v>23907.25</v>
      </c>
      <c r="H35" s="50">
        <f t="shared" si="0"/>
        <v>-9.2764109385812255E-3</v>
      </c>
      <c r="J35" s="123">
        <v>1061.96</v>
      </c>
      <c r="L35" s="50">
        <f t="shared" si="1"/>
        <v>-4.9300376892294717E-2</v>
      </c>
      <c r="N35" s="123">
        <v>2906.15</v>
      </c>
      <c r="P35" s="50">
        <f t="shared" si="2"/>
        <v>-7.4901717359817876E-2</v>
      </c>
      <c r="R35" s="123">
        <v>172.19</v>
      </c>
      <c r="T35" s="50">
        <f t="shared" si="3"/>
        <v>-7.9099368916461632E-2</v>
      </c>
      <c r="V35" s="123">
        <v>3298.07</v>
      </c>
      <c r="X35" s="50">
        <f t="shared" si="4"/>
        <v>-4.7164087689089751E-2</v>
      </c>
    </row>
    <row r="36" spans="4:24" x14ac:dyDescent="0.25">
      <c r="D36" s="122">
        <v>45607</v>
      </c>
      <c r="F36" s="123">
        <v>23532.7</v>
      </c>
      <c r="H36" s="50">
        <f t="shared" si="0"/>
        <v>-1.5666795637306663E-2</v>
      </c>
      <c r="J36" s="123">
        <v>1132.6199999999999</v>
      </c>
      <c r="L36" s="50">
        <f t="shared" si="1"/>
        <v>6.6537346039398759E-2</v>
      </c>
      <c r="N36" s="123">
        <v>2808.45</v>
      </c>
      <c r="P36" s="50">
        <f t="shared" si="2"/>
        <v>-3.3618361061886093E-2</v>
      </c>
      <c r="R36" s="123">
        <v>161.87</v>
      </c>
      <c r="T36" s="50">
        <f t="shared" si="3"/>
        <v>-5.99337940646959E-2</v>
      </c>
      <c r="V36" s="123">
        <v>3308.4</v>
      </c>
      <c r="X36" s="50">
        <f t="shared" si="4"/>
        <v>3.1321348546271555E-3</v>
      </c>
    </row>
    <row r="37" spans="4:24" x14ac:dyDescent="0.25">
      <c r="D37" s="122">
        <v>45600</v>
      </c>
      <c r="F37" s="123">
        <v>24148.2</v>
      </c>
      <c r="H37" s="50">
        <f t="shared" si="0"/>
        <v>2.6155094825498049E-2</v>
      </c>
      <c r="J37" s="123">
        <v>1169.56</v>
      </c>
      <c r="L37" s="50">
        <f t="shared" si="1"/>
        <v>3.2614645688757049E-2</v>
      </c>
      <c r="N37" s="123">
        <v>3075.6</v>
      </c>
      <c r="P37" s="50">
        <f t="shared" si="2"/>
        <v>9.5123644715056299E-2</v>
      </c>
      <c r="R37" s="123">
        <v>189.14</v>
      </c>
      <c r="T37" s="50">
        <f t="shared" si="3"/>
        <v>0.16846852412429714</v>
      </c>
      <c r="V37" s="123">
        <v>3631.86</v>
      </c>
      <c r="X37" s="50">
        <f t="shared" si="4"/>
        <v>9.7769314472252455E-2</v>
      </c>
    </row>
    <row r="38" spans="4:24" x14ac:dyDescent="0.25">
      <c r="D38" s="122">
        <v>45593</v>
      </c>
      <c r="F38" s="123">
        <v>24304.35</v>
      </c>
      <c r="H38" s="50">
        <f t="shared" si="0"/>
        <v>6.4663204710908584E-3</v>
      </c>
      <c r="J38" s="123">
        <v>1149.0999999999999</v>
      </c>
      <c r="L38" s="50">
        <f t="shared" si="1"/>
        <v>-1.749375833646849E-2</v>
      </c>
      <c r="N38" s="123">
        <v>3048.7</v>
      </c>
      <c r="P38" s="50">
        <f t="shared" si="2"/>
        <v>-8.746260892183666E-3</v>
      </c>
      <c r="R38" s="123">
        <v>187.88</v>
      </c>
      <c r="T38" s="50">
        <f t="shared" si="3"/>
        <v>-6.6617320503330468E-3</v>
      </c>
      <c r="V38" s="123">
        <v>3477.26</v>
      </c>
      <c r="X38" s="50">
        <f t="shared" si="4"/>
        <v>-4.2567720121370334E-2</v>
      </c>
    </row>
    <row r="39" spans="4:24" x14ac:dyDescent="0.25">
      <c r="D39" s="122">
        <v>45586</v>
      </c>
      <c r="F39" s="123">
        <v>24180.799999999999</v>
      </c>
      <c r="H39" s="50">
        <f t="shared" si="0"/>
        <v>-5.0834521392261189E-3</v>
      </c>
      <c r="J39" s="123">
        <v>1011.88</v>
      </c>
      <c r="L39" s="50">
        <f t="shared" si="1"/>
        <v>-0.11941519450004345</v>
      </c>
      <c r="N39" s="123">
        <v>2860.7</v>
      </c>
      <c r="P39" s="50">
        <f t="shared" si="2"/>
        <v>-6.1665627972578463E-2</v>
      </c>
      <c r="R39" s="123">
        <v>170.34</v>
      </c>
      <c r="T39" s="50">
        <f t="shared" si="3"/>
        <v>-9.3357462209921138E-2</v>
      </c>
      <c r="V39" s="123">
        <v>3348.49</v>
      </c>
      <c r="X39" s="50">
        <f t="shared" si="4"/>
        <v>-3.7032030966910878E-2</v>
      </c>
    </row>
    <row r="40" spans="4:24" x14ac:dyDescent="0.25">
      <c r="D40" s="122">
        <v>45579</v>
      </c>
      <c r="F40" s="123">
        <v>24854.05</v>
      </c>
      <c r="H40" s="50">
        <f t="shared" si="0"/>
        <v>2.7842337722490562E-2</v>
      </c>
      <c r="J40" s="123">
        <v>1175.0899999999999</v>
      </c>
      <c r="L40" s="50">
        <f t="shared" si="1"/>
        <v>0.16129382930782299</v>
      </c>
      <c r="N40" s="123">
        <v>3074.65</v>
      </c>
      <c r="P40" s="50">
        <f t="shared" si="2"/>
        <v>7.4789387212919944E-2</v>
      </c>
      <c r="R40" s="123">
        <v>194.2</v>
      </c>
      <c r="T40" s="50">
        <f t="shared" si="3"/>
        <v>0.14007279558529984</v>
      </c>
      <c r="V40" s="123">
        <v>3686.26</v>
      </c>
      <c r="X40" s="50">
        <f t="shared" si="4"/>
        <v>0.10087233349957758</v>
      </c>
    </row>
    <row r="41" spans="4:24" x14ac:dyDescent="0.25">
      <c r="D41" s="122">
        <v>45572</v>
      </c>
      <c r="F41" s="123">
        <v>24964.25</v>
      </c>
      <c r="H41" s="50">
        <f t="shared" si="0"/>
        <v>4.4338850207512603E-3</v>
      </c>
      <c r="J41" s="123">
        <v>1166.97</v>
      </c>
      <c r="L41" s="50">
        <f t="shared" si="1"/>
        <v>-6.9101090129265463E-3</v>
      </c>
      <c r="N41" s="123">
        <v>3012.5</v>
      </c>
      <c r="P41" s="50">
        <f t="shared" si="2"/>
        <v>-2.0213682858211568E-2</v>
      </c>
      <c r="R41" s="123">
        <v>171.21</v>
      </c>
      <c r="T41" s="50">
        <f t="shared" si="3"/>
        <v>-0.11838311019567449</v>
      </c>
      <c r="V41" s="123">
        <v>3590.93</v>
      </c>
      <c r="X41" s="50">
        <f t="shared" si="4"/>
        <v>-2.586089966524352E-2</v>
      </c>
    </row>
    <row r="42" spans="4:24" x14ac:dyDescent="0.25">
      <c r="D42" s="122">
        <v>45565</v>
      </c>
      <c r="F42" s="123">
        <v>25014.6</v>
      </c>
      <c r="H42" s="50">
        <f t="shared" si="0"/>
        <v>2.0168841443264363E-3</v>
      </c>
      <c r="J42" s="123">
        <v>1149.5899999999999</v>
      </c>
      <c r="L42" s="50">
        <f t="shared" si="1"/>
        <v>-1.4893270606785136E-2</v>
      </c>
      <c r="N42" s="123">
        <v>3098.7</v>
      </c>
      <c r="P42" s="50">
        <f t="shared" si="2"/>
        <v>2.8614107883817352E-2</v>
      </c>
      <c r="R42" s="123">
        <v>170.2</v>
      </c>
      <c r="T42" s="50">
        <f t="shared" si="3"/>
        <v>-5.8991881315344497E-3</v>
      </c>
      <c r="V42" s="123">
        <v>3600.22</v>
      </c>
      <c r="X42" s="50">
        <f t="shared" si="4"/>
        <v>2.5870735436224201E-3</v>
      </c>
    </row>
    <row r="43" spans="4:24" x14ac:dyDescent="0.25">
      <c r="D43" s="122">
        <v>45558</v>
      </c>
      <c r="F43" s="123">
        <v>26178.95</v>
      </c>
      <c r="H43" s="50">
        <f t="shared" si="0"/>
        <v>4.6546816659071233E-2</v>
      </c>
      <c r="J43" s="123">
        <v>1228.4100000000001</v>
      </c>
      <c r="L43" s="50">
        <f t="shared" si="1"/>
        <v>6.8563574839725527E-2</v>
      </c>
      <c r="N43" s="123">
        <v>3224.25</v>
      </c>
      <c r="P43" s="50">
        <f t="shared" si="2"/>
        <v>4.0516990996224189E-2</v>
      </c>
      <c r="R43" s="123">
        <v>173.11</v>
      </c>
      <c r="T43" s="50">
        <f t="shared" si="3"/>
        <v>1.7097532314923836E-2</v>
      </c>
      <c r="V43" s="123">
        <v>3839.97</v>
      </c>
      <c r="X43" s="50">
        <f t="shared" si="4"/>
        <v>6.6593152640672004E-2</v>
      </c>
    </row>
    <row r="44" spans="4:24" x14ac:dyDescent="0.25">
      <c r="D44" s="122">
        <v>45551</v>
      </c>
      <c r="F44" s="123">
        <v>25790.95</v>
      </c>
      <c r="H44" s="50">
        <f t="shared" si="0"/>
        <v>-1.4821068071866894E-2</v>
      </c>
      <c r="J44" s="123">
        <v>1241.06</v>
      </c>
      <c r="L44" s="50">
        <f t="shared" si="1"/>
        <v>1.0297864719434058E-2</v>
      </c>
      <c r="N44" s="123">
        <v>3298.95</v>
      </c>
      <c r="P44" s="50">
        <f t="shared" si="2"/>
        <v>2.3168178646196802E-2</v>
      </c>
      <c r="R44" s="123">
        <v>176.33</v>
      </c>
      <c r="T44" s="50">
        <f t="shared" si="3"/>
        <v>1.8600889607763849E-2</v>
      </c>
      <c r="V44" s="123">
        <v>3789.54</v>
      </c>
      <c r="X44" s="50">
        <f t="shared" si="4"/>
        <v>-1.3132915100899201E-2</v>
      </c>
    </row>
    <row r="45" spans="4:24" x14ac:dyDescent="0.25">
      <c r="D45" s="122">
        <v>45544</v>
      </c>
      <c r="F45" s="123">
        <v>25356.5</v>
      </c>
      <c r="H45" s="50">
        <f t="shared" si="0"/>
        <v>-1.684505611464493E-2</v>
      </c>
      <c r="J45" s="123">
        <v>1282.28</v>
      </c>
      <c r="L45" s="50">
        <f t="shared" si="1"/>
        <v>3.3213543261405576E-2</v>
      </c>
      <c r="N45" s="123">
        <v>3298.5</v>
      </c>
      <c r="P45" s="50">
        <f t="shared" si="2"/>
        <v>-1.3640703860318126E-4</v>
      </c>
      <c r="R45" s="123">
        <v>181.18</v>
      </c>
      <c r="T45" s="50">
        <f t="shared" si="3"/>
        <v>2.7505245845857118E-2</v>
      </c>
      <c r="V45" s="123">
        <v>3760.28</v>
      </c>
      <c r="X45" s="50">
        <f t="shared" si="4"/>
        <v>-7.7212537669478776E-3</v>
      </c>
    </row>
    <row r="46" spans="4:24" x14ac:dyDescent="0.25">
      <c r="D46" s="122">
        <v>45537</v>
      </c>
      <c r="F46" s="123">
        <v>24852.15</v>
      </c>
      <c r="H46" s="50">
        <f t="shared" si="0"/>
        <v>-1.9890363417664036E-2</v>
      </c>
      <c r="J46" s="123">
        <v>1319.53</v>
      </c>
      <c r="L46" s="50">
        <f t="shared" si="1"/>
        <v>2.9049817512555753E-2</v>
      </c>
      <c r="N46" s="123">
        <v>3311.75</v>
      </c>
      <c r="P46" s="50">
        <f t="shared" si="2"/>
        <v>4.0169774139759973E-3</v>
      </c>
      <c r="R46" s="123">
        <v>165.2</v>
      </c>
      <c r="T46" s="50">
        <f t="shared" si="3"/>
        <v>-8.8199580527652199E-2</v>
      </c>
      <c r="V46" s="123">
        <v>3741.45</v>
      </c>
      <c r="X46" s="50">
        <f t="shared" si="4"/>
        <v>-5.007605816588212E-3</v>
      </c>
    </row>
    <row r="47" spans="4:24" x14ac:dyDescent="0.25">
      <c r="D47" s="122">
        <v>45530</v>
      </c>
      <c r="F47" s="123">
        <v>25235.9</v>
      </c>
      <c r="H47" s="50">
        <f t="shared" si="0"/>
        <v>1.544131996628062E-2</v>
      </c>
      <c r="J47" s="123">
        <v>1328.74</v>
      </c>
      <c r="L47" s="50">
        <f t="shared" si="1"/>
        <v>6.979757944116427E-3</v>
      </c>
      <c r="N47" s="123">
        <v>3405</v>
      </c>
      <c r="P47" s="50">
        <f t="shared" si="2"/>
        <v>2.8157318638182272E-2</v>
      </c>
      <c r="R47" s="123">
        <v>167.96</v>
      </c>
      <c r="T47" s="50">
        <f t="shared" si="3"/>
        <v>1.6707021791767751E-2</v>
      </c>
      <c r="V47" s="123">
        <v>3720.64</v>
      </c>
      <c r="X47" s="50">
        <f t="shared" si="4"/>
        <v>-5.5620147269106468E-3</v>
      </c>
    </row>
    <row r="48" spans="4:24" x14ac:dyDescent="0.25">
      <c r="D48" s="122">
        <v>45523</v>
      </c>
      <c r="F48" s="123">
        <v>24823.15</v>
      </c>
      <c r="H48" s="50">
        <f t="shared" si="0"/>
        <v>-1.6355667917530181E-2</v>
      </c>
      <c r="J48" s="123">
        <v>1318.28</v>
      </c>
      <c r="L48" s="50">
        <f t="shared" si="1"/>
        <v>-7.8721194515104509E-3</v>
      </c>
      <c r="N48" s="123">
        <v>3142.7</v>
      </c>
      <c r="P48" s="50">
        <f t="shared" si="2"/>
        <v>-7.7033773861967747E-2</v>
      </c>
      <c r="R48" s="123">
        <v>176.27</v>
      </c>
      <c r="T48" s="50">
        <f t="shared" si="3"/>
        <v>4.9476065729935792E-2</v>
      </c>
      <c r="V48" s="123">
        <v>3797.39</v>
      </c>
      <c r="X48" s="50">
        <f t="shared" si="4"/>
        <v>2.0628171497376835E-2</v>
      </c>
    </row>
    <row r="49" spans="4:24" x14ac:dyDescent="0.25">
      <c r="D49" s="122">
        <v>45516</v>
      </c>
      <c r="F49" s="123">
        <v>24541.15</v>
      </c>
      <c r="H49" s="50">
        <f t="shared" si="0"/>
        <v>-1.1360363209342861E-2</v>
      </c>
      <c r="J49" s="123">
        <v>1264.56</v>
      </c>
      <c r="L49" s="50">
        <f t="shared" si="1"/>
        <v>-4.0750068270777096E-2</v>
      </c>
      <c r="N49" s="123">
        <v>2915.55</v>
      </c>
      <c r="P49" s="50">
        <f t="shared" si="2"/>
        <v>-7.2278613930696456E-2</v>
      </c>
      <c r="R49" s="123">
        <v>165.98</v>
      </c>
      <c r="T49" s="50">
        <f t="shared" si="3"/>
        <v>-5.8376354456232016E-2</v>
      </c>
      <c r="V49" s="123">
        <v>3737.23</v>
      </c>
      <c r="X49" s="50">
        <f t="shared" si="4"/>
        <v>-1.58424602160957E-2</v>
      </c>
    </row>
    <row r="50" spans="4:24" x14ac:dyDescent="0.25">
      <c r="D50" s="122">
        <v>45509</v>
      </c>
      <c r="F50" s="123">
        <v>24367.5</v>
      </c>
      <c r="H50" s="50">
        <f t="shared" si="0"/>
        <v>-7.0758705276647849E-3</v>
      </c>
      <c r="J50" s="123">
        <v>1214.17</v>
      </c>
      <c r="L50" s="50">
        <f t="shared" si="1"/>
        <v>-3.9847852217371971E-2</v>
      </c>
      <c r="N50" s="123">
        <v>2994.85</v>
      </c>
      <c r="P50" s="50">
        <f t="shared" si="2"/>
        <v>2.7198984754162936E-2</v>
      </c>
      <c r="R50" s="123">
        <v>163.19</v>
      </c>
      <c r="T50" s="50">
        <f t="shared" si="3"/>
        <v>-1.6809254127003181E-2</v>
      </c>
      <c r="V50" s="123">
        <v>3691.23</v>
      </c>
      <c r="X50" s="50">
        <f t="shared" si="4"/>
        <v>-1.2308581489498871E-2</v>
      </c>
    </row>
    <row r="51" spans="4:24" x14ac:dyDescent="0.25">
      <c r="D51" s="122">
        <v>45502</v>
      </c>
      <c r="F51" s="123">
        <v>24717.7</v>
      </c>
      <c r="H51" s="50">
        <f t="shared" si="0"/>
        <v>1.4371601518415877E-2</v>
      </c>
      <c r="J51" s="123">
        <v>1170.31</v>
      </c>
      <c r="L51" s="50">
        <f t="shared" si="1"/>
        <v>-3.6123442351565394E-2</v>
      </c>
      <c r="N51" s="123">
        <v>3004.4</v>
      </c>
      <c r="P51" s="50">
        <f t="shared" si="2"/>
        <v>3.1888074527939292E-3</v>
      </c>
      <c r="R51" s="123">
        <v>163.41999999999999</v>
      </c>
      <c r="T51" s="50">
        <f t="shared" si="3"/>
        <v>1.4094000857896027E-3</v>
      </c>
      <c r="V51" s="123">
        <v>3488.29</v>
      </c>
      <c r="X51" s="50">
        <f t="shared" si="4"/>
        <v>-5.4978963651682533E-2</v>
      </c>
    </row>
    <row r="52" spans="4:24" x14ac:dyDescent="0.25">
      <c r="D52" s="122">
        <v>45495</v>
      </c>
      <c r="F52" s="123">
        <v>24834.85</v>
      </c>
      <c r="H52" s="50">
        <f t="shared" si="0"/>
        <v>4.7395186445340354E-3</v>
      </c>
      <c r="J52" s="123">
        <v>1208.94</v>
      </c>
      <c r="L52" s="50">
        <f t="shared" si="1"/>
        <v>3.3008348215430194E-2</v>
      </c>
      <c r="N52" s="123">
        <v>2963.25</v>
      </c>
      <c r="P52" s="50">
        <f t="shared" si="2"/>
        <v>-1.3696578351750754E-2</v>
      </c>
      <c r="R52" s="123">
        <v>162.12</v>
      </c>
      <c r="T52" s="50">
        <f t="shared" si="3"/>
        <v>-7.9549626728673273E-3</v>
      </c>
      <c r="V52" s="123">
        <v>3694.26</v>
      </c>
      <c r="X52" s="50">
        <f t="shared" si="4"/>
        <v>5.9046122885425323E-2</v>
      </c>
    </row>
    <row r="53" spans="4:24" x14ac:dyDescent="0.25">
      <c r="D53" s="122">
        <v>45488</v>
      </c>
      <c r="F53" s="123">
        <v>24530.9</v>
      </c>
      <c r="H53" s="50">
        <f t="shared" si="0"/>
        <v>-1.2238849842056476E-2</v>
      </c>
      <c r="J53" s="123">
        <v>1222.8399999999999</v>
      </c>
      <c r="L53" s="50">
        <f t="shared" si="1"/>
        <v>1.1497675649742689E-2</v>
      </c>
      <c r="N53" s="123">
        <v>2977.3</v>
      </c>
      <c r="P53" s="50">
        <f t="shared" si="2"/>
        <v>4.741415675356464E-3</v>
      </c>
      <c r="R53" s="123">
        <v>151.80000000000001</v>
      </c>
      <c r="T53" s="50">
        <f t="shared" si="3"/>
        <v>-6.3656550703182768E-2</v>
      </c>
      <c r="V53" s="123">
        <v>3517.95</v>
      </c>
      <c r="X53" s="50">
        <f t="shared" si="4"/>
        <v>-4.7725390199931939E-2</v>
      </c>
    </row>
    <row r="54" spans="4:24" x14ac:dyDescent="0.25">
      <c r="D54" s="122">
        <v>45481</v>
      </c>
      <c r="F54" s="123">
        <v>24502.15</v>
      </c>
      <c r="H54" s="50">
        <f t="shared" si="0"/>
        <v>-1.1719912436967128E-3</v>
      </c>
      <c r="J54" s="123">
        <v>1312.51</v>
      </c>
      <c r="L54" s="50">
        <f t="shared" si="1"/>
        <v>7.3329299008864757E-2</v>
      </c>
      <c r="N54" s="123">
        <v>2873.05</v>
      </c>
      <c r="P54" s="50">
        <f t="shared" si="2"/>
        <v>-3.5014946427971649E-2</v>
      </c>
      <c r="R54" s="123">
        <v>164.18</v>
      </c>
      <c r="T54" s="50">
        <f t="shared" si="3"/>
        <v>8.1554677206851167E-2</v>
      </c>
      <c r="V54" s="123">
        <v>3907.95</v>
      </c>
      <c r="X54" s="50">
        <f t="shared" si="4"/>
        <v>0.11086001790815669</v>
      </c>
    </row>
    <row r="55" spans="4:24" x14ac:dyDescent="0.25">
      <c r="D55" s="122">
        <v>45474</v>
      </c>
      <c r="F55" s="123">
        <v>24323.85</v>
      </c>
      <c r="H55" s="50">
        <f t="shared" si="0"/>
        <v>-7.2769124342150215E-3</v>
      </c>
      <c r="J55" s="123">
        <v>1382.21</v>
      </c>
      <c r="L55" s="50">
        <f t="shared" si="1"/>
        <v>5.3104357300134852E-2</v>
      </c>
      <c r="N55" s="123">
        <v>2955.5</v>
      </c>
      <c r="P55" s="50">
        <f t="shared" si="2"/>
        <v>2.8697725413758812E-2</v>
      </c>
      <c r="R55" s="123">
        <v>154.81</v>
      </c>
      <c r="T55" s="50">
        <f t="shared" si="3"/>
        <v>-5.7071506882689804E-2</v>
      </c>
      <c r="V55" s="123">
        <v>4085.8</v>
      </c>
      <c r="X55" s="50">
        <f t="shared" si="4"/>
        <v>4.5509794137591486E-2</v>
      </c>
    </row>
    <row r="56" spans="4:24" x14ac:dyDescent="0.25">
      <c r="D56" s="122">
        <v>45467</v>
      </c>
      <c r="F56" s="123">
        <v>24010.6</v>
      </c>
      <c r="H56" s="50">
        <f t="shared" si="0"/>
        <v>-1.2878306682535867E-2</v>
      </c>
      <c r="J56" s="123">
        <v>1383.45</v>
      </c>
      <c r="L56" s="50">
        <f t="shared" si="1"/>
        <v>8.9711404200509826E-4</v>
      </c>
      <c r="N56" s="123">
        <v>2794.84</v>
      </c>
      <c r="P56" s="50">
        <f t="shared" si="2"/>
        <v>-5.4359668414819762E-2</v>
      </c>
      <c r="R56" s="123">
        <v>129.91999999999999</v>
      </c>
      <c r="T56" s="50">
        <f t="shared" si="3"/>
        <v>-0.16077772753698094</v>
      </c>
      <c r="V56" s="123">
        <v>3920.6</v>
      </c>
      <c r="X56" s="50">
        <f t="shared" si="4"/>
        <v>-4.0432718194723272E-2</v>
      </c>
    </row>
    <row r="57" spans="4:24" x14ac:dyDescent="0.25">
      <c r="D57" s="122">
        <v>45460</v>
      </c>
      <c r="F57" s="123">
        <v>23501.1</v>
      </c>
      <c r="H57" s="50">
        <f t="shared" si="0"/>
        <v>-2.1219794590722429E-2</v>
      </c>
      <c r="J57" s="123">
        <v>1368.11</v>
      </c>
      <c r="L57" s="50">
        <f t="shared" si="1"/>
        <v>-1.1088221475297422E-2</v>
      </c>
      <c r="N57" s="123">
        <v>2958.92</v>
      </c>
      <c r="P57" s="50">
        <f t="shared" si="2"/>
        <v>5.8708190808776095E-2</v>
      </c>
      <c r="R57" s="123">
        <v>133.62</v>
      </c>
      <c r="T57" s="50">
        <f t="shared" si="3"/>
        <v>2.847906403940903E-2</v>
      </c>
      <c r="V57" s="123">
        <v>3854.48</v>
      </c>
      <c r="X57" s="50">
        <f t="shared" si="4"/>
        <v>-1.6864765597102482E-2</v>
      </c>
    </row>
    <row r="58" spans="4:24" x14ac:dyDescent="0.25">
      <c r="D58" s="122">
        <v>45453</v>
      </c>
      <c r="F58" s="123">
        <v>23465.599999999999</v>
      </c>
      <c r="H58" s="50">
        <f t="shared" si="0"/>
        <v>-1.5105675904532045E-3</v>
      </c>
      <c r="J58" s="123">
        <v>1329.78</v>
      </c>
      <c r="L58" s="50">
        <f t="shared" si="1"/>
        <v>-2.8016753038863751E-2</v>
      </c>
      <c r="N58" s="123">
        <v>2707.49</v>
      </c>
      <c r="P58" s="50">
        <f t="shared" si="2"/>
        <v>-8.4973571438227591E-2</v>
      </c>
      <c r="R58" s="123">
        <v>132.1</v>
      </c>
      <c r="T58" s="50">
        <f t="shared" si="3"/>
        <v>-1.1375542583445641E-2</v>
      </c>
      <c r="V58" s="123">
        <v>3781</v>
      </c>
      <c r="X58" s="50">
        <f t="shared" si="4"/>
        <v>-1.9063531267512146E-2</v>
      </c>
    </row>
    <row r="59" spans="4:24" x14ac:dyDescent="0.25">
      <c r="D59" s="122">
        <v>45446</v>
      </c>
      <c r="F59" s="123">
        <v>23290.15</v>
      </c>
      <c r="H59" s="50">
        <f t="shared" si="0"/>
        <v>-7.4769023591980677E-3</v>
      </c>
      <c r="J59" s="123">
        <v>1232.72</v>
      </c>
      <c r="L59" s="50">
        <f t="shared" si="1"/>
        <v>-7.2989517062972742E-2</v>
      </c>
      <c r="N59" s="123">
        <v>2439.36</v>
      </c>
      <c r="P59" s="50">
        <f t="shared" si="2"/>
        <v>-9.9032683407879518E-2</v>
      </c>
      <c r="R59" s="123">
        <v>126.35</v>
      </c>
      <c r="T59" s="50">
        <f t="shared" si="3"/>
        <v>-4.3527630582891774E-2</v>
      </c>
      <c r="V59" s="123">
        <v>3564.5</v>
      </c>
      <c r="X59" s="50">
        <f t="shared" si="4"/>
        <v>-5.7259984131182273E-2</v>
      </c>
    </row>
    <row r="60" spans="4:24" x14ac:dyDescent="0.25">
      <c r="D60" s="122">
        <v>45439</v>
      </c>
      <c r="F60" s="123">
        <v>22530.7</v>
      </c>
      <c r="H60" s="50">
        <f t="shared" si="0"/>
        <v>-3.2608205614820029E-2</v>
      </c>
      <c r="J60" s="123">
        <v>1237.3399999999999</v>
      </c>
      <c r="L60" s="50">
        <f t="shared" si="1"/>
        <v>3.7478097215912776E-3</v>
      </c>
      <c r="N60" s="123">
        <v>2388.7199999999998</v>
      </c>
      <c r="P60" s="50">
        <f t="shared" si="2"/>
        <v>-2.0759543486816301E-2</v>
      </c>
      <c r="R60" s="123">
        <v>120.46</v>
      </c>
      <c r="T60" s="50">
        <f t="shared" si="3"/>
        <v>-4.6616541353383445E-2</v>
      </c>
      <c r="V60" s="123">
        <v>3509.89</v>
      </c>
      <c r="X60" s="50">
        <f t="shared" si="4"/>
        <v>-1.5320521812315913E-2</v>
      </c>
    </row>
    <row r="61" spans="4:24" x14ac:dyDescent="0.25">
      <c r="D61" s="122">
        <v>45432</v>
      </c>
      <c r="F61" s="123">
        <v>22957.1</v>
      </c>
      <c r="H61" s="50">
        <f t="shared" si="0"/>
        <v>1.8925288606212787E-2</v>
      </c>
      <c r="J61" s="123">
        <v>1276.1099999999999</v>
      </c>
      <c r="L61" s="50">
        <f t="shared" si="1"/>
        <v>3.133334410913724E-2</v>
      </c>
      <c r="N61" s="123">
        <v>2413.5100000000002</v>
      </c>
      <c r="P61" s="50">
        <f t="shared" si="2"/>
        <v>1.0377942998760936E-2</v>
      </c>
      <c r="R61" s="123">
        <v>128.13</v>
      </c>
      <c r="T61" s="50">
        <f t="shared" si="3"/>
        <v>6.3672588411090913E-2</v>
      </c>
      <c r="V61" s="123">
        <v>3670.55</v>
      </c>
      <c r="X61" s="50">
        <f t="shared" si="4"/>
        <v>4.5773514269678017E-2</v>
      </c>
    </row>
    <row r="62" spans="4:24" x14ac:dyDescent="0.25">
      <c r="D62" s="122">
        <v>45425</v>
      </c>
      <c r="F62" s="123">
        <v>22466.1</v>
      </c>
      <c r="H62" s="50">
        <f t="shared" si="0"/>
        <v>-2.1387718832082458E-2</v>
      </c>
      <c r="J62" s="123">
        <v>1282.07</v>
      </c>
      <c r="L62" s="50">
        <f t="shared" si="1"/>
        <v>4.670443770521393E-3</v>
      </c>
      <c r="N62" s="123">
        <v>2431.4699999999998</v>
      </c>
      <c r="P62" s="50">
        <f t="shared" si="2"/>
        <v>7.4414442036701001E-3</v>
      </c>
      <c r="R62" s="123">
        <v>132.82</v>
      </c>
      <c r="T62" s="50">
        <f t="shared" si="3"/>
        <v>3.6603449621478212E-2</v>
      </c>
      <c r="V62" s="123">
        <v>3827.7</v>
      </c>
      <c r="X62" s="50">
        <f t="shared" si="4"/>
        <v>4.2813747258585222E-2</v>
      </c>
    </row>
    <row r="63" spans="4:24" x14ac:dyDescent="0.25">
      <c r="D63" s="122">
        <v>45418</v>
      </c>
      <c r="F63" s="123">
        <v>22055.200000000001</v>
      </c>
      <c r="H63" s="50">
        <f t="shared" si="0"/>
        <v>-1.8289778822314418E-2</v>
      </c>
      <c r="J63" s="123">
        <v>1035.07</v>
      </c>
      <c r="L63" s="50">
        <f t="shared" si="1"/>
        <v>-0.19265718720506686</v>
      </c>
      <c r="N63" s="123">
        <v>2348.29</v>
      </c>
      <c r="P63" s="50">
        <f t="shared" si="2"/>
        <v>-3.4209757883091219E-2</v>
      </c>
      <c r="R63" s="123">
        <v>130.25</v>
      </c>
      <c r="T63" s="50">
        <f t="shared" si="3"/>
        <v>-1.9349495557897889E-2</v>
      </c>
      <c r="V63" s="123">
        <v>3372.02</v>
      </c>
      <c r="X63" s="50">
        <f t="shared" si="4"/>
        <v>-0.11904799226689655</v>
      </c>
    </row>
    <row r="64" spans="4:24" x14ac:dyDescent="0.25">
      <c r="D64" s="122">
        <v>45411</v>
      </c>
      <c r="F64" s="123">
        <v>22475.85</v>
      </c>
      <c r="H64" s="50">
        <f t="shared" si="0"/>
        <v>1.9072599659037293E-2</v>
      </c>
      <c r="J64" s="123">
        <v>1010.99</v>
      </c>
      <c r="L64" s="50">
        <f t="shared" si="1"/>
        <v>-2.3264127063870044E-2</v>
      </c>
      <c r="N64" s="123">
        <v>2355.9899999999998</v>
      </c>
      <c r="P64" s="50">
        <f t="shared" si="2"/>
        <v>3.2789817271290378E-3</v>
      </c>
      <c r="R64" s="123">
        <v>141.08000000000001</v>
      </c>
      <c r="T64" s="50">
        <f t="shared" si="3"/>
        <v>8.3147792706333989E-2</v>
      </c>
      <c r="V64" s="123">
        <v>3367.13</v>
      </c>
      <c r="X64" s="50">
        <f t="shared" si="4"/>
        <v>-1.4501693347014344E-3</v>
      </c>
    </row>
    <row r="65" spans="4:24" x14ac:dyDescent="0.25">
      <c r="D65" s="122">
        <v>45404</v>
      </c>
      <c r="F65" s="123">
        <v>22419.95</v>
      </c>
      <c r="H65" s="50">
        <f t="shared" si="0"/>
        <v>-2.4871139467471659E-3</v>
      </c>
      <c r="J65" s="123">
        <v>1011.14</v>
      </c>
      <c r="L65" s="50">
        <f t="shared" si="1"/>
        <v>1.4836942007345755E-4</v>
      </c>
      <c r="N65" s="123">
        <v>2400.5300000000002</v>
      </c>
      <c r="P65" s="50">
        <f t="shared" si="2"/>
        <v>1.8905003841272805E-2</v>
      </c>
      <c r="R65" s="123">
        <v>133.12</v>
      </c>
      <c r="T65" s="50">
        <f t="shared" si="3"/>
        <v>-5.642188829033179E-2</v>
      </c>
      <c r="V65" s="123">
        <v>3203.06</v>
      </c>
      <c r="X65" s="50">
        <f t="shared" si="4"/>
        <v>-4.8726957379133018E-2</v>
      </c>
    </row>
    <row r="66" spans="4:24" x14ac:dyDescent="0.25">
      <c r="D66" s="122">
        <v>45397</v>
      </c>
      <c r="F66" s="123">
        <v>22147</v>
      </c>
      <c r="H66" s="50">
        <f t="shared" si="0"/>
        <v>-1.2174425009868428E-2</v>
      </c>
      <c r="J66" s="123">
        <v>878.98</v>
      </c>
      <c r="L66" s="50">
        <f t="shared" si="1"/>
        <v>-0.13070395790889489</v>
      </c>
      <c r="N66" s="123">
        <v>2358.2199999999998</v>
      </c>
      <c r="P66" s="50">
        <f t="shared" si="2"/>
        <v>-1.7625274418566095E-2</v>
      </c>
      <c r="R66" s="123">
        <v>130.30000000000001</v>
      </c>
      <c r="T66" s="50">
        <f t="shared" si="3"/>
        <v>-2.1183894230769162E-2</v>
      </c>
      <c r="V66" s="123">
        <v>3002.83</v>
      </c>
      <c r="X66" s="50">
        <f t="shared" si="4"/>
        <v>-6.25120978064726E-2</v>
      </c>
    </row>
    <row r="67" spans="4:24" x14ac:dyDescent="0.25">
      <c r="D67" s="122">
        <v>45390</v>
      </c>
      <c r="F67" s="123">
        <v>22519.4</v>
      </c>
      <c r="H67" s="50">
        <f t="shared" si="0"/>
        <v>1.6814918499119536E-2</v>
      </c>
      <c r="J67" s="123">
        <v>877.59</v>
      </c>
      <c r="L67" s="50">
        <f t="shared" si="1"/>
        <v>-1.5813784158911215E-3</v>
      </c>
      <c r="N67" s="123">
        <v>2335.6999999999998</v>
      </c>
      <c r="P67" s="50">
        <f t="shared" si="2"/>
        <v>-9.5495755273045102E-3</v>
      </c>
      <c r="R67" s="123">
        <v>133.37</v>
      </c>
      <c r="T67" s="50">
        <f t="shared" si="3"/>
        <v>2.3561013046814905E-2</v>
      </c>
      <c r="V67" s="123">
        <v>3024.52</v>
      </c>
      <c r="X67" s="50">
        <f t="shared" si="4"/>
        <v>7.2231861277527454E-3</v>
      </c>
    </row>
    <row r="68" spans="4:24" x14ac:dyDescent="0.25">
      <c r="D68" s="122">
        <v>45383</v>
      </c>
      <c r="F68" s="123">
        <v>22513.7</v>
      </c>
      <c r="H68" s="50">
        <f t="shared" si="0"/>
        <v>-2.5311509187642134E-4</v>
      </c>
      <c r="J68" s="123">
        <v>891.64</v>
      </c>
      <c r="L68" s="50">
        <f t="shared" si="1"/>
        <v>1.6009753985346098E-2</v>
      </c>
      <c r="N68" s="123">
        <v>2305.59</v>
      </c>
      <c r="P68" s="50">
        <f t="shared" si="2"/>
        <v>-1.2891210343794035E-2</v>
      </c>
      <c r="R68" s="123">
        <v>137.27000000000001</v>
      </c>
      <c r="T68" s="50">
        <f t="shared" si="3"/>
        <v>2.924195846142319E-2</v>
      </c>
      <c r="V68" s="123">
        <v>2996.65</v>
      </c>
      <c r="X68" s="50">
        <f t="shared" si="4"/>
        <v>-9.2146853054368982E-3</v>
      </c>
    </row>
    <row r="69" spans="4:24" x14ac:dyDescent="0.25">
      <c r="D69" s="122">
        <v>45376</v>
      </c>
      <c r="F69" s="123">
        <v>22326.9</v>
      </c>
      <c r="H69" s="50">
        <f t="shared" si="0"/>
        <v>-8.2971701674979803E-3</v>
      </c>
      <c r="J69" s="123">
        <v>853.41</v>
      </c>
      <c r="L69" s="50">
        <f t="shared" si="1"/>
        <v>-4.2876048629491792E-2</v>
      </c>
      <c r="N69" s="123">
        <v>2210.79</v>
      </c>
      <c r="P69" s="50">
        <f t="shared" si="2"/>
        <v>-4.1117458004241936E-2</v>
      </c>
      <c r="R69" s="123">
        <v>125.16</v>
      </c>
      <c r="T69" s="50">
        <f t="shared" si="3"/>
        <v>-8.8220295767465706E-2</v>
      </c>
      <c r="V69" s="123">
        <v>2971.2</v>
      </c>
      <c r="X69" s="50">
        <f t="shared" si="4"/>
        <v>-8.4928169789599828E-3</v>
      </c>
    </row>
    <row r="70" spans="4:24" x14ac:dyDescent="0.25">
      <c r="D70" s="122">
        <v>45369</v>
      </c>
      <c r="F70" s="123">
        <v>22096.75</v>
      </c>
      <c r="H70" s="50">
        <f t="shared" si="0"/>
        <v>-1.0308193255669229E-2</v>
      </c>
      <c r="J70" s="123">
        <v>860.06</v>
      </c>
      <c r="L70" s="50">
        <f t="shared" si="1"/>
        <v>7.7922686633622451E-3</v>
      </c>
      <c r="N70" s="123">
        <v>2179.27</v>
      </c>
      <c r="P70" s="50">
        <f t="shared" si="2"/>
        <v>-1.4257346921236258E-2</v>
      </c>
      <c r="R70" s="123">
        <v>126.45</v>
      </c>
      <c r="T70" s="50">
        <f t="shared" si="3"/>
        <v>1.0306807286673214E-2</v>
      </c>
      <c r="V70" s="123">
        <v>2896.63</v>
      </c>
      <c r="X70" s="50">
        <f t="shared" si="4"/>
        <v>-2.5097603661820012E-2</v>
      </c>
    </row>
    <row r="71" spans="4:24" x14ac:dyDescent="0.25">
      <c r="D71" s="122">
        <v>45362</v>
      </c>
      <c r="F71" s="123">
        <v>22023.35</v>
      </c>
      <c r="H71" s="50">
        <f t="shared" si="0"/>
        <v>-3.3217554617761547E-3</v>
      </c>
      <c r="J71" s="123">
        <v>848.1</v>
      </c>
      <c r="L71" s="50">
        <f t="shared" si="1"/>
        <v>-1.3906006557681927E-2</v>
      </c>
      <c r="N71" s="123">
        <v>2129.16</v>
      </c>
      <c r="P71" s="50">
        <f t="shared" si="2"/>
        <v>-2.2993938337149689E-2</v>
      </c>
      <c r="R71" s="123">
        <v>128.72</v>
      </c>
      <c r="T71" s="50">
        <f t="shared" si="3"/>
        <v>1.7951759588770155E-2</v>
      </c>
      <c r="V71" s="123">
        <v>2676.08</v>
      </c>
      <c r="X71" s="50">
        <f t="shared" si="4"/>
        <v>-7.6140204306383685E-2</v>
      </c>
    </row>
    <row r="72" spans="4:24" x14ac:dyDescent="0.25">
      <c r="D72" s="122">
        <v>45355</v>
      </c>
      <c r="F72" s="123">
        <v>22493.55</v>
      </c>
      <c r="H72" s="50">
        <f t="shared" si="0"/>
        <v>2.1350067087886337E-2</v>
      </c>
      <c r="J72" s="123">
        <v>829.33</v>
      </c>
      <c r="L72" s="50">
        <f t="shared" si="1"/>
        <v>-2.2131824077349371E-2</v>
      </c>
      <c r="N72" s="123">
        <v>2282.4499999999998</v>
      </c>
      <c r="P72" s="50">
        <f t="shared" si="2"/>
        <v>7.1995528753123317E-2</v>
      </c>
      <c r="R72" s="123">
        <v>141.22999999999999</v>
      </c>
      <c r="T72" s="50">
        <f t="shared" si="3"/>
        <v>9.7187694220012277E-2</v>
      </c>
      <c r="V72" s="123">
        <v>2754.51</v>
      </c>
      <c r="X72" s="50">
        <f t="shared" si="4"/>
        <v>2.9307793488984046E-2</v>
      </c>
    </row>
    <row r="73" spans="4:24" x14ac:dyDescent="0.25">
      <c r="D73" s="122">
        <v>45348</v>
      </c>
      <c r="F73" s="123">
        <v>22338.75</v>
      </c>
      <c r="H73" s="50">
        <f t="shared" si="0"/>
        <v>-6.8819728322118134E-3</v>
      </c>
      <c r="J73" s="123">
        <v>908.91</v>
      </c>
      <c r="L73" s="50">
        <f t="shared" si="1"/>
        <v>9.5956977319040515E-2</v>
      </c>
      <c r="N73" s="123">
        <v>2460.5700000000002</v>
      </c>
      <c r="P73" s="50">
        <f t="shared" si="2"/>
        <v>7.8038949374575672E-2</v>
      </c>
      <c r="R73" s="123">
        <v>151.26</v>
      </c>
      <c r="T73" s="50">
        <f t="shared" si="3"/>
        <v>7.1018905331728499E-2</v>
      </c>
      <c r="V73" s="123">
        <v>2694.36</v>
      </c>
      <c r="X73" s="50">
        <f t="shared" si="4"/>
        <v>-2.1836914732565882E-2</v>
      </c>
    </row>
    <row r="74" spans="4:24" x14ac:dyDescent="0.25">
      <c r="D74" s="122">
        <v>45341</v>
      </c>
      <c r="F74" s="123">
        <v>22212.7</v>
      </c>
      <c r="H74" s="50">
        <f t="shared" si="0"/>
        <v>-5.6426612948351496E-3</v>
      </c>
      <c r="J74" s="123">
        <v>930.89</v>
      </c>
      <c r="L74" s="50">
        <f t="shared" si="1"/>
        <v>2.4182812379663465E-2</v>
      </c>
      <c r="N74" s="123">
        <v>2272.33</v>
      </c>
      <c r="P74" s="50">
        <f t="shared" si="2"/>
        <v>-7.6502598991290749E-2</v>
      </c>
      <c r="R74" s="123">
        <v>160.80000000000001</v>
      </c>
      <c r="T74" s="50">
        <f t="shared" si="3"/>
        <v>6.3070210234034363E-2</v>
      </c>
      <c r="V74" s="123">
        <v>2759.16</v>
      </c>
      <c r="X74" s="50">
        <f t="shared" si="4"/>
        <v>2.4050238275508784E-2</v>
      </c>
    </row>
    <row r="75" spans="4:24" x14ac:dyDescent="0.25">
      <c r="D75" s="122">
        <v>45334</v>
      </c>
      <c r="F75" s="123">
        <v>22040.7</v>
      </c>
      <c r="H75" s="50">
        <f t="shared" si="0"/>
        <v>-7.7433180117680855E-3</v>
      </c>
      <c r="J75" s="123">
        <v>885.54</v>
      </c>
      <c r="L75" s="50">
        <f t="shared" si="1"/>
        <v>-4.8716819387897625E-2</v>
      </c>
      <c r="N75" s="123">
        <v>2307.96</v>
      </c>
      <c r="P75" s="50">
        <f t="shared" si="2"/>
        <v>1.5679940853661201E-2</v>
      </c>
      <c r="R75" s="123">
        <v>162.04</v>
      </c>
      <c r="T75" s="50">
        <f t="shared" si="3"/>
        <v>7.7114427860696111E-3</v>
      </c>
      <c r="V75" s="123">
        <v>2569.96</v>
      </c>
      <c r="X75" s="50">
        <f t="shared" si="4"/>
        <v>-6.8571594253323376E-2</v>
      </c>
    </row>
    <row r="76" spans="4:24" x14ac:dyDescent="0.25">
      <c r="D76" s="122">
        <v>45327</v>
      </c>
      <c r="F76" s="123">
        <v>21782.5</v>
      </c>
      <c r="H76" s="50">
        <f t="shared" si="0"/>
        <v>-1.1714691457167858E-2</v>
      </c>
      <c r="J76" s="123">
        <v>838.26</v>
      </c>
      <c r="L76" s="50">
        <f t="shared" si="1"/>
        <v>-5.339115116200277E-2</v>
      </c>
      <c r="N76" s="123">
        <v>2275.1799999999998</v>
      </c>
      <c r="P76" s="50">
        <f t="shared" si="2"/>
        <v>-1.4203019116449278E-2</v>
      </c>
      <c r="R76" s="123">
        <v>163.82</v>
      </c>
      <c r="T76" s="50">
        <f t="shared" si="3"/>
        <v>1.098494198963218E-2</v>
      </c>
      <c r="V76" s="123">
        <v>2554.9899999999998</v>
      </c>
      <c r="X76" s="50">
        <f t="shared" si="4"/>
        <v>-5.8249933851111102E-3</v>
      </c>
    </row>
    <row r="77" spans="4:24" x14ac:dyDescent="0.25">
      <c r="D77" s="122">
        <v>45320</v>
      </c>
      <c r="F77" s="123">
        <v>21853.8</v>
      </c>
      <c r="H77" s="50">
        <f t="shared" si="0"/>
        <v>3.273269826695735E-3</v>
      </c>
      <c r="J77" s="123">
        <v>705.18</v>
      </c>
      <c r="L77" s="50">
        <f t="shared" si="1"/>
        <v>-0.15875742609691512</v>
      </c>
      <c r="N77" s="123">
        <v>2277.56</v>
      </c>
      <c r="P77" s="50">
        <f t="shared" si="2"/>
        <v>1.0460710800903605E-3</v>
      </c>
      <c r="R77" s="123">
        <v>164.71</v>
      </c>
      <c r="T77" s="50">
        <f t="shared" si="3"/>
        <v>5.4327920888781467E-3</v>
      </c>
      <c r="V77" s="123">
        <v>2267.14</v>
      </c>
      <c r="X77" s="50">
        <f t="shared" si="4"/>
        <v>-0.11266188908762853</v>
      </c>
    </row>
    <row r="78" spans="4:24" x14ac:dyDescent="0.25">
      <c r="D78" s="122">
        <v>45313</v>
      </c>
      <c r="F78" s="123">
        <v>21352.6</v>
      </c>
      <c r="H78" s="50">
        <f t="shared" ref="H78:H141" si="5">F78/F77-1</f>
        <v>-2.2934226541837188E-2</v>
      </c>
      <c r="J78" s="123">
        <v>682.4</v>
      </c>
      <c r="L78" s="50">
        <f t="shared" ref="L78:L141" si="6">J78/J77-1</f>
        <v>-3.2303808956578473E-2</v>
      </c>
      <c r="N78" s="123">
        <v>2193.5500000000002</v>
      </c>
      <c r="P78" s="50">
        <f t="shared" ref="P78:P141" si="7">N78/N77-1</f>
        <v>-3.6885965682572519E-2</v>
      </c>
      <c r="R78" s="123">
        <v>162.93</v>
      </c>
      <c r="T78" s="50">
        <f t="shared" ref="T78:T141" si="8">R78/R77-1</f>
        <v>-1.0806872685325764E-2</v>
      </c>
      <c r="V78" s="123">
        <v>2122.0700000000002</v>
      </c>
      <c r="X78" s="50">
        <f t="shared" ref="X78:X141" si="9">V78/V77-1</f>
        <v>-6.3988108365605867E-2</v>
      </c>
    </row>
    <row r="79" spans="4:24" x14ac:dyDescent="0.25">
      <c r="D79" s="122">
        <v>45306</v>
      </c>
      <c r="F79" s="123">
        <v>21622.400000000001</v>
      </c>
      <c r="H79" s="50">
        <f t="shared" si="5"/>
        <v>1.2635463596939234E-2</v>
      </c>
      <c r="J79" s="123">
        <v>686.26</v>
      </c>
      <c r="L79" s="50">
        <f t="shared" si="6"/>
        <v>5.6565064478311111E-3</v>
      </c>
      <c r="N79" s="123">
        <v>2280.0300000000002</v>
      </c>
      <c r="P79" s="50">
        <f t="shared" si="7"/>
        <v>3.9424676893619948E-2</v>
      </c>
      <c r="R79" s="123">
        <v>153.93</v>
      </c>
      <c r="T79" s="50">
        <f t="shared" si="8"/>
        <v>-5.5238445958387006E-2</v>
      </c>
      <c r="V79" s="123">
        <v>2073.5300000000002</v>
      </c>
      <c r="X79" s="50">
        <f t="shared" si="9"/>
        <v>-2.2873892001677554E-2</v>
      </c>
    </row>
    <row r="80" spans="4:24" x14ac:dyDescent="0.25">
      <c r="D80" s="122">
        <v>45299</v>
      </c>
      <c r="F80" s="123">
        <v>21894.55</v>
      </c>
      <c r="H80" s="50">
        <f t="shared" si="5"/>
        <v>1.2586484386561958E-2</v>
      </c>
      <c r="J80" s="123">
        <v>698.15</v>
      </c>
      <c r="L80" s="50">
        <f t="shared" si="6"/>
        <v>1.7325794888234824E-2</v>
      </c>
      <c r="N80" s="123">
        <v>2334.0100000000002</v>
      </c>
      <c r="P80" s="50">
        <f t="shared" si="7"/>
        <v>2.3675127081661307E-2</v>
      </c>
      <c r="R80" s="123">
        <v>155.61000000000001</v>
      </c>
      <c r="T80" s="50">
        <f t="shared" si="8"/>
        <v>1.0914051841746319E-2</v>
      </c>
      <c r="V80" s="123">
        <v>2009.72</v>
      </c>
      <c r="X80" s="50">
        <f t="shared" si="9"/>
        <v>-3.0773608291175036E-2</v>
      </c>
    </row>
    <row r="81" spans="4:24" x14ac:dyDescent="0.25">
      <c r="D81" s="122">
        <v>45292</v>
      </c>
      <c r="F81" s="123">
        <v>21710.799999999999</v>
      </c>
      <c r="H81" s="50">
        <f t="shared" si="5"/>
        <v>-8.3924995033010097E-3</v>
      </c>
      <c r="J81" s="123">
        <v>655.91</v>
      </c>
      <c r="L81" s="50">
        <f t="shared" si="6"/>
        <v>-6.050275728711596E-2</v>
      </c>
      <c r="N81" s="123">
        <v>2378.65</v>
      </c>
      <c r="P81" s="50">
        <f t="shared" si="7"/>
        <v>1.9125882065629485E-2</v>
      </c>
      <c r="R81" s="123">
        <v>154.87</v>
      </c>
      <c r="T81" s="50">
        <f t="shared" si="8"/>
        <v>-4.7554784396890426E-3</v>
      </c>
      <c r="V81" s="123">
        <v>1961.58</v>
      </c>
      <c r="X81" s="50">
        <f t="shared" si="9"/>
        <v>-2.395358557410987E-2</v>
      </c>
    </row>
    <row r="82" spans="4:24" x14ac:dyDescent="0.25">
      <c r="D82" s="122">
        <v>45285</v>
      </c>
      <c r="F82" s="123">
        <v>21731.4</v>
      </c>
      <c r="H82" s="50">
        <f t="shared" si="5"/>
        <v>9.4883652375776784E-4</v>
      </c>
      <c r="J82" s="123">
        <v>649.03</v>
      </c>
      <c r="L82" s="50">
        <f t="shared" si="6"/>
        <v>-1.0489243951151805E-2</v>
      </c>
      <c r="N82" s="123">
        <v>2346.0700000000002</v>
      </c>
      <c r="P82" s="50">
        <f t="shared" si="7"/>
        <v>-1.3696844848968937E-2</v>
      </c>
      <c r="R82" s="123">
        <v>150.22</v>
      </c>
      <c r="T82" s="50">
        <f t="shared" si="8"/>
        <v>-3.0025182411054452E-2</v>
      </c>
      <c r="V82" s="123">
        <v>1927.76</v>
      </c>
      <c r="X82" s="50">
        <f t="shared" si="9"/>
        <v>-1.724120351961167E-2</v>
      </c>
    </row>
    <row r="83" spans="4:24" x14ac:dyDescent="0.25">
      <c r="D83" s="122">
        <v>45278</v>
      </c>
      <c r="F83" s="123">
        <v>21349.4</v>
      </c>
      <c r="H83" s="50">
        <f t="shared" si="5"/>
        <v>-1.7578250825993735E-2</v>
      </c>
      <c r="J83" s="123">
        <v>652.89</v>
      </c>
      <c r="L83" s="50">
        <f t="shared" si="6"/>
        <v>5.9473367949094413E-3</v>
      </c>
      <c r="N83" s="123">
        <v>2369.21</v>
      </c>
      <c r="P83" s="50">
        <f t="shared" si="7"/>
        <v>9.8633033114954305E-3</v>
      </c>
      <c r="R83" s="123">
        <v>133.61000000000001</v>
      </c>
      <c r="T83" s="50">
        <f t="shared" si="8"/>
        <v>-0.11057116229530017</v>
      </c>
      <c r="V83" s="123">
        <v>1976.06</v>
      </c>
      <c r="X83" s="50">
        <f t="shared" si="9"/>
        <v>2.5054986097854393E-2</v>
      </c>
    </row>
    <row r="84" spans="4:24" x14ac:dyDescent="0.25">
      <c r="D84" s="122">
        <v>45271</v>
      </c>
      <c r="F84" s="123">
        <v>21456.65</v>
      </c>
      <c r="H84" s="50">
        <f t="shared" si="5"/>
        <v>5.023560381087977E-3</v>
      </c>
      <c r="J84" s="123">
        <v>623.67999999999995</v>
      </c>
      <c r="L84" s="50">
        <f t="shared" si="6"/>
        <v>-4.4739542648838282E-2</v>
      </c>
      <c r="N84" s="123">
        <v>2207.9299999999998</v>
      </c>
      <c r="P84" s="50">
        <f t="shared" si="7"/>
        <v>-6.8073324019398918E-2</v>
      </c>
      <c r="R84" s="123">
        <v>137.91</v>
      </c>
      <c r="T84" s="50">
        <f t="shared" si="8"/>
        <v>3.2183219818875619E-2</v>
      </c>
      <c r="V84" s="123">
        <v>1891</v>
      </c>
      <c r="X84" s="50">
        <f t="shared" si="9"/>
        <v>-4.304525166239892E-2</v>
      </c>
    </row>
    <row r="85" spans="4:24" x14ac:dyDescent="0.25">
      <c r="D85" s="122">
        <v>45264</v>
      </c>
      <c r="F85" s="123">
        <v>20969.400000000001</v>
      </c>
      <c r="H85" s="50">
        <f t="shared" si="5"/>
        <v>-2.2708577527246754E-2</v>
      </c>
      <c r="J85" s="123">
        <v>604.27</v>
      </c>
      <c r="L85" s="50">
        <f t="shared" si="6"/>
        <v>-3.1121729091841965E-2</v>
      </c>
      <c r="N85" s="123">
        <v>2106.4499999999998</v>
      </c>
      <c r="P85" s="50">
        <f t="shared" si="7"/>
        <v>-4.5961602043543048E-2</v>
      </c>
      <c r="R85" s="123">
        <v>137.62</v>
      </c>
      <c r="T85" s="50">
        <f t="shared" si="8"/>
        <v>-2.1028206801536609E-3</v>
      </c>
      <c r="V85" s="123">
        <v>1913.43</v>
      </c>
      <c r="X85" s="50">
        <f t="shared" si="9"/>
        <v>1.1861448968799593E-2</v>
      </c>
    </row>
    <row r="86" spans="4:24" x14ac:dyDescent="0.25">
      <c r="D86" s="122">
        <v>45257</v>
      </c>
      <c r="F86" s="123">
        <v>20267.900000000001</v>
      </c>
      <c r="H86" s="50">
        <f t="shared" si="5"/>
        <v>-3.3453508445639879E-2</v>
      </c>
      <c r="J86" s="123">
        <v>577.92999999999995</v>
      </c>
      <c r="L86" s="50">
        <f t="shared" si="6"/>
        <v>-4.3589786022804389E-2</v>
      </c>
      <c r="N86" s="123">
        <v>2132.84</v>
      </c>
      <c r="P86" s="50">
        <f t="shared" si="7"/>
        <v>1.2528187234446708E-2</v>
      </c>
      <c r="R86" s="123">
        <v>130.5</v>
      </c>
      <c r="T86" s="50">
        <f t="shared" si="8"/>
        <v>-5.1736666182240931E-2</v>
      </c>
      <c r="V86" s="123">
        <v>1884.82</v>
      </c>
      <c r="X86" s="50">
        <f t="shared" si="9"/>
        <v>-1.4952206247419664E-2</v>
      </c>
    </row>
    <row r="87" spans="4:24" x14ac:dyDescent="0.25">
      <c r="D87" s="122">
        <v>45250</v>
      </c>
      <c r="F87" s="123">
        <v>19794.7</v>
      </c>
      <c r="H87" s="50">
        <f t="shared" si="5"/>
        <v>-2.3347263406667706E-2</v>
      </c>
      <c r="J87" s="123">
        <v>534.27</v>
      </c>
      <c r="L87" s="50">
        <f t="shared" si="6"/>
        <v>-7.5545481286660943E-2</v>
      </c>
      <c r="N87" s="123">
        <v>2120.7800000000002</v>
      </c>
      <c r="P87" s="50">
        <f t="shared" si="7"/>
        <v>-5.6544325875358403E-3</v>
      </c>
      <c r="R87" s="123">
        <v>133.27000000000001</v>
      </c>
      <c r="T87" s="50">
        <f t="shared" si="8"/>
        <v>2.1226053639846754E-2</v>
      </c>
      <c r="V87" s="123">
        <v>1837.26</v>
      </c>
      <c r="X87" s="50">
        <f t="shared" si="9"/>
        <v>-2.5233178765081021E-2</v>
      </c>
    </row>
    <row r="88" spans="4:24" x14ac:dyDescent="0.25">
      <c r="D88" s="122">
        <v>45243</v>
      </c>
      <c r="F88" s="123">
        <v>19731.8</v>
      </c>
      <c r="H88" s="50">
        <f t="shared" si="5"/>
        <v>-3.1776182513502116E-3</v>
      </c>
      <c r="J88" s="123">
        <v>533.57000000000005</v>
      </c>
      <c r="L88" s="50">
        <f t="shared" si="6"/>
        <v>-1.310198963070941E-3</v>
      </c>
      <c r="N88" s="123">
        <v>2067.5300000000002</v>
      </c>
      <c r="P88" s="50">
        <f t="shared" si="7"/>
        <v>-2.5108686426692062E-2</v>
      </c>
      <c r="R88" s="123">
        <v>128.27000000000001</v>
      </c>
      <c r="T88" s="50">
        <f t="shared" si="8"/>
        <v>-3.751782096495837E-2</v>
      </c>
      <c r="V88" s="123">
        <v>1795.94</v>
      </c>
      <c r="X88" s="50">
        <f t="shared" si="9"/>
        <v>-2.2490012300926399E-2</v>
      </c>
    </row>
    <row r="89" spans="4:24" x14ac:dyDescent="0.25">
      <c r="D89" s="122">
        <v>45236</v>
      </c>
      <c r="F89" s="123">
        <v>19425.349999999999</v>
      </c>
      <c r="H89" s="50">
        <f t="shared" si="5"/>
        <v>-1.5530767593427863E-2</v>
      </c>
      <c r="J89" s="123">
        <v>541.29999999999995</v>
      </c>
      <c r="L89" s="50">
        <f t="shared" si="6"/>
        <v>1.4487321251194674E-2</v>
      </c>
      <c r="N89" s="123">
        <v>2007.44</v>
      </c>
      <c r="P89" s="50">
        <f t="shared" si="7"/>
        <v>-2.9063665339801648E-2</v>
      </c>
      <c r="R89" s="123">
        <v>127.63</v>
      </c>
      <c r="T89" s="50">
        <f t="shared" si="8"/>
        <v>-4.9894753254854374E-3</v>
      </c>
      <c r="V89" s="123">
        <v>1735.87</v>
      </c>
      <c r="X89" s="50">
        <f t="shared" si="9"/>
        <v>-3.3447665289486395E-2</v>
      </c>
    </row>
    <row r="90" spans="4:24" x14ac:dyDescent="0.25">
      <c r="D90" s="122">
        <v>45229</v>
      </c>
      <c r="F90" s="123">
        <v>19230.599999999999</v>
      </c>
      <c r="H90" s="50">
        <f t="shared" si="5"/>
        <v>-1.0025559385030358E-2</v>
      </c>
      <c r="J90" s="123">
        <v>528.23</v>
      </c>
      <c r="L90" s="50">
        <f t="shared" si="6"/>
        <v>-2.4145575466469449E-2</v>
      </c>
      <c r="N90" s="123">
        <v>1957.33</v>
      </c>
      <c r="P90" s="50">
        <f t="shared" si="7"/>
        <v>-2.496214083608983E-2</v>
      </c>
      <c r="R90" s="123">
        <v>126.84</v>
      </c>
      <c r="T90" s="50">
        <f t="shared" si="8"/>
        <v>-6.1897672960902206E-3</v>
      </c>
      <c r="V90" s="123">
        <v>1680.5</v>
      </c>
      <c r="X90" s="50">
        <f t="shared" si="9"/>
        <v>-3.1897549931734437E-2</v>
      </c>
    </row>
    <row r="91" spans="4:24" x14ac:dyDescent="0.25">
      <c r="D91" s="122">
        <v>45222</v>
      </c>
      <c r="F91" s="123">
        <v>19047.25</v>
      </c>
      <c r="H91" s="50">
        <f t="shared" si="5"/>
        <v>-9.5342839016983039E-3</v>
      </c>
      <c r="J91" s="123">
        <v>529.76</v>
      </c>
      <c r="L91" s="50">
        <f t="shared" si="6"/>
        <v>2.8964655547771834E-3</v>
      </c>
      <c r="N91" s="123">
        <v>1913.8</v>
      </c>
      <c r="P91" s="50">
        <f t="shared" si="7"/>
        <v>-2.2239479290666386E-2</v>
      </c>
      <c r="R91" s="123">
        <v>125.46</v>
      </c>
      <c r="T91" s="50">
        <f t="shared" si="8"/>
        <v>-1.0879848628193023E-2</v>
      </c>
      <c r="V91" s="123">
        <v>1657.98</v>
      </c>
      <c r="X91" s="50">
        <f t="shared" si="9"/>
        <v>-1.3400773579291814E-2</v>
      </c>
    </row>
    <row r="92" spans="4:24" x14ac:dyDescent="0.25">
      <c r="D92" s="122">
        <v>45215</v>
      </c>
      <c r="F92" s="123">
        <v>19542.650000000001</v>
      </c>
      <c r="H92" s="50">
        <f t="shared" si="5"/>
        <v>2.6009003924451157E-2</v>
      </c>
      <c r="J92" s="123">
        <v>564.66999999999996</v>
      </c>
      <c r="L92" s="50">
        <f t="shared" si="6"/>
        <v>6.5897765025672017E-2</v>
      </c>
      <c r="N92" s="123">
        <v>1995.19</v>
      </c>
      <c r="P92" s="50">
        <f t="shared" si="7"/>
        <v>4.2527954854216787E-2</v>
      </c>
      <c r="R92" s="123">
        <v>129.91</v>
      </c>
      <c r="T92" s="50">
        <f t="shared" si="8"/>
        <v>3.5469472341782327E-2</v>
      </c>
      <c r="V92" s="123">
        <v>1661.41</v>
      </c>
      <c r="X92" s="50">
        <f t="shared" si="9"/>
        <v>2.0687824943605992E-3</v>
      </c>
    </row>
    <row r="93" spans="4:24" x14ac:dyDescent="0.25">
      <c r="D93" s="122">
        <v>45208</v>
      </c>
      <c r="F93" s="123">
        <v>19751.05</v>
      </c>
      <c r="H93" s="50">
        <f t="shared" si="5"/>
        <v>1.0663855720692839E-2</v>
      </c>
      <c r="J93" s="123">
        <v>537.63</v>
      </c>
      <c r="L93" s="50">
        <f t="shared" si="6"/>
        <v>-4.7886376113482121E-2</v>
      </c>
      <c r="N93" s="123">
        <v>1930.31</v>
      </c>
      <c r="P93" s="50">
        <f t="shared" si="7"/>
        <v>-3.2518206286118123E-2</v>
      </c>
      <c r="R93" s="123">
        <v>134.4</v>
      </c>
      <c r="T93" s="50">
        <f t="shared" si="8"/>
        <v>3.4562389346470601E-2</v>
      </c>
      <c r="V93" s="123">
        <v>1683.55</v>
      </c>
      <c r="X93" s="50">
        <f t="shared" si="9"/>
        <v>1.3326030299564806E-2</v>
      </c>
    </row>
    <row r="94" spans="4:24" x14ac:dyDescent="0.25">
      <c r="D94" s="122">
        <v>45201</v>
      </c>
      <c r="F94" s="123">
        <v>19653.5</v>
      </c>
      <c r="H94" s="50">
        <f t="shared" si="5"/>
        <v>-4.9389779277556611E-3</v>
      </c>
      <c r="J94" s="123">
        <v>524.80999999999995</v>
      </c>
      <c r="L94" s="50">
        <f t="shared" si="6"/>
        <v>-2.3845395532243407E-2</v>
      </c>
      <c r="N94" s="123">
        <v>1924.99</v>
      </c>
      <c r="P94" s="50">
        <f t="shared" si="7"/>
        <v>-2.7560340049007648E-3</v>
      </c>
      <c r="R94" s="123">
        <v>133.76</v>
      </c>
      <c r="T94" s="50">
        <f t="shared" si="8"/>
        <v>-4.761904761904856E-3</v>
      </c>
      <c r="V94" s="123">
        <v>1673.04</v>
      </c>
      <c r="X94" s="50">
        <f t="shared" si="9"/>
        <v>-6.2427608327640938E-3</v>
      </c>
    </row>
    <row r="95" spans="4:24" x14ac:dyDescent="0.25">
      <c r="D95" s="122">
        <v>45194</v>
      </c>
      <c r="F95" s="123">
        <v>19638.3</v>
      </c>
      <c r="H95" s="50">
        <f t="shared" si="5"/>
        <v>-7.7339914010232658E-4</v>
      </c>
      <c r="J95" s="123">
        <v>534.61</v>
      </c>
      <c r="L95" s="50">
        <f t="shared" si="6"/>
        <v>1.8673424667975169E-2</v>
      </c>
      <c r="N95" s="123">
        <v>1929.44</v>
      </c>
      <c r="P95" s="50">
        <f t="shared" si="7"/>
        <v>2.3117003205210818E-3</v>
      </c>
      <c r="R95" s="123">
        <v>136.72999999999999</v>
      </c>
      <c r="T95" s="50">
        <f t="shared" si="8"/>
        <v>2.2203947368421018E-2</v>
      </c>
      <c r="V95" s="123">
        <v>1665.05</v>
      </c>
      <c r="X95" s="50">
        <f t="shared" si="9"/>
        <v>-4.7757375794960089E-3</v>
      </c>
    </row>
    <row r="96" spans="4:24" x14ac:dyDescent="0.25">
      <c r="D96" s="122">
        <v>45187</v>
      </c>
      <c r="F96" s="123">
        <v>19674.25</v>
      </c>
      <c r="H96" s="50">
        <f t="shared" si="5"/>
        <v>1.8306065188942178E-3</v>
      </c>
      <c r="J96" s="123">
        <v>477.08</v>
      </c>
      <c r="L96" s="50">
        <f t="shared" si="6"/>
        <v>-0.10761115579581382</v>
      </c>
      <c r="N96" s="123">
        <v>1896.13</v>
      </c>
      <c r="P96" s="50">
        <f t="shared" si="7"/>
        <v>-1.7264076623268898E-2</v>
      </c>
      <c r="R96" s="123">
        <v>139.79</v>
      </c>
      <c r="T96" s="50">
        <f t="shared" si="8"/>
        <v>2.2379872741900009E-2</v>
      </c>
      <c r="V96" s="123">
        <v>1693.56</v>
      </c>
      <c r="X96" s="50">
        <f t="shared" si="9"/>
        <v>1.7122608930662642E-2</v>
      </c>
    </row>
    <row r="97" spans="4:24" x14ac:dyDescent="0.25">
      <c r="D97" s="122">
        <v>45180</v>
      </c>
      <c r="F97" s="123">
        <v>20192.349999999999</v>
      </c>
      <c r="H97" s="50">
        <f t="shared" si="5"/>
        <v>2.6333913618054039E-2</v>
      </c>
      <c r="J97" s="123">
        <v>480.55</v>
      </c>
      <c r="L97" s="50">
        <f t="shared" si="6"/>
        <v>7.2734132640228655E-3</v>
      </c>
      <c r="N97" s="123">
        <v>1969.29</v>
      </c>
      <c r="P97" s="50">
        <f t="shared" si="7"/>
        <v>3.8583852372991334E-2</v>
      </c>
      <c r="R97" s="123">
        <v>144.38999999999999</v>
      </c>
      <c r="T97" s="50">
        <f t="shared" si="8"/>
        <v>3.2906502611059318E-2</v>
      </c>
      <c r="V97" s="123">
        <v>1715.15</v>
      </c>
      <c r="X97" s="50">
        <f t="shared" si="9"/>
        <v>1.2748293535510991E-2</v>
      </c>
    </row>
    <row r="98" spans="4:24" x14ac:dyDescent="0.25">
      <c r="D98" s="122">
        <v>45173</v>
      </c>
      <c r="F98" s="123">
        <v>19819.95</v>
      </c>
      <c r="H98" s="50">
        <f t="shared" si="5"/>
        <v>-1.8442628024969765E-2</v>
      </c>
      <c r="J98" s="123">
        <v>504.86</v>
      </c>
      <c r="L98" s="50">
        <f t="shared" si="6"/>
        <v>5.0587868067838881E-2</v>
      </c>
      <c r="N98" s="123">
        <v>2074.3000000000002</v>
      </c>
      <c r="P98" s="50">
        <f t="shared" si="7"/>
        <v>5.3323786745476998E-2</v>
      </c>
      <c r="R98" s="123">
        <v>147.4</v>
      </c>
      <c r="T98" s="50">
        <f t="shared" si="8"/>
        <v>2.0846318997160607E-2</v>
      </c>
      <c r="V98" s="123">
        <v>1723.01</v>
      </c>
      <c r="X98" s="50">
        <f t="shared" si="9"/>
        <v>4.5826895606797535E-3</v>
      </c>
    </row>
    <row r="99" spans="4:24" x14ac:dyDescent="0.25">
      <c r="D99" s="122">
        <v>45166</v>
      </c>
      <c r="F99" s="123">
        <v>19435.3</v>
      </c>
      <c r="H99" s="50">
        <f t="shared" si="5"/>
        <v>-1.940721343898455E-2</v>
      </c>
      <c r="J99" s="123">
        <v>486.84</v>
      </c>
      <c r="L99" s="50">
        <f t="shared" si="6"/>
        <v>-3.5693063423523408E-2</v>
      </c>
      <c r="N99" s="123">
        <v>1954.23</v>
      </c>
      <c r="P99" s="50">
        <f t="shared" si="7"/>
        <v>-5.7884587571710999E-2</v>
      </c>
      <c r="R99" s="123">
        <v>147.06</v>
      </c>
      <c r="T99" s="50">
        <f t="shared" si="8"/>
        <v>-2.3066485753052701E-3</v>
      </c>
      <c r="V99" s="123">
        <v>1674.57</v>
      </c>
      <c r="X99" s="50">
        <f t="shared" si="9"/>
        <v>-2.8113591911828717E-2</v>
      </c>
    </row>
    <row r="100" spans="4:24" x14ac:dyDescent="0.25">
      <c r="D100" s="122">
        <v>45159</v>
      </c>
      <c r="F100" s="123">
        <v>19265.8</v>
      </c>
      <c r="H100" s="50">
        <f t="shared" si="5"/>
        <v>-8.7212443337638668E-3</v>
      </c>
      <c r="J100" s="123">
        <v>462.08</v>
      </c>
      <c r="L100" s="50">
        <f t="shared" si="6"/>
        <v>-5.0858598307452096E-2</v>
      </c>
      <c r="N100" s="123">
        <v>1950.26</v>
      </c>
      <c r="P100" s="50">
        <f t="shared" si="7"/>
        <v>-2.0314906638420061E-3</v>
      </c>
      <c r="R100" s="123">
        <v>132.22999999999999</v>
      </c>
      <c r="T100" s="50">
        <f t="shared" si="8"/>
        <v>-0.10084319325445401</v>
      </c>
      <c r="V100" s="123">
        <v>1683.16</v>
      </c>
      <c r="X100" s="50">
        <f t="shared" si="9"/>
        <v>5.1296750807670044E-3</v>
      </c>
    </row>
    <row r="101" spans="4:24" x14ac:dyDescent="0.25">
      <c r="D101" s="122">
        <v>45152</v>
      </c>
      <c r="F101" s="123">
        <v>19310.150000000001</v>
      </c>
      <c r="H101" s="50">
        <f t="shared" si="5"/>
        <v>2.3020066646597392E-3</v>
      </c>
      <c r="J101" s="123">
        <v>514.76</v>
      </c>
      <c r="L101" s="50">
        <f t="shared" si="6"/>
        <v>0.11400623268698062</v>
      </c>
      <c r="N101" s="123">
        <v>1964.25</v>
      </c>
      <c r="P101" s="50">
        <f t="shared" si="7"/>
        <v>7.1734025206895424E-3</v>
      </c>
      <c r="R101" s="123">
        <v>129.81</v>
      </c>
      <c r="T101" s="50">
        <f t="shared" si="8"/>
        <v>-1.8301444452847204E-2</v>
      </c>
      <c r="V101" s="123">
        <v>1699.11</v>
      </c>
      <c r="X101" s="50">
        <f t="shared" si="9"/>
        <v>9.4762232942797731E-3</v>
      </c>
    </row>
    <row r="102" spans="4:24" x14ac:dyDescent="0.25">
      <c r="D102" s="122">
        <v>45145</v>
      </c>
      <c r="F102" s="123">
        <v>19428.3</v>
      </c>
      <c r="H102" s="50">
        <f t="shared" si="5"/>
        <v>6.1185438745943177E-3</v>
      </c>
      <c r="J102" s="123">
        <v>475.4</v>
      </c>
      <c r="L102" s="50">
        <f t="shared" si="6"/>
        <v>-7.646281762374707E-2</v>
      </c>
      <c r="N102" s="123">
        <v>2006.28</v>
      </c>
      <c r="P102" s="50">
        <f t="shared" si="7"/>
        <v>2.1397479954180953E-2</v>
      </c>
      <c r="R102" s="123">
        <v>131.09</v>
      </c>
      <c r="T102" s="50">
        <f t="shared" si="8"/>
        <v>9.8605654417995847E-3</v>
      </c>
      <c r="V102" s="123">
        <v>1706.57</v>
      </c>
      <c r="X102" s="50">
        <f t="shared" si="9"/>
        <v>4.3905338677308059E-3</v>
      </c>
    </row>
    <row r="103" spans="4:24" x14ac:dyDescent="0.25">
      <c r="D103" s="122">
        <v>45138</v>
      </c>
      <c r="F103" s="123">
        <v>19517</v>
      </c>
      <c r="H103" s="50">
        <f t="shared" si="5"/>
        <v>4.5655049592605579E-3</v>
      </c>
      <c r="J103" s="123">
        <v>441.82</v>
      </c>
      <c r="L103" s="50">
        <f t="shared" si="6"/>
        <v>-7.0635254522507296E-2</v>
      </c>
      <c r="N103" s="123">
        <v>1967.79</v>
      </c>
      <c r="P103" s="50">
        <f t="shared" si="7"/>
        <v>-1.9184759854058209E-2</v>
      </c>
      <c r="R103" s="123">
        <v>138.49</v>
      </c>
      <c r="T103" s="50">
        <f t="shared" si="8"/>
        <v>5.644976733541851E-2</v>
      </c>
      <c r="V103" s="123">
        <v>1763.01</v>
      </c>
      <c r="X103" s="50">
        <f t="shared" si="9"/>
        <v>3.3072185729269954E-2</v>
      </c>
    </row>
    <row r="104" spans="4:24" x14ac:dyDescent="0.25">
      <c r="D104" s="122">
        <v>45131</v>
      </c>
      <c r="F104" s="123">
        <v>19646.05</v>
      </c>
      <c r="H104" s="50">
        <f t="shared" si="5"/>
        <v>6.6121842496285055E-3</v>
      </c>
      <c r="J104" s="123">
        <v>432.95</v>
      </c>
      <c r="L104" s="50">
        <f t="shared" si="6"/>
        <v>-2.0076049069756907E-2</v>
      </c>
      <c r="N104" s="123">
        <v>1954.13</v>
      </c>
      <c r="P104" s="50">
        <f t="shared" si="7"/>
        <v>-6.941797651172088E-3</v>
      </c>
      <c r="R104" s="123">
        <v>132.55000000000001</v>
      </c>
      <c r="T104" s="50">
        <f t="shared" si="8"/>
        <v>-4.2891183478951489E-2</v>
      </c>
      <c r="V104" s="123">
        <v>1906.05</v>
      </c>
      <c r="X104" s="50">
        <f t="shared" si="9"/>
        <v>8.1133969744924928E-2</v>
      </c>
    </row>
    <row r="105" spans="4:24" x14ac:dyDescent="0.25">
      <c r="D105" s="122">
        <v>45124</v>
      </c>
      <c r="F105" s="123">
        <v>19745</v>
      </c>
      <c r="H105" s="50">
        <f t="shared" si="5"/>
        <v>5.0366358631888097E-3</v>
      </c>
      <c r="J105" s="123">
        <v>404.69</v>
      </c>
      <c r="L105" s="50">
        <f t="shared" si="6"/>
        <v>-6.5273126227046951E-2</v>
      </c>
      <c r="N105" s="123">
        <v>1948.18</v>
      </c>
      <c r="P105" s="50">
        <f t="shared" si="7"/>
        <v>-3.0448332506025633E-3</v>
      </c>
      <c r="R105" s="123">
        <v>134.37</v>
      </c>
      <c r="T105" s="50">
        <f t="shared" si="8"/>
        <v>1.3730667672576358E-2</v>
      </c>
      <c r="V105" s="123">
        <v>1836.44</v>
      </c>
      <c r="X105" s="50">
        <f t="shared" si="9"/>
        <v>-3.6520552976049947E-2</v>
      </c>
    </row>
    <row r="106" spans="4:24" x14ac:dyDescent="0.25">
      <c r="D106" s="122">
        <v>45117</v>
      </c>
      <c r="F106" s="123">
        <v>19564.5</v>
      </c>
      <c r="H106" s="50">
        <f t="shared" si="5"/>
        <v>-9.1415548240060263E-3</v>
      </c>
      <c r="J106" s="123">
        <v>397.01</v>
      </c>
      <c r="L106" s="50">
        <f t="shared" si="6"/>
        <v>-1.8977488942153231E-2</v>
      </c>
      <c r="N106" s="123">
        <v>2003.47</v>
      </c>
      <c r="P106" s="50">
        <f t="shared" si="7"/>
        <v>2.8380334466014512E-2</v>
      </c>
      <c r="R106" s="123">
        <v>135.16</v>
      </c>
      <c r="T106" s="50">
        <f t="shared" si="8"/>
        <v>5.8792885316663046E-3</v>
      </c>
      <c r="V106" s="123">
        <v>1870.32</v>
      </c>
      <c r="X106" s="50">
        <f t="shared" si="9"/>
        <v>1.8448737775260682E-2</v>
      </c>
    </row>
    <row r="107" spans="4:24" x14ac:dyDescent="0.25">
      <c r="D107" s="122">
        <v>45110</v>
      </c>
      <c r="F107" s="123">
        <v>19331.8</v>
      </c>
      <c r="H107" s="50">
        <f t="shared" si="5"/>
        <v>-1.1893991668583404E-2</v>
      </c>
      <c r="J107" s="123">
        <v>385.29</v>
      </c>
      <c r="L107" s="50">
        <f t="shared" si="6"/>
        <v>-2.9520666985718202E-2</v>
      </c>
      <c r="N107" s="123">
        <v>1979.92</v>
      </c>
      <c r="P107" s="50">
        <f t="shared" si="7"/>
        <v>-1.1754605759008108E-2</v>
      </c>
      <c r="R107" s="123">
        <v>132.9</v>
      </c>
      <c r="T107" s="50">
        <f t="shared" si="8"/>
        <v>-1.6720923350103556E-2</v>
      </c>
      <c r="V107" s="123">
        <v>1854.67</v>
      </c>
      <c r="X107" s="50">
        <f t="shared" si="9"/>
        <v>-8.3675520766499645E-3</v>
      </c>
    </row>
    <row r="108" spans="4:24" x14ac:dyDescent="0.25">
      <c r="D108" s="122">
        <v>45103</v>
      </c>
      <c r="F108" s="123">
        <v>19189.05</v>
      </c>
      <c r="H108" s="50">
        <f t="shared" si="5"/>
        <v>-7.3842063336058139E-3</v>
      </c>
      <c r="J108" s="123">
        <v>386.03</v>
      </c>
      <c r="L108" s="50">
        <f t="shared" si="6"/>
        <v>1.9206312128525749E-3</v>
      </c>
      <c r="N108" s="123">
        <v>1981.08</v>
      </c>
      <c r="P108" s="50">
        <f t="shared" si="7"/>
        <v>5.8588225786904147E-4</v>
      </c>
      <c r="R108" s="123">
        <v>132.36000000000001</v>
      </c>
      <c r="T108" s="50">
        <f t="shared" si="8"/>
        <v>-4.0632054176071852E-3</v>
      </c>
      <c r="V108" s="123">
        <v>1894.4</v>
      </c>
      <c r="X108" s="50">
        <f t="shared" si="9"/>
        <v>2.1421600608194424E-2</v>
      </c>
    </row>
    <row r="109" spans="4:24" x14ac:dyDescent="0.25">
      <c r="D109" s="122">
        <v>45096</v>
      </c>
      <c r="F109" s="123">
        <v>18665.5</v>
      </c>
      <c r="H109" s="50">
        <f t="shared" si="5"/>
        <v>-2.7283789452838936E-2</v>
      </c>
      <c r="J109" s="123">
        <v>385.88</v>
      </c>
      <c r="L109" s="50">
        <f t="shared" si="6"/>
        <v>-3.8857083646337554E-4</v>
      </c>
      <c r="N109" s="123">
        <v>1918.01</v>
      </c>
      <c r="P109" s="50">
        <f t="shared" si="7"/>
        <v>-3.1836170169806333E-2</v>
      </c>
      <c r="R109" s="123">
        <v>135.84</v>
      </c>
      <c r="T109" s="50">
        <f t="shared" si="8"/>
        <v>2.6291931097008003E-2</v>
      </c>
      <c r="V109" s="123">
        <v>1800.42</v>
      </c>
      <c r="X109" s="50">
        <f t="shared" si="9"/>
        <v>-4.9609374999999956E-2</v>
      </c>
    </row>
    <row r="110" spans="4:24" x14ac:dyDescent="0.25">
      <c r="D110" s="122">
        <v>45089</v>
      </c>
      <c r="F110" s="123">
        <v>18826</v>
      </c>
      <c r="H110" s="50">
        <f t="shared" si="5"/>
        <v>8.598751707695973E-3</v>
      </c>
      <c r="J110" s="123">
        <v>409.07</v>
      </c>
      <c r="L110" s="50">
        <f t="shared" si="6"/>
        <v>6.0096403026847822E-2</v>
      </c>
      <c r="N110" s="123">
        <v>1950.87</v>
      </c>
      <c r="P110" s="50">
        <f t="shared" si="7"/>
        <v>1.7132340290196613E-2</v>
      </c>
      <c r="R110" s="123">
        <v>136.63</v>
      </c>
      <c r="T110" s="50">
        <f t="shared" si="8"/>
        <v>5.8156654888104065E-3</v>
      </c>
      <c r="V110" s="123">
        <v>1797.1</v>
      </c>
      <c r="X110" s="50">
        <f t="shared" si="9"/>
        <v>-1.844014174470443E-3</v>
      </c>
    </row>
    <row r="111" spans="4:24" x14ac:dyDescent="0.25">
      <c r="D111" s="122">
        <v>45082</v>
      </c>
      <c r="F111" s="123">
        <v>18563.400000000001</v>
      </c>
      <c r="H111" s="50">
        <f t="shared" si="5"/>
        <v>-1.3948794220758454E-2</v>
      </c>
      <c r="J111" s="123">
        <v>409.76</v>
      </c>
      <c r="L111" s="50">
        <f t="shared" si="6"/>
        <v>1.6867528784805241E-3</v>
      </c>
      <c r="N111" s="123">
        <v>1922.99</v>
      </c>
      <c r="P111" s="50">
        <f t="shared" si="7"/>
        <v>-1.429105988610202E-2</v>
      </c>
      <c r="R111" s="123">
        <v>132.11000000000001</v>
      </c>
      <c r="T111" s="50">
        <f t="shared" si="8"/>
        <v>-3.3082046402693299E-2</v>
      </c>
      <c r="V111" s="123">
        <v>1738.12</v>
      </c>
      <c r="X111" s="50">
        <f t="shared" si="9"/>
        <v>-3.2819542596405293E-2</v>
      </c>
    </row>
    <row r="112" spans="4:24" x14ac:dyDescent="0.25">
      <c r="D112" s="122">
        <v>45075</v>
      </c>
      <c r="F112" s="123">
        <v>18534.099999999999</v>
      </c>
      <c r="H112" s="50">
        <f t="shared" si="5"/>
        <v>-1.5783746511954799E-3</v>
      </c>
      <c r="J112" s="123">
        <v>402.92</v>
      </c>
      <c r="L112" s="50">
        <f t="shared" si="6"/>
        <v>-1.6692698164779363E-2</v>
      </c>
      <c r="N112" s="123">
        <v>1796.63</v>
      </c>
      <c r="P112" s="50">
        <f t="shared" si="7"/>
        <v>-6.5710170099688492E-2</v>
      </c>
      <c r="R112" s="123">
        <v>128.47999999999999</v>
      </c>
      <c r="T112" s="50">
        <f t="shared" si="8"/>
        <v>-2.7477102414654619E-2</v>
      </c>
      <c r="V112" s="123">
        <v>1709.31</v>
      </c>
      <c r="X112" s="50">
        <f t="shared" si="9"/>
        <v>-1.6575380295951958E-2</v>
      </c>
    </row>
    <row r="113" spans="4:24" x14ac:dyDescent="0.25">
      <c r="D113" s="122">
        <v>45068</v>
      </c>
      <c r="F113" s="123">
        <v>18499.349999999999</v>
      </c>
      <c r="H113" s="50">
        <f t="shared" si="5"/>
        <v>-1.874922440258775E-3</v>
      </c>
      <c r="J113" s="123">
        <v>394.4</v>
      </c>
      <c r="L113" s="50">
        <f t="shared" si="6"/>
        <v>-2.1145636850987914E-2</v>
      </c>
      <c r="N113" s="123">
        <v>1673.84</v>
      </c>
      <c r="P113" s="50">
        <f t="shared" si="7"/>
        <v>-6.8344622988595449E-2</v>
      </c>
      <c r="R113" s="123">
        <v>145.66999999999999</v>
      </c>
      <c r="T113" s="50">
        <f t="shared" si="8"/>
        <v>0.13379514321295138</v>
      </c>
      <c r="V113" s="123">
        <v>1691.57</v>
      </c>
      <c r="X113" s="50">
        <f t="shared" si="9"/>
        <v>-1.037845680420757E-2</v>
      </c>
    </row>
    <row r="114" spans="4:24" x14ac:dyDescent="0.25">
      <c r="D114" s="122">
        <v>45061</v>
      </c>
      <c r="F114" s="123">
        <v>18203.400000000001</v>
      </c>
      <c r="H114" s="50">
        <f t="shared" si="5"/>
        <v>-1.599785938424847E-2</v>
      </c>
      <c r="J114" s="123">
        <v>407.35</v>
      </c>
      <c r="L114" s="50">
        <f t="shared" si="6"/>
        <v>3.2834685598377433E-2</v>
      </c>
      <c r="N114" s="123">
        <v>1679.56</v>
      </c>
      <c r="P114" s="50">
        <f t="shared" si="7"/>
        <v>3.4172919753381326E-3</v>
      </c>
      <c r="R114" s="123">
        <v>151.46</v>
      </c>
      <c r="T114" s="50">
        <f t="shared" si="8"/>
        <v>3.9747374201963392E-2</v>
      </c>
      <c r="V114" s="123">
        <v>1598.61</v>
      </c>
      <c r="X114" s="50">
        <f t="shared" si="9"/>
        <v>-5.4954864415897697E-2</v>
      </c>
    </row>
    <row r="115" spans="4:24" x14ac:dyDescent="0.25">
      <c r="D115" s="122">
        <v>45054</v>
      </c>
      <c r="F115" s="123">
        <v>18314.8</v>
      </c>
      <c r="H115" s="50">
        <f t="shared" si="5"/>
        <v>6.1197358735181062E-3</v>
      </c>
      <c r="J115" s="123">
        <v>414.44</v>
      </c>
      <c r="L115" s="50">
        <f t="shared" si="6"/>
        <v>1.7405179820792815E-2</v>
      </c>
      <c r="N115" s="123">
        <v>1682.21</v>
      </c>
      <c r="P115" s="50">
        <f t="shared" si="7"/>
        <v>1.5777941841912391E-3</v>
      </c>
      <c r="R115" s="123">
        <v>150.09</v>
      </c>
      <c r="T115" s="50">
        <f t="shared" si="8"/>
        <v>-9.0452924864651285E-3</v>
      </c>
      <c r="V115" s="123">
        <v>1597</v>
      </c>
      <c r="X115" s="50">
        <f t="shared" si="9"/>
        <v>-1.0071249397913817E-3</v>
      </c>
    </row>
    <row r="116" spans="4:24" x14ac:dyDescent="0.25">
      <c r="D116" s="122">
        <v>45047</v>
      </c>
      <c r="F116" s="123">
        <v>18069</v>
      </c>
      <c r="H116" s="50">
        <f t="shared" si="5"/>
        <v>-1.3420839976412524E-2</v>
      </c>
      <c r="J116" s="123">
        <v>387.75</v>
      </c>
      <c r="L116" s="50">
        <f t="shared" si="6"/>
        <v>-6.440015442524849E-2</v>
      </c>
      <c r="N116" s="123">
        <v>1613.66</v>
      </c>
      <c r="P116" s="50">
        <f t="shared" si="7"/>
        <v>-4.0749965818774103E-2</v>
      </c>
      <c r="R116" s="123">
        <v>131.72</v>
      </c>
      <c r="T116" s="50">
        <f t="shared" si="8"/>
        <v>-0.12239323072822972</v>
      </c>
      <c r="V116" s="123">
        <v>1555.9</v>
      </c>
      <c r="X116" s="50">
        <f t="shared" si="9"/>
        <v>-2.5735754539761957E-2</v>
      </c>
    </row>
    <row r="117" spans="4:24" x14ac:dyDescent="0.25">
      <c r="D117" s="122">
        <v>45040</v>
      </c>
      <c r="F117" s="123">
        <v>18065</v>
      </c>
      <c r="H117" s="50">
        <f t="shared" si="5"/>
        <v>-2.2137362333274346E-4</v>
      </c>
      <c r="J117" s="123">
        <v>387.85</v>
      </c>
      <c r="L117" s="50">
        <f t="shared" si="6"/>
        <v>2.5789813023857633E-4</v>
      </c>
      <c r="N117" s="123">
        <v>1616.12</v>
      </c>
      <c r="P117" s="50">
        <f t="shared" si="7"/>
        <v>1.524484711773022E-3</v>
      </c>
      <c r="R117" s="123">
        <v>131.08000000000001</v>
      </c>
      <c r="T117" s="50">
        <f t="shared" si="8"/>
        <v>-4.8587913756451551E-3</v>
      </c>
      <c r="V117" s="123">
        <v>1536.16</v>
      </c>
      <c r="X117" s="50">
        <f t="shared" si="9"/>
        <v>-1.2687190693489336E-2</v>
      </c>
    </row>
    <row r="118" spans="4:24" x14ac:dyDescent="0.25">
      <c r="D118" s="122">
        <v>45033</v>
      </c>
      <c r="F118" s="123">
        <v>17624.05</v>
      </c>
      <c r="H118" s="50">
        <f t="shared" si="5"/>
        <v>-2.4409078328259115E-2</v>
      </c>
      <c r="J118" s="123">
        <v>390.71</v>
      </c>
      <c r="L118" s="50">
        <f t="shared" si="6"/>
        <v>7.3739847879332743E-3</v>
      </c>
      <c r="N118" s="123">
        <v>1461.22</v>
      </c>
      <c r="P118" s="50">
        <f t="shared" si="7"/>
        <v>-9.5846843056208608E-2</v>
      </c>
      <c r="R118" s="123">
        <v>130.19999999999999</v>
      </c>
      <c r="T118" s="50">
        <f t="shared" si="8"/>
        <v>-6.7134574305769412E-3</v>
      </c>
      <c r="V118" s="123">
        <v>1505.79</v>
      </c>
      <c r="X118" s="50">
        <f t="shared" si="9"/>
        <v>-1.9770076033746586E-2</v>
      </c>
    </row>
    <row r="119" spans="4:24" x14ac:dyDescent="0.25">
      <c r="D119" s="122">
        <v>45026</v>
      </c>
      <c r="F119" s="123">
        <v>17828</v>
      </c>
      <c r="H119" s="50">
        <f t="shared" si="5"/>
        <v>1.15722549584234E-2</v>
      </c>
      <c r="J119" s="123">
        <v>396.62</v>
      </c>
      <c r="L119" s="50">
        <f t="shared" si="6"/>
        <v>1.5126308515267084E-2</v>
      </c>
      <c r="N119" s="123">
        <v>1445.1</v>
      </c>
      <c r="P119" s="50">
        <f t="shared" si="7"/>
        <v>-1.1031877472249318E-2</v>
      </c>
      <c r="R119" s="123">
        <v>130.38999999999999</v>
      </c>
      <c r="T119" s="50">
        <f t="shared" si="8"/>
        <v>1.4592933947772391E-3</v>
      </c>
      <c r="V119" s="123">
        <v>1509.89</v>
      </c>
      <c r="X119" s="50">
        <f t="shared" si="9"/>
        <v>2.7228232356437676E-3</v>
      </c>
    </row>
    <row r="120" spans="4:24" x14ac:dyDescent="0.25">
      <c r="D120" s="122">
        <v>45019</v>
      </c>
      <c r="F120" s="123">
        <v>17599.150000000001</v>
      </c>
      <c r="H120" s="50">
        <f t="shared" si="5"/>
        <v>-1.2836549248373297E-2</v>
      </c>
      <c r="J120" s="123">
        <v>380.66</v>
      </c>
      <c r="L120" s="50">
        <f t="shared" si="6"/>
        <v>-4.0240028238616277E-2</v>
      </c>
      <c r="N120" s="123">
        <v>1505.84</v>
      </c>
      <c r="P120" s="50">
        <f t="shared" si="7"/>
        <v>4.2031693308421492E-2</v>
      </c>
      <c r="R120" s="123">
        <v>131.03</v>
      </c>
      <c r="T120" s="50">
        <f t="shared" si="8"/>
        <v>4.9083518674746252E-3</v>
      </c>
      <c r="V120" s="123">
        <v>1538.5</v>
      </c>
      <c r="X120" s="50">
        <f t="shared" si="9"/>
        <v>1.8948400214584993E-2</v>
      </c>
    </row>
    <row r="121" spans="4:24" x14ac:dyDescent="0.25">
      <c r="D121" s="122">
        <v>45012</v>
      </c>
      <c r="F121" s="123">
        <v>17359.75</v>
      </c>
      <c r="H121" s="50">
        <f t="shared" si="5"/>
        <v>-1.3602929686945209E-2</v>
      </c>
      <c r="J121" s="123">
        <v>390.07</v>
      </c>
      <c r="L121" s="50">
        <f t="shared" si="6"/>
        <v>2.472022277097663E-2</v>
      </c>
      <c r="N121" s="123">
        <v>1430.88</v>
      </c>
      <c r="P121" s="50">
        <f t="shared" si="7"/>
        <v>-4.9779525049141848E-2</v>
      </c>
      <c r="R121" s="123">
        <v>123.81</v>
      </c>
      <c r="T121" s="50">
        <f t="shared" si="8"/>
        <v>-5.5101885064488987E-2</v>
      </c>
      <c r="V121" s="123">
        <v>1588.76</v>
      </c>
      <c r="X121" s="50">
        <f t="shared" si="9"/>
        <v>3.2668183295417652E-2</v>
      </c>
    </row>
    <row r="122" spans="4:24" x14ac:dyDescent="0.25">
      <c r="D122" s="122">
        <v>45005</v>
      </c>
      <c r="F122" s="123">
        <v>16945.05</v>
      </c>
      <c r="H122" s="50">
        <f t="shared" si="5"/>
        <v>-2.388859286568068E-2</v>
      </c>
      <c r="J122" s="123">
        <v>379.63</v>
      </c>
      <c r="L122" s="50">
        <f t="shared" si="6"/>
        <v>-2.6764426897736282E-2</v>
      </c>
      <c r="N122" s="123">
        <v>1438.96</v>
      </c>
      <c r="P122" s="50">
        <f t="shared" si="7"/>
        <v>5.6468746505646816E-3</v>
      </c>
      <c r="R122" s="123">
        <v>125.58</v>
      </c>
      <c r="T122" s="50">
        <f t="shared" si="8"/>
        <v>1.4296098861158235E-2</v>
      </c>
      <c r="V122" s="123">
        <v>1581.5</v>
      </c>
      <c r="X122" s="50">
        <f t="shared" si="9"/>
        <v>-4.5696014501875881E-3</v>
      </c>
    </row>
    <row r="123" spans="4:24" x14ac:dyDescent="0.25">
      <c r="D123" s="122">
        <v>44998</v>
      </c>
      <c r="F123" s="123">
        <v>17100.05</v>
      </c>
      <c r="H123" s="50">
        <f t="shared" si="5"/>
        <v>9.1472140831687643E-3</v>
      </c>
      <c r="J123" s="123">
        <v>375</v>
      </c>
      <c r="L123" s="50">
        <f t="shared" si="6"/>
        <v>-1.2196085662355416E-2</v>
      </c>
      <c r="N123" s="123">
        <v>1432.09</v>
      </c>
      <c r="P123" s="50">
        <f t="shared" si="7"/>
        <v>-4.7742814254739807E-3</v>
      </c>
      <c r="R123" s="123">
        <v>123.56</v>
      </c>
      <c r="T123" s="50">
        <f t="shared" si="8"/>
        <v>-1.6085363911450878E-2</v>
      </c>
      <c r="V123" s="123">
        <v>1637.07</v>
      </c>
      <c r="X123" s="50">
        <f t="shared" si="9"/>
        <v>3.5137527663610557E-2</v>
      </c>
    </row>
    <row r="124" spans="4:24" x14ac:dyDescent="0.25">
      <c r="D124" s="122">
        <v>44991</v>
      </c>
      <c r="F124" s="123">
        <v>17412.900000000001</v>
      </c>
      <c r="H124" s="50">
        <f t="shared" si="5"/>
        <v>1.829526814249105E-2</v>
      </c>
      <c r="J124" s="123">
        <v>369.78</v>
      </c>
      <c r="L124" s="50">
        <f t="shared" si="6"/>
        <v>-1.3920000000000043E-2</v>
      </c>
      <c r="N124" s="123">
        <v>1453.65</v>
      </c>
      <c r="P124" s="50">
        <f t="shared" si="7"/>
        <v>1.5054919732698568E-2</v>
      </c>
      <c r="R124" s="123">
        <v>122.83</v>
      </c>
      <c r="T124" s="50">
        <f t="shared" si="8"/>
        <v>-5.9080608611201679E-3</v>
      </c>
      <c r="V124" s="123">
        <v>1638.82</v>
      </c>
      <c r="X124" s="50">
        <f t="shared" si="9"/>
        <v>1.0689830001160416E-3</v>
      </c>
    </row>
    <row r="125" spans="4:24" x14ac:dyDescent="0.25">
      <c r="D125" s="122">
        <v>44984</v>
      </c>
      <c r="F125" s="123">
        <v>17594.349999999999</v>
      </c>
      <c r="H125" s="50">
        <f t="shared" si="5"/>
        <v>1.0420435424311592E-2</v>
      </c>
      <c r="J125" s="123">
        <v>314.88</v>
      </c>
      <c r="L125" s="50">
        <f t="shared" si="6"/>
        <v>-0.14846665584942398</v>
      </c>
      <c r="N125" s="123">
        <v>1459.27</v>
      </c>
      <c r="P125" s="50">
        <f t="shared" si="7"/>
        <v>3.8661300863342962E-3</v>
      </c>
      <c r="R125" s="123">
        <v>125.58</v>
      </c>
      <c r="T125" s="50">
        <f t="shared" si="8"/>
        <v>2.2388667263697704E-2</v>
      </c>
      <c r="V125" s="123">
        <v>1559.66</v>
      </c>
      <c r="X125" s="50">
        <f t="shared" si="9"/>
        <v>-4.8303047314531056E-2</v>
      </c>
    </row>
    <row r="126" spans="4:24" x14ac:dyDescent="0.25">
      <c r="D126" s="122">
        <v>44977</v>
      </c>
      <c r="F126" s="123">
        <v>17465.8</v>
      </c>
      <c r="H126" s="50">
        <f t="shared" si="5"/>
        <v>-7.3063227683887177E-3</v>
      </c>
      <c r="J126" s="123">
        <v>307.43</v>
      </c>
      <c r="L126" s="50">
        <f t="shared" si="6"/>
        <v>-2.3659806910569015E-2</v>
      </c>
      <c r="N126" s="123">
        <v>1457.14</v>
      </c>
      <c r="P126" s="50">
        <f t="shared" si="7"/>
        <v>-1.4596339265522396E-3</v>
      </c>
      <c r="R126" s="123">
        <v>130.78</v>
      </c>
      <c r="T126" s="50">
        <f t="shared" si="8"/>
        <v>4.1407867494823947E-2</v>
      </c>
      <c r="V126" s="123">
        <v>1520.43</v>
      </c>
      <c r="X126" s="50">
        <f t="shared" si="9"/>
        <v>-2.5152917943654374E-2</v>
      </c>
    </row>
    <row r="127" spans="4:24" x14ac:dyDescent="0.25">
      <c r="D127" s="122">
        <v>44970</v>
      </c>
      <c r="F127" s="123">
        <v>17944.2</v>
      </c>
      <c r="H127" s="50">
        <f t="shared" si="5"/>
        <v>2.7390672056247123E-2</v>
      </c>
      <c r="J127" s="123">
        <v>306.60000000000002</v>
      </c>
      <c r="L127" s="50">
        <f t="shared" si="6"/>
        <v>-2.6998015808475939E-3</v>
      </c>
      <c r="N127" s="123">
        <v>1478.88</v>
      </c>
      <c r="P127" s="50">
        <f t="shared" si="7"/>
        <v>1.4919637097327687E-2</v>
      </c>
      <c r="R127" s="123">
        <v>129.51</v>
      </c>
      <c r="T127" s="50">
        <f t="shared" si="8"/>
        <v>-9.7109649793547526E-3</v>
      </c>
      <c r="V127" s="123">
        <v>1566.4</v>
      </c>
      <c r="X127" s="50">
        <f t="shared" si="9"/>
        <v>3.0234867767670925E-2</v>
      </c>
    </row>
    <row r="128" spans="4:24" x14ac:dyDescent="0.25">
      <c r="D128" s="122">
        <v>44963</v>
      </c>
      <c r="F128" s="123">
        <v>17856.5</v>
      </c>
      <c r="H128" s="50">
        <f t="shared" si="5"/>
        <v>-4.8873730787664105E-3</v>
      </c>
      <c r="J128" s="123">
        <v>308.02</v>
      </c>
      <c r="L128" s="50">
        <f t="shared" si="6"/>
        <v>4.6314416177428708E-3</v>
      </c>
      <c r="N128" s="123">
        <v>1466.89</v>
      </c>
      <c r="P128" s="50">
        <f t="shared" si="7"/>
        <v>-8.1074867467272327E-3</v>
      </c>
      <c r="R128" s="123">
        <v>136.68</v>
      </c>
      <c r="T128" s="50">
        <f t="shared" si="8"/>
        <v>5.536252026870514E-2</v>
      </c>
      <c r="V128" s="123">
        <v>1549.08</v>
      </c>
      <c r="X128" s="50">
        <f t="shared" si="9"/>
        <v>-1.1057201225740609E-2</v>
      </c>
    </row>
    <row r="129" spans="4:24" x14ac:dyDescent="0.25">
      <c r="D129" s="122">
        <v>44956</v>
      </c>
      <c r="F129" s="123">
        <v>17854.05</v>
      </c>
      <c r="H129" s="50">
        <f t="shared" si="5"/>
        <v>-1.3720493937785516E-4</v>
      </c>
      <c r="J129" s="123">
        <v>300.05</v>
      </c>
      <c r="L129" s="50">
        <f t="shared" si="6"/>
        <v>-2.5874943185507315E-2</v>
      </c>
      <c r="N129" s="123">
        <v>1542.88</v>
      </c>
      <c r="P129" s="50">
        <f t="shared" si="7"/>
        <v>5.1803475379885278E-2</v>
      </c>
      <c r="R129" s="123">
        <v>138.30000000000001</v>
      </c>
      <c r="T129" s="50">
        <f t="shared" si="8"/>
        <v>1.1852502194907855E-2</v>
      </c>
      <c r="V129" s="123">
        <v>1398.8</v>
      </c>
      <c r="X129" s="50">
        <f t="shared" si="9"/>
        <v>-9.7012420275260136E-2</v>
      </c>
    </row>
    <row r="130" spans="4:24" x14ac:dyDescent="0.25">
      <c r="D130" s="122">
        <v>44949</v>
      </c>
      <c r="F130" s="123">
        <v>17604.349999999999</v>
      </c>
      <c r="H130" s="50">
        <f t="shared" si="5"/>
        <v>-1.3985622309784063E-2</v>
      </c>
      <c r="J130" s="123">
        <v>291.89</v>
      </c>
      <c r="L130" s="50">
        <f t="shared" si="6"/>
        <v>-2.7195467422096442E-2</v>
      </c>
      <c r="N130" s="123">
        <v>1467.73</v>
      </c>
      <c r="P130" s="50">
        <f t="shared" si="7"/>
        <v>-4.8707611739085444E-2</v>
      </c>
      <c r="R130" s="123">
        <v>135.65</v>
      </c>
      <c r="T130" s="50">
        <f t="shared" si="8"/>
        <v>-1.9161243673174289E-2</v>
      </c>
      <c r="V130" s="123">
        <v>1337.49</v>
      </c>
      <c r="X130" s="50">
        <f t="shared" si="9"/>
        <v>-4.383042607949672E-2</v>
      </c>
    </row>
    <row r="131" spans="4:24" x14ac:dyDescent="0.25">
      <c r="D131" s="122">
        <v>44942</v>
      </c>
      <c r="F131" s="123">
        <v>18027.650000000001</v>
      </c>
      <c r="H131" s="50">
        <f t="shared" si="5"/>
        <v>2.4045193375501039E-2</v>
      </c>
      <c r="J131" s="123">
        <v>315.10000000000002</v>
      </c>
      <c r="L131" s="50">
        <f t="shared" si="6"/>
        <v>7.9516256123882467E-2</v>
      </c>
      <c r="N131" s="123">
        <v>1507.14</v>
      </c>
      <c r="P131" s="50">
        <f t="shared" si="7"/>
        <v>2.6850987579459584E-2</v>
      </c>
      <c r="R131" s="123">
        <v>143.16</v>
      </c>
      <c r="T131" s="50">
        <f t="shared" si="8"/>
        <v>5.5363066715812703E-2</v>
      </c>
      <c r="V131" s="123">
        <v>1400.49</v>
      </c>
      <c r="X131" s="50">
        <f t="shared" si="9"/>
        <v>4.7103155911446093E-2</v>
      </c>
    </row>
    <row r="132" spans="4:24" x14ac:dyDescent="0.25">
      <c r="D132" s="122">
        <v>44935</v>
      </c>
      <c r="F132" s="123">
        <v>17956.599999999999</v>
      </c>
      <c r="H132" s="50">
        <f t="shared" si="5"/>
        <v>-3.9411681500363116E-3</v>
      </c>
      <c r="J132" s="123">
        <v>307.19</v>
      </c>
      <c r="L132" s="50">
        <f t="shared" si="6"/>
        <v>-2.5103141859727174E-2</v>
      </c>
      <c r="N132" s="123">
        <v>1520.15</v>
      </c>
      <c r="P132" s="50">
        <f t="shared" si="7"/>
        <v>8.6322438525949785E-3</v>
      </c>
      <c r="R132" s="123">
        <v>138.25</v>
      </c>
      <c r="T132" s="50">
        <f t="shared" si="8"/>
        <v>-3.4297289745738979E-2</v>
      </c>
      <c r="V132" s="123">
        <v>1415.49</v>
      </c>
      <c r="X132" s="50">
        <f t="shared" si="9"/>
        <v>1.0710537026326516E-2</v>
      </c>
    </row>
    <row r="133" spans="4:24" x14ac:dyDescent="0.25">
      <c r="D133" s="122">
        <v>44928</v>
      </c>
      <c r="F133" s="123">
        <v>17859.45</v>
      </c>
      <c r="H133" s="50">
        <f t="shared" si="5"/>
        <v>-5.4102669770444978E-3</v>
      </c>
      <c r="J133" s="123">
        <v>303.27999999999997</v>
      </c>
      <c r="L133" s="50">
        <f t="shared" si="6"/>
        <v>-1.272827891532935E-2</v>
      </c>
      <c r="N133" s="123">
        <v>1472.75</v>
      </c>
      <c r="P133" s="50">
        <f t="shared" si="7"/>
        <v>-3.1181133440778885E-2</v>
      </c>
      <c r="R133" s="123">
        <v>131.52000000000001</v>
      </c>
      <c r="T133" s="50">
        <f t="shared" si="8"/>
        <v>-4.8679927667269363E-2</v>
      </c>
      <c r="V133" s="123">
        <v>1385.1</v>
      </c>
      <c r="X133" s="50">
        <f t="shared" si="9"/>
        <v>-2.1469597100650772E-2</v>
      </c>
    </row>
    <row r="134" spans="4:24" x14ac:dyDescent="0.25">
      <c r="D134" s="122">
        <v>44921</v>
      </c>
      <c r="F134" s="123">
        <v>18105.3</v>
      </c>
      <c r="H134" s="50">
        <f t="shared" si="5"/>
        <v>1.3765821455867799E-2</v>
      </c>
      <c r="J134" s="123">
        <v>315.2</v>
      </c>
      <c r="L134" s="50">
        <f t="shared" si="6"/>
        <v>3.9303613822210481E-2</v>
      </c>
      <c r="N134" s="123">
        <v>1444.77</v>
      </c>
      <c r="P134" s="50">
        <f t="shared" si="7"/>
        <v>-1.8998472245798648E-2</v>
      </c>
      <c r="R134" s="123">
        <v>137.76</v>
      </c>
      <c r="T134" s="50">
        <f t="shared" si="8"/>
        <v>4.7445255474452441E-2</v>
      </c>
      <c r="V134" s="123">
        <v>1335.8</v>
      </c>
      <c r="X134" s="50">
        <f t="shared" si="9"/>
        <v>-3.559309797126553E-2</v>
      </c>
    </row>
    <row r="135" spans="4:24" x14ac:dyDescent="0.25">
      <c r="D135" s="122">
        <v>44914</v>
      </c>
      <c r="F135" s="123">
        <v>17806.8</v>
      </c>
      <c r="H135" s="50">
        <f t="shared" si="5"/>
        <v>-1.6486885055757128E-2</v>
      </c>
      <c r="J135" s="123">
        <v>292.87</v>
      </c>
      <c r="L135" s="50">
        <f t="shared" si="6"/>
        <v>-7.0843908629441565E-2</v>
      </c>
      <c r="N135" s="123">
        <v>1426.09</v>
      </c>
      <c r="P135" s="50">
        <f t="shared" si="7"/>
        <v>-1.2929393605902728E-2</v>
      </c>
      <c r="R135" s="123">
        <v>123.91</v>
      </c>
      <c r="T135" s="50">
        <f t="shared" si="8"/>
        <v>-0.10053716608594654</v>
      </c>
      <c r="V135" s="123">
        <v>1343.2</v>
      </c>
      <c r="X135" s="50">
        <f t="shared" si="9"/>
        <v>5.5397514597994579E-3</v>
      </c>
    </row>
    <row r="136" spans="4:24" x14ac:dyDescent="0.25">
      <c r="D136" s="122">
        <v>44907</v>
      </c>
      <c r="F136" s="123">
        <v>18269</v>
      </c>
      <c r="H136" s="50">
        <f t="shared" si="5"/>
        <v>2.5956376215827692E-2</v>
      </c>
      <c r="J136" s="123">
        <v>311.39</v>
      </c>
      <c r="L136" s="50">
        <f t="shared" si="6"/>
        <v>6.3236248164714626E-2</v>
      </c>
      <c r="N136" s="123">
        <v>1475.45</v>
      </c>
      <c r="P136" s="50">
        <f t="shared" si="7"/>
        <v>3.4612121254619321E-2</v>
      </c>
      <c r="R136" s="123">
        <v>138.15</v>
      </c>
      <c r="T136" s="50">
        <f t="shared" si="8"/>
        <v>0.11492212089419751</v>
      </c>
      <c r="V136" s="123">
        <v>1378.76</v>
      </c>
      <c r="X136" s="50">
        <f t="shared" si="9"/>
        <v>2.6474091721262694E-2</v>
      </c>
    </row>
    <row r="137" spans="4:24" x14ac:dyDescent="0.25">
      <c r="D137" s="122">
        <v>44900</v>
      </c>
      <c r="F137" s="123">
        <v>18496.599999999999</v>
      </c>
      <c r="H137" s="50">
        <f t="shared" si="5"/>
        <v>1.2458262630685724E-2</v>
      </c>
      <c r="J137" s="123">
        <v>329.22</v>
      </c>
      <c r="L137" s="50">
        <f t="shared" si="6"/>
        <v>5.725938533671604E-2</v>
      </c>
      <c r="N137" s="123">
        <v>1497.1</v>
      </c>
      <c r="P137" s="50">
        <f t="shared" si="7"/>
        <v>1.4673489443898458E-2</v>
      </c>
      <c r="R137" s="123">
        <v>136.53</v>
      </c>
      <c r="T137" s="50">
        <f t="shared" si="8"/>
        <v>-1.1726384364820874E-2</v>
      </c>
      <c r="V137" s="123">
        <v>1473.79</v>
      </c>
      <c r="X137" s="50">
        <f t="shared" si="9"/>
        <v>6.8924250776059681E-2</v>
      </c>
    </row>
    <row r="138" spans="4:24" x14ac:dyDescent="0.25">
      <c r="D138" s="122">
        <v>44893</v>
      </c>
      <c r="F138" s="123">
        <v>18696.099999999999</v>
      </c>
      <c r="H138" s="50">
        <f t="shared" si="5"/>
        <v>1.0785766032676225E-2</v>
      </c>
      <c r="J138" s="123">
        <v>328.09</v>
      </c>
      <c r="L138" s="50">
        <f t="shared" si="6"/>
        <v>-3.432355263957354E-3</v>
      </c>
      <c r="N138" s="123">
        <v>1502.4</v>
      </c>
      <c r="P138" s="50">
        <f t="shared" si="7"/>
        <v>3.5401776768420046E-3</v>
      </c>
      <c r="R138" s="123">
        <v>145.27000000000001</v>
      </c>
      <c r="T138" s="50">
        <f t="shared" si="8"/>
        <v>6.401523474694204E-2</v>
      </c>
      <c r="V138" s="123">
        <v>1395.51</v>
      </c>
      <c r="X138" s="50">
        <f t="shared" si="9"/>
        <v>-5.3114758547689989E-2</v>
      </c>
    </row>
    <row r="139" spans="4:24" x14ac:dyDescent="0.25">
      <c r="D139" s="122">
        <v>44886</v>
      </c>
      <c r="F139" s="123">
        <v>18512.75</v>
      </c>
      <c r="H139" s="50">
        <f t="shared" si="5"/>
        <v>-9.8068581147938705E-3</v>
      </c>
      <c r="J139" s="123">
        <v>305.72000000000003</v>
      </c>
      <c r="L139" s="50">
        <f t="shared" si="6"/>
        <v>-6.8182510896400261E-2</v>
      </c>
      <c r="N139" s="123">
        <v>1460.06</v>
      </c>
      <c r="P139" s="50">
        <f t="shared" si="7"/>
        <v>-2.8181576144835074E-2</v>
      </c>
      <c r="R139" s="123">
        <v>145.76</v>
      </c>
      <c r="T139" s="50">
        <f t="shared" si="8"/>
        <v>3.3730295312175418E-3</v>
      </c>
      <c r="V139" s="123">
        <v>1334.69</v>
      </c>
      <c r="X139" s="50">
        <f t="shared" si="9"/>
        <v>-4.3582632872569804E-2</v>
      </c>
    </row>
    <row r="140" spans="4:24" x14ac:dyDescent="0.25">
      <c r="D140" s="122">
        <v>44879</v>
      </c>
      <c r="F140" s="123">
        <v>18307.650000000001</v>
      </c>
      <c r="H140" s="50">
        <f t="shared" si="5"/>
        <v>-1.1078851062105821E-2</v>
      </c>
      <c r="J140" s="123">
        <v>348.66</v>
      </c>
      <c r="L140" s="50">
        <f t="shared" si="6"/>
        <v>0.14045531859217575</v>
      </c>
      <c r="N140" s="123">
        <v>1464.8</v>
      </c>
      <c r="P140" s="50">
        <f t="shared" si="7"/>
        <v>3.2464419270441525E-3</v>
      </c>
      <c r="R140" s="123">
        <v>146.88999999999999</v>
      </c>
      <c r="T140" s="50">
        <f t="shared" si="8"/>
        <v>7.752469813391949E-3</v>
      </c>
      <c r="V140" s="123">
        <v>1306.24</v>
      </c>
      <c r="X140" s="50">
        <f t="shared" si="9"/>
        <v>-2.1315811162142539E-2</v>
      </c>
    </row>
    <row r="141" spans="4:24" x14ac:dyDescent="0.25">
      <c r="D141" s="122">
        <v>44872</v>
      </c>
      <c r="F141" s="123">
        <v>18349.7</v>
      </c>
      <c r="H141" s="50">
        <f t="shared" si="5"/>
        <v>2.296854047351804E-3</v>
      </c>
      <c r="J141" s="123">
        <v>281.24</v>
      </c>
      <c r="L141" s="50">
        <f t="shared" si="6"/>
        <v>-0.19336889806688473</v>
      </c>
      <c r="N141" s="123">
        <v>1488.74</v>
      </c>
      <c r="P141" s="50">
        <f t="shared" si="7"/>
        <v>1.6343528126706808E-2</v>
      </c>
      <c r="R141" s="123">
        <v>148.86000000000001</v>
      </c>
      <c r="T141" s="50">
        <f t="shared" si="8"/>
        <v>1.3411396282932975E-2</v>
      </c>
      <c r="V141" s="123">
        <v>1304.3</v>
      </c>
      <c r="X141" s="50">
        <f t="shared" si="9"/>
        <v>-1.4851788339049765E-3</v>
      </c>
    </row>
    <row r="142" spans="4:24" x14ac:dyDescent="0.25">
      <c r="D142" s="122">
        <v>44865</v>
      </c>
      <c r="F142" s="123">
        <v>18117.150000000001</v>
      </c>
      <c r="H142" s="50">
        <f t="shared" ref="H142:H205" si="10">F142/F141-1</f>
        <v>-1.2673231714959932E-2</v>
      </c>
      <c r="J142" s="123">
        <v>270.64</v>
      </c>
      <c r="L142" s="50">
        <f t="shared" ref="L142:L205" si="11">J142/J141-1</f>
        <v>-3.7690228985919561E-2</v>
      </c>
      <c r="N142" s="123">
        <v>1482.28</v>
      </c>
      <c r="P142" s="50">
        <f t="shared" ref="P142:P205" si="12">N142/N141-1</f>
        <v>-4.3392398941386467E-3</v>
      </c>
      <c r="R142" s="123">
        <v>148.41999999999999</v>
      </c>
      <c r="T142" s="50">
        <f t="shared" ref="T142:T205" si="13">R142/R141-1</f>
        <v>-2.955797393524251E-3</v>
      </c>
      <c r="V142" s="123">
        <v>1288.8699999999999</v>
      </c>
      <c r="X142" s="50">
        <f t="shared" ref="X142:X205" si="14">V142/V141-1</f>
        <v>-1.1830100437016045E-2</v>
      </c>
    </row>
    <row r="143" spans="4:24" x14ac:dyDescent="0.25">
      <c r="D143" s="122">
        <v>44858</v>
      </c>
      <c r="F143" s="123">
        <v>17786.8</v>
      </c>
      <c r="H143" s="50">
        <f t="shared" si="10"/>
        <v>-1.8234104149935426E-2</v>
      </c>
      <c r="J143" s="123">
        <v>252.81</v>
      </c>
      <c r="L143" s="50">
        <f t="shared" si="11"/>
        <v>-6.5880874963050506E-2</v>
      </c>
      <c r="N143" s="123">
        <v>1486.65</v>
      </c>
      <c r="P143" s="50">
        <f t="shared" si="12"/>
        <v>2.9481609412527199E-3</v>
      </c>
      <c r="R143" s="123">
        <v>146.06</v>
      </c>
      <c r="T143" s="50">
        <f t="shared" si="13"/>
        <v>-1.590082199164522E-2</v>
      </c>
      <c r="V143" s="123">
        <v>1250.93</v>
      </c>
      <c r="X143" s="50">
        <f t="shared" si="14"/>
        <v>-2.9436638295561091E-2</v>
      </c>
    </row>
    <row r="144" spans="4:24" x14ac:dyDescent="0.25">
      <c r="D144" s="122">
        <v>44851</v>
      </c>
      <c r="F144" s="123">
        <v>17576.3</v>
      </c>
      <c r="H144" s="50">
        <f t="shared" si="10"/>
        <v>-1.1834618930892549E-2</v>
      </c>
      <c r="J144" s="123">
        <v>249.78</v>
      </c>
      <c r="L144" s="50">
        <f t="shared" si="11"/>
        <v>-1.1985285392191791E-2</v>
      </c>
      <c r="N144" s="123">
        <v>1434.08</v>
      </c>
      <c r="P144" s="50">
        <f t="shared" si="12"/>
        <v>-3.5361382975145572E-2</v>
      </c>
      <c r="R144" s="123">
        <v>145.22</v>
      </c>
      <c r="T144" s="50">
        <f t="shared" si="13"/>
        <v>-5.7510612077228407E-3</v>
      </c>
      <c r="V144" s="123">
        <v>1170.6099999999999</v>
      </c>
      <c r="X144" s="50">
        <f t="shared" si="14"/>
        <v>-6.4208229077566403E-2</v>
      </c>
    </row>
    <row r="145" spans="4:24" x14ac:dyDescent="0.25">
      <c r="D145" s="122">
        <v>44844</v>
      </c>
      <c r="F145" s="123">
        <v>17185.7</v>
      </c>
      <c r="H145" s="50">
        <f t="shared" si="10"/>
        <v>-2.2223107252379526E-2</v>
      </c>
      <c r="J145" s="123">
        <v>265.07</v>
      </c>
      <c r="L145" s="50">
        <f t="shared" si="11"/>
        <v>6.1213868204019528E-2</v>
      </c>
      <c r="N145" s="123">
        <v>1511.7</v>
      </c>
      <c r="P145" s="50">
        <f t="shared" si="12"/>
        <v>5.4125292870690789E-2</v>
      </c>
      <c r="R145" s="123">
        <v>148.32</v>
      </c>
      <c r="T145" s="50">
        <f t="shared" si="13"/>
        <v>2.1346921911582495E-2</v>
      </c>
      <c r="V145" s="123">
        <v>1147.3399999999999</v>
      </c>
      <c r="X145" s="50">
        <f t="shared" si="14"/>
        <v>-1.9878524871648096E-2</v>
      </c>
    </row>
    <row r="146" spans="4:24" x14ac:dyDescent="0.25">
      <c r="D146" s="122">
        <v>44837</v>
      </c>
      <c r="F146" s="123">
        <v>17314.650000000001</v>
      </c>
      <c r="H146" s="50">
        <f t="shared" si="10"/>
        <v>7.5033312579644296E-3</v>
      </c>
      <c r="J146" s="123">
        <v>252.08</v>
      </c>
      <c r="L146" s="50">
        <f t="shared" si="11"/>
        <v>-4.9005922963745396E-2</v>
      </c>
      <c r="N146" s="123">
        <v>1500.45</v>
      </c>
      <c r="P146" s="50">
        <f t="shared" si="12"/>
        <v>-7.4419527684064235E-3</v>
      </c>
      <c r="R146" s="123">
        <v>151.80000000000001</v>
      </c>
      <c r="T146" s="50">
        <f t="shared" si="13"/>
        <v>2.3462783171521062E-2</v>
      </c>
      <c r="V146" s="123">
        <v>1198.73</v>
      </c>
      <c r="X146" s="50">
        <f t="shared" si="14"/>
        <v>4.4790559032196198E-2</v>
      </c>
    </row>
    <row r="147" spans="4:24" x14ac:dyDescent="0.25">
      <c r="D147" s="122">
        <v>44830</v>
      </c>
      <c r="F147" s="123">
        <v>17094.349999999999</v>
      </c>
      <c r="H147" s="50">
        <f t="shared" si="10"/>
        <v>-1.2723329665918937E-2</v>
      </c>
      <c r="J147" s="123">
        <v>237.47</v>
      </c>
      <c r="L147" s="50">
        <f t="shared" si="11"/>
        <v>-5.7957791177404072E-2</v>
      </c>
      <c r="N147" s="123">
        <v>1479.21</v>
      </c>
      <c r="P147" s="50">
        <f t="shared" si="12"/>
        <v>-1.4155753274017746E-2</v>
      </c>
      <c r="R147" s="123">
        <v>146.99</v>
      </c>
      <c r="T147" s="50">
        <f t="shared" si="13"/>
        <v>-3.1686429512516434E-2</v>
      </c>
      <c r="V147" s="123">
        <v>1157.21</v>
      </c>
      <c r="X147" s="50">
        <f t="shared" si="14"/>
        <v>-3.4636657128794601E-2</v>
      </c>
    </row>
    <row r="148" spans="4:24" x14ac:dyDescent="0.25">
      <c r="D148" s="122">
        <v>44823</v>
      </c>
      <c r="F148" s="123">
        <v>17327.349999999999</v>
      </c>
      <c r="H148" s="50">
        <f t="shared" si="10"/>
        <v>1.3630234551182063E-2</v>
      </c>
      <c r="J148" s="123">
        <v>231.56</v>
      </c>
      <c r="L148" s="50">
        <f t="shared" si="11"/>
        <v>-2.4887354192108413E-2</v>
      </c>
      <c r="N148" s="123">
        <v>1574.71</v>
      </c>
      <c r="P148" s="50">
        <f t="shared" si="12"/>
        <v>6.4561488902860287E-2</v>
      </c>
      <c r="R148" s="123">
        <v>155.49</v>
      </c>
      <c r="T148" s="50">
        <f t="shared" si="13"/>
        <v>5.7827063065514661E-2</v>
      </c>
      <c r="V148" s="123">
        <v>1179.6099999999999</v>
      </c>
      <c r="X148" s="50">
        <f t="shared" si="14"/>
        <v>1.935690151312186E-2</v>
      </c>
    </row>
    <row r="149" spans="4:24" x14ac:dyDescent="0.25">
      <c r="D149" s="122">
        <v>44816</v>
      </c>
      <c r="F149" s="123">
        <v>17530.849999999999</v>
      </c>
      <c r="H149" s="50">
        <f t="shared" si="10"/>
        <v>1.1744438705283855E-2</v>
      </c>
      <c r="J149" s="123">
        <v>232.64</v>
      </c>
      <c r="L149" s="50">
        <f t="shared" si="11"/>
        <v>4.6640179651060709E-3</v>
      </c>
      <c r="N149" s="123">
        <v>1581.22</v>
      </c>
      <c r="P149" s="50">
        <f t="shared" si="12"/>
        <v>4.1340945316914457E-3</v>
      </c>
      <c r="R149" s="123">
        <v>164.03</v>
      </c>
      <c r="T149" s="50">
        <f t="shared" si="13"/>
        <v>5.4923146183034177E-2</v>
      </c>
      <c r="V149" s="123">
        <v>1152.9100000000001</v>
      </c>
      <c r="X149" s="50">
        <f t="shared" si="14"/>
        <v>-2.2634599571044522E-2</v>
      </c>
    </row>
    <row r="150" spans="4:24" x14ac:dyDescent="0.25">
      <c r="D150" s="122">
        <v>44809</v>
      </c>
      <c r="F150" s="123">
        <v>17833.349999999999</v>
      </c>
      <c r="H150" s="50">
        <f t="shared" si="10"/>
        <v>1.7255295664500014E-2</v>
      </c>
      <c r="J150" s="123">
        <v>257.01</v>
      </c>
      <c r="L150" s="50">
        <f t="shared" si="11"/>
        <v>0.10475412654745542</v>
      </c>
      <c r="N150" s="123">
        <v>1516.2</v>
      </c>
      <c r="P150" s="50">
        <f t="shared" si="12"/>
        <v>-4.1120147734028167E-2</v>
      </c>
      <c r="R150" s="123">
        <v>171.06</v>
      </c>
      <c r="T150" s="50">
        <f t="shared" si="13"/>
        <v>4.2858013777967496E-2</v>
      </c>
      <c r="V150" s="123">
        <v>1180.48</v>
      </c>
      <c r="X150" s="50">
        <f t="shared" si="14"/>
        <v>2.3913401739944939E-2</v>
      </c>
    </row>
    <row r="151" spans="4:24" x14ac:dyDescent="0.25">
      <c r="D151" s="122">
        <v>44802</v>
      </c>
      <c r="F151" s="123">
        <v>17539.45</v>
      </c>
      <c r="H151" s="50">
        <f t="shared" si="10"/>
        <v>-1.6480358429571407E-2</v>
      </c>
      <c r="J151" s="123">
        <v>220.23</v>
      </c>
      <c r="L151" s="50">
        <f t="shared" si="11"/>
        <v>-0.14310727209058016</v>
      </c>
      <c r="N151" s="123">
        <v>1470.75</v>
      </c>
      <c r="P151" s="50">
        <f t="shared" si="12"/>
        <v>-2.997625643055013E-2</v>
      </c>
      <c r="R151" s="123">
        <v>171.5</v>
      </c>
      <c r="T151" s="50">
        <f t="shared" si="13"/>
        <v>2.5721968899801162E-3</v>
      </c>
      <c r="V151" s="123">
        <v>1162.78</v>
      </c>
      <c r="X151" s="50">
        <f t="shared" si="14"/>
        <v>-1.4993900786120951E-2</v>
      </c>
    </row>
    <row r="152" spans="4:24" x14ac:dyDescent="0.25">
      <c r="D152" s="122">
        <v>44795</v>
      </c>
      <c r="F152" s="123">
        <v>17558.900000000001</v>
      </c>
      <c r="H152" s="50">
        <f t="shared" si="10"/>
        <v>1.1089287292360694E-3</v>
      </c>
      <c r="J152" s="123">
        <v>215.29</v>
      </c>
      <c r="L152" s="50">
        <f t="shared" si="11"/>
        <v>-2.2431094764564286E-2</v>
      </c>
      <c r="N152" s="123">
        <v>1466.76</v>
      </c>
      <c r="P152" s="50">
        <f t="shared" si="12"/>
        <v>-2.7129015808261547E-3</v>
      </c>
      <c r="R152" s="123">
        <v>170.71</v>
      </c>
      <c r="T152" s="50">
        <f t="shared" si="13"/>
        <v>-4.6064139941690563E-3</v>
      </c>
      <c r="V152" s="123">
        <v>1167.52</v>
      </c>
      <c r="X152" s="50">
        <f t="shared" si="14"/>
        <v>4.07643750322495E-3</v>
      </c>
    </row>
    <row r="153" spans="4:24" x14ac:dyDescent="0.25">
      <c r="D153" s="122">
        <v>44788</v>
      </c>
      <c r="F153" s="123">
        <v>17758.45</v>
      </c>
      <c r="H153" s="50">
        <f t="shared" si="10"/>
        <v>1.1364607122313908E-2</v>
      </c>
      <c r="J153" s="123">
        <v>179.83</v>
      </c>
      <c r="L153" s="50">
        <f t="shared" si="11"/>
        <v>-0.16470806818709638</v>
      </c>
      <c r="N153" s="123">
        <v>1468.8</v>
      </c>
      <c r="P153" s="50">
        <f t="shared" si="12"/>
        <v>1.3908205841446364E-3</v>
      </c>
      <c r="R153" s="123">
        <v>168.99</v>
      </c>
      <c r="T153" s="50">
        <f t="shared" si="13"/>
        <v>-1.0075566750629705E-2</v>
      </c>
      <c r="V153" s="123">
        <v>1184.8399999999999</v>
      </c>
      <c r="X153" s="50">
        <f t="shared" si="14"/>
        <v>1.4834863642592788E-2</v>
      </c>
    </row>
    <row r="154" spans="4:24" x14ac:dyDescent="0.25">
      <c r="D154" s="122">
        <v>44781</v>
      </c>
      <c r="F154" s="123">
        <v>17698.150000000001</v>
      </c>
      <c r="H154" s="50">
        <f t="shared" si="10"/>
        <v>-3.3955666175820021E-3</v>
      </c>
      <c r="J154" s="123">
        <v>173.23</v>
      </c>
      <c r="L154" s="50">
        <f t="shared" si="11"/>
        <v>-3.6701329032975738E-2</v>
      </c>
      <c r="N154" s="123">
        <v>1486.37</v>
      </c>
      <c r="P154" s="50">
        <f t="shared" si="12"/>
        <v>1.1962145969498961E-2</v>
      </c>
      <c r="R154" s="123">
        <v>168.6</v>
      </c>
      <c r="T154" s="50">
        <f t="shared" si="13"/>
        <v>-2.307828865613426E-3</v>
      </c>
      <c r="V154" s="123">
        <v>1209.3699999999999</v>
      </c>
      <c r="X154" s="50">
        <f t="shared" si="14"/>
        <v>2.0703217312042055E-2</v>
      </c>
    </row>
    <row r="155" spans="4:24" x14ac:dyDescent="0.25">
      <c r="D155" s="122">
        <v>44774</v>
      </c>
      <c r="F155" s="123">
        <v>17397.5</v>
      </c>
      <c r="H155" s="50">
        <f t="shared" si="10"/>
        <v>-1.6987651251684555E-2</v>
      </c>
      <c r="J155" s="123">
        <v>155.05000000000001</v>
      </c>
      <c r="L155" s="50">
        <f t="shared" si="11"/>
        <v>-0.10494718004964487</v>
      </c>
      <c r="N155" s="123">
        <v>1475.82</v>
      </c>
      <c r="P155" s="50">
        <f t="shared" si="12"/>
        <v>-7.0978289389586058E-3</v>
      </c>
      <c r="R155" s="123">
        <v>159.22999999999999</v>
      </c>
      <c r="T155" s="50">
        <f t="shared" si="13"/>
        <v>-5.5575326215895671E-2</v>
      </c>
      <c r="V155" s="123">
        <v>1124.78</v>
      </c>
      <c r="X155" s="50">
        <f t="shared" si="14"/>
        <v>-6.9945508818641033E-2</v>
      </c>
    </row>
    <row r="156" spans="4:24" x14ac:dyDescent="0.25">
      <c r="D156" s="122">
        <v>44767</v>
      </c>
      <c r="F156" s="123">
        <v>17158.25</v>
      </c>
      <c r="H156" s="50">
        <f t="shared" si="10"/>
        <v>-1.3751975858600329E-2</v>
      </c>
      <c r="J156" s="123">
        <v>157.88999999999999</v>
      </c>
      <c r="L156" s="50">
        <f t="shared" si="11"/>
        <v>1.8316672041276849E-2</v>
      </c>
      <c r="N156" s="123">
        <v>1482.18</v>
      </c>
      <c r="P156" s="50">
        <f t="shared" si="12"/>
        <v>4.3094686343863042E-3</v>
      </c>
      <c r="R156" s="123">
        <v>159.57</v>
      </c>
      <c r="T156" s="50">
        <f t="shared" si="13"/>
        <v>2.135276015826193E-3</v>
      </c>
      <c r="V156" s="123">
        <v>1177.02</v>
      </c>
      <c r="X156" s="50">
        <f t="shared" si="14"/>
        <v>4.64446380625545E-2</v>
      </c>
    </row>
    <row r="157" spans="4:24" x14ac:dyDescent="0.25">
      <c r="D157" s="122">
        <v>44760</v>
      </c>
      <c r="F157" s="123">
        <v>16719.45</v>
      </c>
      <c r="H157" s="50">
        <f t="shared" si="10"/>
        <v>-2.5573703611965093E-2</v>
      </c>
      <c r="J157" s="123">
        <v>155.97</v>
      </c>
      <c r="L157" s="50">
        <f t="shared" si="11"/>
        <v>-1.2160364810944291E-2</v>
      </c>
      <c r="N157" s="123">
        <v>1379.76</v>
      </c>
      <c r="P157" s="50">
        <f t="shared" si="12"/>
        <v>-6.9100918916730758E-2</v>
      </c>
      <c r="R157" s="123">
        <v>160.94</v>
      </c>
      <c r="T157" s="50">
        <f t="shared" si="13"/>
        <v>8.5855737293978329E-3</v>
      </c>
      <c r="V157" s="123">
        <v>1150.97</v>
      </c>
      <c r="X157" s="50">
        <f t="shared" si="14"/>
        <v>-2.2132164279281552E-2</v>
      </c>
    </row>
    <row r="158" spans="4:24" x14ac:dyDescent="0.25">
      <c r="D158" s="122">
        <v>44753</v>
      </c>
      <c r="F158" s="123">
        <v>16049.2</v>
      </c>
      <c r="H158" s="50">
        <f t="shared" si="10"/>
        <v>-4.0088041173603206E-2</v>
      </c>
      <c r="J158" s="123">
        <v>141.47999999999999</v>
      </c>
      <c r="L158" s="50">
        <f t="shared" si="11"/>
        <v>-9.2902481246393553E-2</v>
      </c>
      <c r="N158" s="123">
        <v>1344.11</v>
      </c>
      <c r="P158" s="50">
        <f t="shared" si="12"/>
        <v>-2.5837826868440938E-2</v>
      </c>
      <c r="R158" s="123">
        <v>153.13999999999999</v>
      </c>
      <c r="T158" s="50">
        <f t="shared" si="13"/>
        <v>-4.8465266558966102E-2</v>
      </c>
      <c r="V158" s="123">
        <v>1082.1300000000001</v>
      </c>
      <c r="X158" s="50">
        <f t="shared" si="14"/>
        <v>-5.9810420775519679E-2</v>
      </c>
    </row>
    <row r="159" spans="4:24" x14ac:dyDescent="0.25">
      <c r="D159" s="122">
        <v>44746</v>
      </c>
      <c r="F159" s="123">
        <v>16220.6</v>
      </c>
      <c r="H159" s="50">
        <f t="shared" si="10"/>
        <v>1.0679660045360473E-2</v>
      </c>
      <c r="J159" s="123">
        <v>135.18</v>
      </c>
      <c r="L159" s="50">
        <f t="shared" si="11"/>
        <v>-4.4529262086513866E-2</v>
      </c>
      <c r="N159" s="123">
        <v>1387.52</v>
      </c>
      <c r="P159" s="50">
        <f t="shared" si="12"/>
        <v>3.229646383108542E-2</v>
      </c>
      <c r="R159" s="123">
        <v>153.78</v>
      </c>
      <c r="T159" s="50">
        <f t="shared" si="13"/>
        <v>4.1791824474337602E-3</v>
      </c>
      <c r="V159" s="123">
        <v>1072.8800000000001</v>
      </c>
      <c r="X159" s="50">
        <f t="shared" si="14"/>
        <v>-8.5479563453558782E-3</v>
      </c>
    </row>
    <row r="160" spans="4:24" x14ac:dyDescent="0.25">
      <c r="D160" s="122">
        <v>44739</v>
      </c>
      <c r="F160" s="123">
        <v>15752.05</v>
      </c>
      <c r="H160" s="50">
        <f t="shared" si="10"/>
        <v>-2.8886107788861137E-2</v>
      </c>
      <c r="J160" s="123">
        <v>130.03</v>
      </c>
      <c r="L160" s="50">
        <f t="shared" si="11"/>
        <v>-3.8097351679242553E-2</v>
      </c>
      <c r="N160" s="123">
        <v>1303.1300000000001</v>
      </c>
      <c r="P160" s="50">
        <f t="shared" si="12"/>
        <v>-6.0820744926199155E-2</v>
      </c>
      <c r="R160" s="123">
        <v>144.61000000000001</v>
      </c>
      <c r="T160" s="50">
        <f t="shared" si="13"/>
        <v>-5.963064117570549E-2</v>
      </c>
      <c r="V160" s="123">
        <v>984.42</v>
      </c>
      <c r="X160" s="50">
        <f t="shared" si="14"/>
        <v>-8.2450973081798606E-2</v>
      </c>
    </row>
    <row r="161" spans="4:24" x14ac:dyDescent="0.25">
      <c r="D161" s="122">
        <v>44732</v>
      </c>
      <c r="F161" s="123">
        <v>15699.25</v>
      </c>
      <c r="H161" s="50">
        <f t="shared" si="10"/>
        <v>-3.3519446675194242E-3</v>
      </c>
      <c r="J161" s="123">
        <v>125.26</v>
      </c>
      <c r="L161" s="50">
        <f t="shared" si="11"/>
        <v>-3.6683842190263771E-2</v>
      </c>
      <c r="N161" s="123">
        <v>1419.93</v>
      </c>
      <c r="P161" s="50">
        <f t="shared" si="12"/>
        <v>8.9630351538219522E-2</v>
      </c>
      <c r="R161" s="123">
        <v>147.26</v>
      </c>
      <c r="T161" s="50">
        <f t="shared" si="13"/>
        <v>1.8325150404536084E-2</v>
      </c>
      <c r="V161" s="123">
        <v>956.07</v>
      </c>
      <c r="X161" s="50">
        <f t="shared" si="14"/>
        <v>-2.8798683488754695E-2</v>
      </c>
    </row>
    <row r="162" spans="4:24" x14ac:dyDescent="0.25">
      <c r="D162" s="122">
        <v>44725</v>
      </c>
      <c r="F162" s="123">
        <v>15293.5</v>
      </c>
      <c r="H162" s="50">
        <f t="shared" si="10"/>
        <v>-2.5845183687118856E-2</v>
      </c>
      <c r="J162" s="123">
        <v>125.99</v>
      </c>
      <c r="L162" s="50">
        <f t="shared" si="11"/>
        <v>5.8278780137313024E-3</v>
      </c>
      <c r="N162" s="123">
        <v>1379.05</v>
      </c>
      <c r="P162" s="50">
        <f t="shared" si="12"/>
        <v>-2.8790151627193006E-2</v>
      </c>
      <c r="R162" s="123">
        <v>137.19999999999999</v>
      </c>
      <c r="T162" s="50">
        <f t="shared" si="13"/>
        <v>-6.8314545701480434E-2</v>
      </c>
      <c r="V162" s="123">
        <v>935.16</v>
      </c>
      <c r="X162" s="50">
        <f t="shared" si="14"/>
        <v>-2.1870783520035242E-2</v>
      </c>
    </row>
    <row r="163" spans="4:24" x14ac:dyDescent="0.25">
      <c r="D163" s="122">
        <v>44718</v>
      </c>
      <c r="F163" s="123">
        <v>16201.8</v>
      </c>
      <c r="H163" s="50">
        <f t="shared" si="10"/>
        <v>5.9391244646418428E-2</v>
      </c>
      <c r="J163" s="123">
        <v>143.84</v>
      </c>
      <c r="L163" s="50">
        <f t="shared" si="11"/>
        <v>0.14167791094531323</v>
      </c>
      <c r="N163" s="123">
        <v>1436.41</v>
      </c>
      <c r="P163" s="50">
        <f t="shared" si="12"/>
        <v>4.159385083934608E-2</v>
      </c>
      <c r="R163" s="123">
        <v>148.38</v>
      </c>
      <c r="T163" s="50">
        <f t="shared" si="13"/>
        <v>8.1486880466472345E-2</v>
      </c>
      <c r="V163" s="123">
        <v>967.49</v>
      </c>
      <c r="X163" s="50">
        <f t="shared" si="14"/>
        <v>3.4571624107104793E-2</v>
      </c>
    </row>
    <row r="164" spans="4:24" x14ac:dyDescent="0.25">
      <c r="D164" s="122">
        <v>44711</v>
      </c>
      <c r="F164" s="123">
        <v>16584.3</v>
      </c>
      <c r="H164" s="50">
        <f t="shared" si="10"/>
        <v>2.3608487945783851E-2</v>
      </c>
      <c r="J164" s="123">
        <v>150.77000000000001</v>
      </c>
      <c r="L164" s="50">
        <f t="shared" si="11"/>
        <v>4.8178531701891014E-2</v>
      </c>
      <c r="N164" s="123">
        <v>1428.59</v>
      </c>
      <c r="P164" s="50">
        <f t="shared" si="12"/>
        <v>-5.44412806928396E-3</v>
      </c>
      <c r="R164" s="123">
        <v>162.32</v>
      </c>
      <c r="T164" s="50">
        <f t="shared" si="13"/>
        <v>9.3947971424720222E-2</v>
      </c>
      <c r="V164" s="123">
        <v>968.69</v>
      </c>
      <c r="X164" s="50">
        <f t="shared" si="14"/>
        <v>1.2403228973942859E-3</v>
      </c>
    </row>
    <row r="165" spans="4:24" x14ac:dyDescent="0.25">
      <c r="D165" s="122">
        <v>44704</v>
      </c>
      <c r="F165" s="123">
        <v>16352.45</v>
      </c>
      <c r="H165" s="50">
        <f t="shared" si="10"/>
        <v>-1.3980089602817047E-2</v>
      </c>
      <c r="J165" s="123">
        <v>145.72</v>
      </c>
      <c r="L165" s="50">
        <f t="shared" si="11"/>
        <v>-3.3494727067719166E-2</v>
      </c>
      <c r="N165" s="123">
        <v>1393.72</v>
      </c>
      <c r="P165" s="50">
        <f t="shared" si="12"/>
        <v>-2.4408682687125038E-2</v>
      </c>
      <c r="R165" s="123">
        <v>147.99</v>
      </c>
      <c r="T165" s="50">
        <f t="shared" si="13"/>
        <v>-8.8282405125677532E-2</v>
      </c>
      <c r="V165" s="123">
        <v>974.01</v>
      </c>
      <c r="X165" s="50">
        <f t="shared" si="14"/>
        <v>5.4919530499952796E-3</v>
      </c>
    </row>
    <row r="166" spans="4:24" x14ac:dyDescent="0.25">
      <c r="D166" s="122">
        <v>44697</v>
      </c>
      <c r="F166" s="123">
        <v>16266.15</v>
      </c>
      <c r="H166" s="50">
        <f t="shared" si="10"/>
        <v>-5.2774966442338256E-3</v>
      </c>
      <c r="J166" s="123">
        <v>147.4</v>
      </c>
      <c r="L166" s="50">
        <f t="shared" si="11"/>
        <v>1.1528959648641202E-2</v>
      </c>
      <c r="N166" s="123">
        <v>1354.44</v>
      </c>
      <c r="P166" s="50">
        <f t="shared" si="12"/>
        <v>-2.8183566283041084E-2</v>
      </c>
      <c r="R166" s="123">
        <v>155.74</v>
      </c>
      <c r="T166" s="50">
        <f t="shared" si="13"/>
        <v>5.2368403270491193E-2</v>
      </c>
      <c r="V166" s="123">
        <v>967.73</v>
      </c>
      <c r="X166" s="50">
        <f t="shared" si="14"/>
        <v>-6.4475724068541185E-3</v>
      </c>
    </row>
    <row r="167" spans="4:24" x14ac:dyDescent="0.25">
      <c r="D167" s="122">
        <v>44690</v>
      </c>
      <c r="F167" s="123">
        <v>15782.15</v>
      </c>
      <c r="H167" s="50">
        <f t="shared" si="10"/>
        <v>-2.975504344912594E-2</v>
      </c>
      <c r="J167" s="123">
        <v>133.25</v>
      </c>
      <c r="L167" s="50">
        <f t="shared" si="11"/>
        <v>-9.5997286295793738E-2</v>
      </c>
      <c r="N167" s="123">
        <v>1310.43</v>
      </c>
      <c r="P167" s="50">
        <f t="shared" si="12"/>
        <v>-3.2493133693629828E-2</v>
      </c>
      <c r="R167" s="123">
        <v>139.21</v>
      </c>
      <c r="T167" s="50">
        <f t="shared" si="13"/>
        <v>-0.10613843585462956</v>
      </c>
      <c r="V167" s="123">
        <v>959.67</v>
      </c>
      <c r="X167" s="50">
        <f t="shared" si="14"/>
        <v>-8.3287693881558544E-3</v>
      </c>
    </row>
    <row r="168" spans="4:24" x14ac:dyDescent="0.25">
      <c r="D168" s="122">
        <v>44683</v>
      </c>
      <c r="F168" s="123">
        <v>16411.25</v>
      </c>
      <c r="H168" s="50">
        <f t="shared" si="10"/>
        <v>3.9861489087354984E-2</v>
      </c>
      <c r="J168" s="123">
        <v>136.04</v>
      </c>
      <c r="L168" s="50">
        <f t="shared" si="11"/>
        <v>2.0938086303939896E-2</v>
      </c>
      <c r="N168" s="123">
        <v>1355.85</v>
      </c>
      <c r="P168" s="50">
        <f t="shared" si="12"/>
        <v>3.4660378654334689E-2</v>
      </c>
      <c r="R168" s="123">
        <v>146.08000000000001</v>
      </c>
      <c r="T168" s="50">
        <f t="shared" si="13"/>
        <v>4.9349903024208164E-2</v>
      </c>
      <c r="V168" s="123">
        <v>967.63</v>
      </c>
      <c r="X168" s="50">
        <f t="shared" si="14"/>
        <v>8.294517907197374E-3</v>
      </c>
    </row>
    <row r="169" spans="4:24" x14ac:dyDescent="0.25">
      <c r="D169" s="122">
        <v>44676</v>
      </c>
      <c r="F169" s="123">
        <v>17102.55</v>
      </c>
      <c r="H169" s="50">
        <f t="shared" si="10"/>
        <v>4.2123543301089139E-2</v>
      </c>
      <c r="J169" s="123">
        <v>156.35</v>
      </c>
      <c r="L169" s="50">
        <f t="shared" si="11"/>
        <v>0.14929432519847108</v>
      </c>
      <c r="N169" s="123">
        <v>1338.8</v>
      </c>
      <c r="P169" s="50">
        <f t="shared" si="12"/>
        <v>-1.2575137367702882E-2</v>
      </c>
      <c r="R169" s="123">
        <v>162.51</v>
      </c>
      <c r="T169" s="50">
        <f t="shared" si="13"/>
        <v>0.11247261774370187</v>
      </c>
      <c r="V169" s="123">
        <v>988.59</v>
      </c>
      <c r="X169" s="50">
        <f t="shared" si="14"/>
        <v>2.1661172142244389E-2</v>
      </c>
    </row>
    <row r="170" spans="4:24" x14ac:dyDescent="0.25">
      <c r="D170" s="122">
        <v>44669</v>
      </c>
      <c r="F170" s="123">
        <v>17171.95</v>
      </c>
      <c r="H170" s="50">
        <f t="shared" si="10"/>
        <v>4.0578744105412845E-3</v>
      </c>
      <c r="J170" s="123">
        <v>149.28</v>
      </c>
      <c r="L170" s="50">
        <f t="shared" si="11"/>
        <v>-4.5219059801726802E-2</v>
      </c>
      <c r="N170" s="123">
        <v>1272.69</v>
      </c>
      <c r="P170" s="50">
        <f t="shared" si="12"/>
        <v>-4.9380041828503085E-2</v>
      </c>
      <c r="R170" s="123">
        <v>185.27</v>
      </c>
      <c r="T170" s="50">
        <f t="shared" si="13"/>
        <v>0.14005291982031887</v>
      </c>
      <c r="V170" s="123">
        <v>1017.62</v>
      </c>
      <c r="X170" s="50">
        <f t="shared" si="14"/>
        <v>2.9365055280753394E-2</v>
      </c>
    </row>
    <row r="171" spans="4:24" x14ac:dyDescent="0.25">
      <c r="D171" s="122">
        <v>44662</v>
      </c>
      <c r="F171" s="123">
        <v>17475.650000000001</v>
      </c>
      <c r="H171" s="50">
        <f t="shared" si="10"/>
        <v>1.7685819024630289E-2</v>
      </c>
      <c r="J171" s="123">
        <v>151.06</v>
      </c>
      <c r="L171" s="50">
        <f t="shared" si="11"/>
        <v>1.1923901393354752E-2</v>
      </c>
      <c r="N171" s="123">
        <v>1260.0899999999999</v>
      </c>
      <c r="P171" s="50">
        <f t="shared" si="12"/>
        <v>-9.9002899370626007E-3</v>
      </c>
      <c r="R171" s="123">
        <v>196.21</v>
      </c>
      <c r="T171" s="50">
        <f t="shared" si="13"/>
        <v>5.9048955578345108E-2</v>
      </c>
      <c r="V171" s="123">
        <v>1040.8800000000001</v>
      </c>
      <c r="X171" s="50">
        <f t="shared" si="14"/>
        <v>2.2857255164010271E-2</v>
      </c>
    </row>
    <row r="172" spans="4:24" x14ac:dyDescent="0.25">
      <c r="D172" s="122">
        <v>44655</v>
      </c>
      <c r="F172" s="123">
        <v>17784.349999999999</v>
      </c>
      <c r="H172" s="50">
        <f t="shared" si="10"/>
        <v>1.7664578999922576E-2</v>
      </c>
      <c r="J172" s="123">
        <v>158.08000000000001</v>
      </c>
      <c r="L172" s="50">
        <f t="shared" si="11"/>
        <v>4.6471600688468229E-2</v>
      </c>
      <c r="N172" s="123">
        <v>1272.3800000000001</v>
      </c>
      <c r="P172" s="50">
        <f t="shared" si="12"/>
        <v>9.7532715917119095E-3</v>
      </c>
      <c r="R172" s="123">
        <v>201.31</v>
      </c>
      <c r="T172" s="50">
        <f t="shared" si="13"/>
        <v>2.5992558992915749E-2</v>
      </c>
      <c r="V172" s="123">
        <v>1084.96</v>
      </c>
      <c r="X172" s="50">
        <f t="shared" si="14"/>
        <v>4.2348781800015223E-2</v>
      </c>
    </row>
    <row r="173" spans="4:24" x14ac:dyDescent="0.25">
      <c r="D173" s="122">
        <v>44648</v>
      </c>
      <c r="F173" s="123">
        <v>17670.45</v>
      </c>
      <c r="H173" s="50">
        <f t="shared" si="10"/>
        <v>-6.4045073336949088E-3</v>
      </c>
      <c r="J173" s="123">
        <v>133.63999999999999</v>
      </c>
      <c r="L173" s="50">
        <f t="shared" si="11"/>
        <v>-0.15460526315789491</v>
      </c>
      <c r="N173" s="123">
        <v>1196.46</v>
      </c>
      <c r="P173" s="50">
        <f t="shared" si="12"/>
        <v>-5.9667709332117846E-2</v>
      </c>
      <c r="R173" s="123">
        <v>190.18</v>
      </c>
      <c r="T173" s="50">
        <f t="shared" si="13"/>
        <v>-5.5287864487606142E-2</v>
      </c>
      <c r="V173" s="123">
        <v>1090.53</v>
      </c>
      <c r="X173" s="50">
        <f t="shared" si="14"/>
        <v>5.1338298186107689E-3</v>
      </c>
    </row>
    <row r="174" spans="4:24" x14ac:dyDescent="0.25">
      <c r="D174" s="122">
        <v>44641</v>
      </c>
      <c r="F174" s="123">
        <v>17153</v>
      </c>
      <c r="H174" s="50">
        <f t="shared" si="10"/>
        <v>-2.928335158414197E-2</v>
      </c>
      <c r="J174" s="123">
        <v>132.38999999999999</v>
      </c>
      <c r="L174" s="50">
        <f t="shared" si="11"/>
        <v>-9.3534869799460907E-3</v>
      </c>
      <c r="N174" s="123">
        <v>1155.8900000000001</v>
      </c>
      <c r="P174" s="50">
        <f t="shared" si="12"/>
        <v>-3.3908363004195641E-2</v>
      </c>
      <c r="R174" s="123">
        <v>180.96</v>
      </c>
      <c r="T174" s="50">
        <f t="shared" si="13"/>
        <v>-4.8480387001787806E-2</v>
      </c>
      <c r="V174" s="123">
        <v>1042.22</v>
      </c>
      <c r="X174" s="50">
        <f t="shared" si="14"/>
        <v>-4.4299560764032075E-2</v>
      </c>
    </row>
    <row r="175" spans="4:24" x14ac:dyDescent="0.25">
      <c r="D175" s="122">
        <v>44634</v>
      </c>
      <c r="F175" s="123">
        <v>17287.05</v>
      </c>
      <c r="H175" s="50">
        <f t="shared" si="10"/>
        <v>7.8149594823062607E-3</v>
      </c>
      <c r="J175" s="123">
        <v>139.03</v>
      </c>
      <c r="L175" s="50">
        <f t="shared" si="11"/>
        <v>5.0154845532140113E-2</v>
      </c>
      <c r="N175" s="123">
        <v>1218.82</v>
      </c>
      <c r="P175" s="50">
        <f t="shared" si="12"/>
        <v>5.4442896815440678E-2</v>
      </c>
      <c r="R175" s="123">
        <v>173.94</v>
      </c>
      <c r="T175" s="50">
        <f t="shared" si="13"/>
        <v>-3.8793103448275912E-2</v>
      </c>
      <c r="V175" s="123">
        <v>981.73</v>
      </c>
      <c r="X175" s="50">
        <f t="shared" si="14"/>
        <v>-5.8039569380744949E-2</v>
      </c>
    </row>
    <row r="176" spans="4:24" x14ac:dyDescent="0.25">
      <c r="D176" s="122">
        <v>44627</v>
      </c>
      <c r="F176" s="123">
        <v>16630.45</v>
      </c>
      <c r="H176" s="50">
        <f t="shared" si="10"/>
        <v>-3.7982188979611808E-2</v>
      </c>
      <c r="J176" s="123">
        <v>125.41</v>
      </c>
      <c r="L176" s="50">
        <f t="shared" si="11"/>
        <v>-9.796446810041004E-2</v>
      </c>
      <c r="N176" s="123">
        <v>1205.1199999999999</v>
      </c>
      <c r="P176" s="50">
        <f t="shared" si="12"/>
        <v>-1.1240380039710618E-2</v>
      </c>
      <c r="R176" s="123">
        <v>165.75</v>
      </c>
      <c r="T176" s="50">
        <f t="shared" si="13"/>
        <v>-4.7085201793721998E-2</v>
      </c>
      <c r="V176" s="123">
        <v>955.21</v>
      </c>
      <c r="X176" s="50">
        <f t="shared" si="14"/>
        <v>-2.7013537326963655E-2</v>
      </c>
    </row>
    <row r="177" spans="4:24" x14ac:dyDescent="0.25">
      <c r="D177" s="122">
        <v>44620</v>
      </c>
      <c r="F177" s="123">
        <v>16245.35</v>
      </c>
      <c r="H177" s="50">
        <f t="shared" si="10"/>
        <v>-2.3156318680492727E-2</v>
      </c>
      <c r="J177" s="123">
        <v>122.91</v>
      </c>
      <c r="L177" s="50">
        <f t="shared" si="11"/>
        <v>-1.9934614464556244E-2</v>
      </c>
      <c r="N177" s="123">
        <v>1169.3699999999999</v>
      </c>
      <c r="P177" s="50">
        <f t="shared" si="12"/>
        <v>-2.9665095592140256E-2</v>
      </c>
      <c r="R177" s="123">
        <v>159.81</v>
      </c>
      <c r="T177" s="50">
        <f t="shared" si="13"/>
        <v>-3.5837104072398152E-2</v>
      </c>
      <c r="V177" s="123">
        <v>911.12</v>
      </c>
      <c r="X177" s="50">
        <f t="shared" si="14"/>
        <v>-4.6157389474565824E-2</v>
      </c>
    </row>
    <row r="178" spans="4:24" x14ac:dyDescent="0.25">
      <c r="D178" s="122">
        <v>44613</v>
      </c>
      <c r="F178" s="123">
        <v>16658.400000000001</v>
      </c>
      <c r="H178" s="50">
        <f t="shared" si="10"/>
        <v>2.5425737210955868E-2</v>
      </c>
      <c r="J178" s="123">
        <v>125.25</v>
      </c>
      <c r="L178" s="50">
        <f t="shared" si="11"/>
        <v>1.9038320722479796E-2</v>
      </c>
      <c r="N178" s="123">
        <v>1171.0899999999999</v>
      </c>
      <c r="P178" s="50">
        <f t="shared" si="12"/>
        <v>1.470877481036803E-3</v>
      </c>
      <c r="R178" s="123">
        <v>167.81</v>
      </c>
      <c r="T178" s="50">
        <f t="shared" si="13"/>
        <v>5.0059445591640106E-2</v>
      </c>
      <c r="V178" s="123">
        <v>913.07</v>
      </c>
      <c r="X178" s="50">
        <f t="shared" si="14"/>
        <v>2.1402230222145047E-3</v>
      </c>
    </row>
    <row r="179" spans="4:24" x14ac:dyDescent="0.25">
      <c r="D179" s="122">
        <v>44606</v>
      </c>
      <c r="F179" s="123">
        <v>17276.3</v>
      </c>
      <c r="H179" s="50">
        <f t="shared" si="10"/>
        <v>3.7092397829323165E-2</v>
      </c>
      <c r="J179" s="123">
        <v>133.06</v>
      </c>
      <c r="L179" s="50">
        <f t="shared" si="11"/>
        <v>6.2355289421157645E-2</v>
      </c>
      <c r="N179" s="123">
        <v>1249.31</v>
      </c>
      <c r="P179" s="50">
        <f t="shared" si="12"/>
        <v>6.6792475386178607E-2</v>
      </c>
      <c r="R179" s="123">
        <v>179.68</v>
      </c>
      <c r="T179" s="50">
        <f t="shared" si="13"/>
        <v>7.0734759549490489E-2</v>
      </c>
      <c r="V179" s="123">
        <v>927.53</v>
      </c>
      <c r="X179" s="50">
        <f t="shared" si="14"/>
        <v>1.583668283921269E-2</v>
      </c>
    </row>
    <row r="180" spans="4:24" x14ac:dyDescent="0.25">
      <c r="D180" s="122">
        <v>44599</v>
      </c>
      <c r="F180" s="123">
        <v>17374.75</v>
      </c>
      <c r="H180" s="50">
        <f t="shared" si="10"/>
        <v>5.6985581403425911E-3</v>
      </c>
      <c r="J180" s="123">
        <v>143.96</v>
      </c>
      <c r="L180" s="50">
        <f t="shared" si="11"/>
        <v>8.1917931760108198E-2</v>
      </c>
      <c r="N180" s="123">
        <v>1257.71</v>
      </c>
      <c r="P180" s="50">
        <f t="shared" si="12"/>
        <v>6.7237114887419569E-3</v>
      </c>
      <c r="R180" s="123">
        <v>192.19</v>
      </c>
      <c r="T180" s="50">
        <f t="shared" si="13"/>
        <v>6.9623775601068472E-2</v>
      </c>
      <c r="V180" s="123">
        <v>893.32</v>
      </c>
      <c r="X180" s="50">
        <f t="shared" si="14"/>
        <v>-3.6882904057011556E-2</v>
      </c>
    </row>
    <row r="181" spans="4:24" x14ac:dyDescent="0.25">
      <c r="D181" s="122">
        <v>44592</v>
      </c>
      <c r="F181" s="123">
        <v>17516.3</v>
      </c>
      <c r="H181" s="50">
        <f t="shared" si="10"/>
        <v>8.1468798112203089E-3</v>
      </c>
      <c r="J181" s="123">
        <v>160.77000000000001</v>
      </c>
      <c r="L181" s="50">
        <f t="shared" si="11"/>
        <v>0.11676854681856064</v>
      </c>
      <c r="N181" s="123">
        <v>1261.82</v>
      </c>
      <c r="P181" s="50">
        <f t="shared" si="12"/>
        <v>3.2678439385867009E-3</v>
      </c>
      <c r="R181" s="123">
        <v>207.2</v>
      </c>
      <c r="T181" s="50">
        <f t="shared" si="13"/>
        <v>7.8099797075810384E-2</v>
      </c>
      <c r="V181" s="123">
        <v>877.77</v>
      </c>
      <c r="X181" s="50">
        <f t="shared" si="14"/>
        <v>-1.7406976223525827E-2</v>
      </c>
    </row>
    <row r="182" spans="4:24" x14ac:dyDescent="0.25">
      <c r="D182" s="122">
        <v>44585</v>
      </c>
      <c r="F182" s="123">
        <v>17101.95</v>
      </c>
      <c r="H182" s="50">
        <f t="shared" si="10"/>
        <v>-2.3655109812003583E-2</v>
      </c>
      <c r="J182" s="123">
        <v>162.72</v>
      </c>
      <c r="L182" s="50">
        <f t="shared" si="11"/>
        <v>1.2129128568762804E-2</v>
      </c>
      <c r="N182" s="123">
        <v>1283.51</v>
      </c>
      <c r="P182" s="50">
        <f t="shared" si="12"/>
        <v>1.7189456499342226E-2</v>
      </c>
      <c r="R182" s="123">
        <v>205.48</v>
      </c>
      <c r="T182" s="50">
        <f t="shared" si="13"/>
        <v>-8.3011583011582957E-3</v>
      </c>
      <c r="V182" s="123">
        <v>888.42</v>
      </c>
      <c r="X182" s="50">
        <f t="shared" si="14"/>
        <v>1.213301890016738E-2</v>
      </c>
    </row>
    <row r="183" spans="4:24" x14ac:dyDescent="0.25">
      <c r="D183" s="122">
        <v>44578</v>
      </c>
      <c r="F183" s="123">
        <v>17617.150000000001</v>
      </c>
      <c r="H183" s="50">
        <f t="shared" si="10"/>
        <v>3.0125219638696299E-2</v>
      </c>
      <c r="J183" s="123">
        <v>169.67</v>
      </c>
      <c r="L183" s="50">
        <f t="shared" si="11"/>
        <v>4.2711406096361815E-2</v>
      </c>
      <c r="N183" s="123">
        <v>1451.83</v>
      </c>
      <c r="P183" s="50">
        <f t="shared" si="12"/>
        <v>0.1311403884660034</v>
      </c>
      <c r="R183" s="123">
        <v>229.08</v>
      </c>
      <c r="T183" s="50">
        <f t="shared" si="13"/>
        <v>0.11485302705859457</v>
      </c>
      <c r="V183" s="123">
        <v>876.62</v>
      </c>
      <c r="X183" s="50">
        <f t="shared" si="14"/>
        <v>-1.3282006258301227E-2</v>
      </c>
    </row>
    <row r="184" spans="4:24" x14ac:dyDescent="0.25">
      <c r="D184" s="122">
        <v>44571</v>
      </c>
      <c r="F184" s="123">
        <v>18255.75</v>
      </c>
      <c r="H184" s="50">
        <f t="shared" si="10"/>
        <v>3.6248768955250865E-2</v>
      </c>
      <c r="J184" s="123">
        <v>185.19</v>
      </c>
      <c r="L184" s="50">
        <f t="shared" si="11"/>
        <v>9.1471680320622362E-2</v>
      </c>
      <c r="N184" s="123">
        <v>1469.95</v>
      </c>
      <c r="P184" s="50">
        <f t="shared" si="12"/>
        <v>1.2480800093674915E-2</v>
      </c>
      <c r="R184" s="123">
        <v>224.47</v>
      </c>
      <c r="T184" s="50">
        <f t="shared" si="13"/>
        <v>-2.0123974157499669E-2</v>
      </c>
      <c r="V184" s="123">
        <v>938.99</v>
      </c>
      <c r="X184" s="50">
        <f t="shared" si="14"/>
        <v>7.114827405261126E-2</v>
      </c>
    </row>
    <row r="185" spans="4:24" x14ac:dyDescent="0.25">
      <c r="D185" s="122">
        <v>44564</v>
      </c>
      <c r="F185" s="123">
        <v>17812.7</v>
      </c>
      <c r="H185" s="50">
        <f t="shared" si="10"/>
        <v>-2.4269065910740406E-2</v>
      </c>
      <c r="J185" s="123">
        <v>170.24</v>
      </c>
      <c r="L185" s="50">
        <f t="shared" si="11"/>
        <v>-8.0727901074571951E-2</v>
      </c>
      <c r="N185" s="123">
        <v>1435.44</v>
      </c>
      <c r="P185" s="50">
        <f t="shared" si="12"/>
        <v>-2.3476989013231697E-2</v>
      </c>
      <c r="R185" s="123">
        <v>171.64</v>
      </c>
      <c r="T185" s="50">
        <f t="shared" si="13"/>
        <v>-0.23535439034169381</v>
      </c>
      <c r="V185" s="123">
        <v>897.79</v>
      </c>
      <c r="X185" s="50">
        <f t="shared" si="14"/>
        <v>-4.3876931596715685E-2</v>
      </c>
    </row>
    <row r="186" spans="4:24" x14ac:dyDescent="0.25">
      <c r="D186" s="122">
        <v>44557</v>
      </c>
      <c r="F186" s="123">
        <v>17354.05</v>
      </c>
      <c r="H186" s="50">
        <f t="shared" si="10"/>
        <v>-2.5748482824052621E-2</v>
      </c>
      <c r="J186" s="123">
        <v>175.81</v>
      </c>
      <c r="L186" s="50">
        <f t="shared" si="11"/>
        <v>3.2718515037593932E-2</v>
      </c>
      <c r="N186" s="123">
        <v>1430.18</v>
      </c>
      <c r="P186" s="50">
        <f t="shared" si="12"/>
        <v>-3.6643816530123052E-3</v>
      </c>
      <c r="R186" s="123">
        <v>135.29</v>
      </c>
      <c r="T186" s="50">
        <f t="shared" si="13"/>
        <v>-0.21178047075273831</v>
      </c>
      <c r="V186" s="123">
        <v>896.13</v>
      </c>
      <c r="X186" s="50">
        <f t="shared" si="14"/>
        <v>-1.8489847291682793E-3</v>
      </c>
    </row>
    <row r="187" spans="4:24" x14ac:dyDescent="0.25">
      <c r="D187" s="122">
        <v>44550</v>
      </c>
      <c r="F187" s="123">
        <v>17003.75</v>
      </c>
      <c r="H187" s="50">
        <f t="shared" si="10"/>
        <v>-2.0185489842428628E-2</v>
      </c>
      <c r="J187" s="123">
        <v>167.38</v>
      </c>
      <c r="L187" s="50">
        <f t="shared" si="11"/>
        <v>-4.7949490927706062E-2</v>
      </c>
      <c r="N187" s="123">
        <v>1445.65</v>
      </c>
      <c r="P187" s="50">
        <f t="shared" si="12"/>
        <v>1.0816820260386883E-2</v>
      </c>
      <c r="R187" s="123">
        <v>133.62</v>
      </c>
      <c r="T187" s="50">
        <f t="shared" si="13"/>
        <v>-1.2343853943380778E-2</v>
      </c>
      <c r="V187" s="123">
        <v>873.86</v>
      </c>
      <c r="X187" s="50">
        <f t="shared" si="14"/>
        <v>-2.4851305056186046E-2</v>
      </c>
    </row>
    <row r="188" spans="4:24" x14ac:dyDescent="0.25">
      <c r="D188" s="122">
        <v>44543</v>
      </c>
      <c r="F188" s="123">
        <v>16985.2</v>
      </c>
      <c r="H188" s="50">
        <f t="shared" si="10"/>
        <v>-1.0909358229801436E-3</v>
      </c>
      <c r="J188" s="123">
        <v>167.29</v>
      </c>
      <c r="L188" s="50">
        <f t="shared" si="11"/>
        <v>-5.3769864977892823E-4</v>
      </c>
      <c r="N188" s="123">
        <v>1432.3</v>
      </c>
      <c r="P188" s="50">
        <f t="shared" si="12"/>
        <v>-9.2346003527825626E-3</v>
      </c>
      <c r="R188" s="123">
        <v>135.24</v>
      </c>
      <c r="T188" s="50">
        <f t="shared" si="13"/>
        <v>1.2123933542882881E-2</v>
      </c>
      <c r="V188" s="123">
        <v>871.3</v>
      </c>
      <c r="X188" s="50">
        <f t="shared" si="14"/>
        <v>-2.9295310461631141E-3</v>
      </c>
    </row>
    <row r="189" spans="4:24" x14ac:dyDescent="0.25">
      <c r="D189" s="122">
        <v>44536</v>
      </c>
      <c r="F189" s="123">
        <v>17511.3</v>
      </c>
      <c r="H189" s="50">
        <f t="shared" si="10"/>
        <v>3.0974024444810677E-2</v>
      </c>
      <c r="J189" s="123">
        <v>179.24</v>
      </c>
      <c r="L189" s="50">
        <f t="shared" si="11"/>
        <v>7.1432841174009276E-2</v>
      </c>
      <c r="N189" s="123">
        <v>1478.35</v>
      </c>
      <c r="P189" s="50">
        <f t="shared" si="12"/>
        <v>3.2151085666410673E-2</v>
      </c>
      <c r="R189" s="123">
        <v>147.85</v>
      </c>
      <c r="T189" s="50">
        <f t="shared" si="13"/>
        <v>9.3241644483880393E-2</v>
      </c>
      <c r="V189" s="123">
        <v>925.91</v>
      </c>
      <c r="X189" s="50">
        <f t="shared" si="14"/>
        <v>6.2676460461379646E-2</v>
      </c>
    </row>
    <row r="190" spans="4:24" x14ac:dyDescent="0.25">
      <c r="D190" s="122">
        <v>44529</v>
      </c>
      <c r="F190" s="123">
        <v>17196.7</v>
      </c>
      <c r="H190" s="50">
        <f t="shared" si="10"/>
        <v>-1.7965542249861466E-2</v>
      </c>
      <c r="J190" s="123">
        <v>186.9</v>
      </c>
      <c r="L190" s="50">
        <f t="shared" si="11"/>
        <v>4.2735996429368317E-2</v>
      </c>
      <c r="N190" s="123">
        <v>1443</v>
      </c>
      <c r="P190" s="50">
        <f t="shared" si="12"/>
        <v>-2.3911793553623939E-2</v>
      </c>
      <c r="R190" s="123">
        <v>150.79</v>
      </c>
      <c r="T190" s="50">
        <f t="shared" si="13"/>
        <v>1.9885018599932414E-2</v>
      </c>
      <c r="V190" s="123">
        <v>876.81</v>
      </c>
      <c r="X190" s="50">
        <f t="shared" si="14"/>
        <v>-5.3028912097288106E-2</v>
      </c>
    </row>
    <row r="191" spans="4:24" x14ac:dyDescent="0.25">
      <c r="D191" s="122">
        <v>44522</v>
      </c>
      <c r="F191" s="123">
        <v>17026.45</v>
      </c>
      <c r="H191" s="50">
        <f t="shared" si="10"/>
        <v>-9.900155262346888E-3</v>
      </c>
      <c r="J191" s="123">
        <v>175.33</v>
      </c>
      <c r="L191" s="50">
        <f t="shared" si="11"/>
        <v>-6.1904761904761907E-2</v>
      </c>
      <c r="N191" s="123">
        <v>1508.8</v>
      </c>
      <c r="P191" s="50">
        <f t="shared" si="12"/>
        <v>4.5599445599445509E-2</v>
      </c>
      <c r="R191" s="123">
        <v>143.22999999999999</v>
      </c>
      <c r="T191" s="50">
        <f t="shared" si="13"/>
        <v>-5.0135950659858097E-2</v>
      </c>
      <c r="V191" s="123">
        <v>832.81</v>
      </c>
      <c r="X191" s="50">
        <f t="shared" si="14"/>
        <v>-5.0181909421653459E-2</v>
      </c>
    </row>
    <row r="192" spans="4:24" x14ac:dyDescent="0.25">
      <c r="D192" s="122">
        <v>44515</v>
      </c>
      <c r="F192" s="123">
        <v>17764.8</v>
      </c>
      <c r="H192" s="50">
        <f t="shared" si="10"/>
        <v>4.3364882286090145E-2</v>
      </c>
      <c r="J192" s="123">
        <v>181.9</v>
      </c>
      <c r="L192" s="50">
        <f t="shared" si="11"/>
        <v>3.7472195288883681E-2</v>
      </c>
      <c r="N192" s="123">
        <v>1565.85</v>
      </c>
      <c r="P192" s="50">
        <f t="shared" si="12"/>
        <v>3.7811505832449521E-2</v>
      </c>
      <c r="R192" s="123">
        <v>150.1</v>
      </c>
      <c r="T192" s="50">
        <f t="shared" si="13"/>
        <v>4.796481184109469E-2</v>
      </c>
      <c r="V192" s="123">
        <v>870.96</v>
      </c>
      <c r="X192" s="50">
        <f t="shared" si="14"/>
        <v>4.5808767906245329E-2</v>
      </c>
    </row>
    <row r="193" spans="4:24" x14ac:dyDescent="0.25">
      <c r="D193" s="122">
        <v>44508</v>
      </c>
      <c r="F193" s="123">
        <v>18102.75</v>
      </c>
      <c r="H193" s="50">
        <f t="shared" si="10"/>
        <v>1.9023574709537971E-2</v>
      </c>
      <c r="J193" s="123">
        <v>191.19</v>
      </c>
      <c r="L193" s="50">
        <f t="shared" si="11"/>
        <v>5.1072017592083574E-2</v>
      </c>
      <c r="N193" s="123">
        <v>1566.6</v>
      </c>
      <c r="P193" s="50">
        <f t="shared" si="12"/>
        <v>4.7897308171274133E-4</v>
      </c>
      <c r="R193" s="123">
        <v>131.76</v>
      </c>
      <c r="T193" s="50">
        <f t="shared" si="13"/>
        <v>-0.12218520986009329</v>
      </c>
      <c r="V193" s="123">
        <v>878.1</v>
      </c>
      <c r="X193" s="50">
        <f t="shared" si="14"/>
        <v>8.1978506475612889E-3</v>
      </c>
    </row>
    <row r="194" spans="4:24" x14ac:dyDescent="0.25">
      <c r="D194" s="122">
        <v>44501</v>
      </c>
      <c r="F194" s="123">
        <v>17916.8</v>
      </c>
      <c r="H194" s="50">
        <f t="shared" si="10"/>
        <v>-1.0271920012152935E-2</v>
      </c>
      <c r="J194" s="123">
        <v>191.52</v>
      </c>
      <c r="L194" s="50">
        <f t="shared" si="11"/>
        <v>1.726031696218433E-3</v>
      </c>
      <c r="N194" s="123">
        <v>1527.49</v>
      </c>
      <c r="P194" s="50">
        <f t="shared" si="12"/>
        <v>-2.496489212306896E-2</v>
      </c>
      <c r="R194" s="123">
        <v>132.69</v>
      </c>
      <c r="T194" s="50">
        <f t="shared" si="13"/>
        <v>7.0582877959928236E-3</v>
      </c>
      <c r="V194" s="123">
        <v>855.93</v>
      </c>
      <c r="X194" s="50">
        <f t="shared" si="14"/>
        <v>-2.5247693884523525E-2</v>
      </c>
    </row>
    <row r="195" spans="4:24" x14ac:dyDescent="0.25">
      <c r="D195" s="122">
        <v>44494</v>
      </c>
      <c r="F195" s="123">
        <v>17671.650000000001</v>
      </c>
      <c r="H195" s="50">
        <f t="shared" si="10"/>
        <v>-1.3682688873012938E-2</v>
      </c>
      <c r="J195" s="123">
        <v>192.04</v>
      </c>
      <c r="L195" s="50">
        <f t="shared" si="11"/>
        <v>2.7151211361737815E-3</v>
      </c>
      <c r="N195" s="123">
        <v>1520.95</v>
      </c>
      <c r="P195" s="50">
        <f t="shared" si="12"/>
        <v>-4.2815337579951152E-3</v>
      </c>
      <c r="R195" s="123">
        <v>130.87</v>
      </c>
      <c r="T195" s="50">
        <f t="shared" si="13"/>
        <v>-1.3716180571256231E-2</v>
      </c>
      <c r="V195" s="123">
        <v>852.27</v>
      </c>
      <c r="X195" s="50">
        <f t="shared" si="14"/>
        <v>-4.2760506116154007E-3</v>
      </c>
    </row>
    <row r="196" spans="4:24" x14ac:dyDescent="0.25">
      <c r="D196" s="122">
        <v>44487</v>
      </c>
      <c r="F196" s="123">
        <v>18114.900000000001</v>
      </c>
      <c r="H196" s="50">
        <f t="shared" si="10"/>
        <v>2.5082547470100414E-2</v>
      </c>
      <c r="J196" s="123">
        <v>212.47</v>
      </c>
      <c r="L196" s="50">
        <f t="shared" si="11"/>
        <v>0.10638408664861498</v>
      </c>
      <c r="N196" s="123">
        <v>1495.41</v>
      </c>
      <c r="P196" s="50">
        <f t="shared" si="12"/>
        <v>-1.6792136493638865E-2</v>
      </c>
      <c r="R196" s="123">
        <v>130.04</v>
      </c>
      <c r="T196" s="50">
        <f t="shared" si="13"/>
        <v>-6.3421716206923939E-3</v>
      </c>
      <c r="V196" s="123">
        <v>842.32</v>
      </c>
      <c r="X196" s="50">
        <f t="shared" si="14"/>
        <v>-1.1674704025719462E-2</v>
      </c>
    </row>
    <row r="197" spans="4:24" x14ac:dyDescent="0.25">
      <c r="D197" s="122">
        <v>44480</v>
      </c>
      <c r="F197" s="123">
        <v>18338.55</v>
      </c>
      <c r="H197" s="50">
        <f t="shared" si="10"/>
        <v>1.2346190152857428E-2</v>
      </c>
      <c r="J197" s="123">
        <v>198.95</v>
      </c>
      <c r="L197" s="50">
        <f t="shared" si="11"/>
        <v>-6.3632512825340104E-2</v>
      </c>
      <c r="N197" s="123">
        <v>1549.85</v>
      </c>
      <c r="P197" s="50">
        <f t="shared" si="12"/>
        <v>3.6404731812680113E-2</v>
      </c>
      <c r="R197" s="123">
        <v>137.63999999999999</v>
      </c>
      <c r="T197" s="50">
        <f t="shared" si="13"/>
        <v>5.8443555828975757E-2</v>
      </c>
      <c r="V197" s="123">
        <v>859.35</v>
      </c>
      <c r="X197" s="50">
        <f t="shared" si="14"/>
        <v>2.0217969417798409E-2</v>
      </c>
    </row>
    <row r="198" spans="4:24" x14ac:dyDescent="0.25">
      <c r="D198" s="122">
        <v>44473</v>
      </c>
      <c r="F198" s="123">
        <v>17895.2</v>
      </c>
      <c r="H198" s="50">
        <f t="shared" si="10"/>
        <v>-2.4175848145027712E-2</v>
      </c>
      <c r="J198" s="123">
        <v>190.62</v>
      </c>
      <c r="L198" s="50">
        <f t="shared" si="11"/>
        <v>-4.1869816536818205E-2</v>
      </c>
      <c r="N198" s="123">
        <v>1494.83</v>
      </c>
      <c r="P198" s="50">
        <f t="shared" si="12"/>
        <v>-3.5500209697712726E-2</v>
      </c>
      <c r="R198" s="123">
        <v>135.72999999999999</v>
      </c>
      <c r="T198" s="50">
        <f t="shared" si="13"/>
        <v>-1.3876780005812273E-2</v>
      </c>
      <c r="V198" s="123">
        <v>840.75</v>
      </c>
      <c r="X198" s="50">
        <f t="shared" si="14"/>
        <v>-2.1644266015011349E-2</v>
      </c>
    </row>
    <row r="199" spans="4:24" x14ac:dyDescent="0.25">
      <c r="D199" s="122">
        <v>44466</v>
      </c>
      <c r="F199" s="123">
        <v>17532.05</v>
      </c>
      <c r="H199" s="50">
        <f t="shared" si="10"/>
        <v>-2.0293151236085771E-2</v>
      </c>
      <c r="J199" s="123">
        <v>192.71</v>
      </c>
      <c r="L199" s="50">
        <f t="shared" si="11"/>
        <v>1.0964222012380676E-2</v>
      </c>
      <c r="N199" s="123">
        <v>1462.26</v>
      </c>
      <c r="P199" s="50">
        <f t="shared" si="12"/>
        <v>-2.17884307914612E-2</v>
      </c>
      <c r="R199" s="123">
        <v>133.28</v>
      </c>
      <c r="T199" s="50">
        <f t="shared" si="13"/>
        <v>-1.8050541516245411E-2</v>
      </c>
      <c r="V199" s="123">
        <v>873.58</v>
      </c>
      <c r="X199" s="50">
        <f t="shared" si="14"/>
        <v>3.9048468629200084E-2</v>
      </c>
    </row>
    <row r="200" spans="4:24" x14ac:dyDescent="0.25">
      <c r="D200" s="122">
        <v>44459</v>
      </c>
      <c r="F200" s="123">
        <v>17853.2</v>
      </c>
      <c r="H200" s="50">
        <f t="shared" si="10"/>
        <v>1.8317880681380849E-2</v>
      </c>
      <c r="J200" s="123">
        <v>200.38</v>
      </c>
      <c r="L200" s="50">
        <f t="shared" si="11"/>
        <v>3.9800736858492058E-2</v>
      </c>
      <c r="N200" s="123">
        <v>1430.49</v>
      </c>
      <c r="P200" s="50">
        <f t="shared" si="12"/>
        <v>-2.1726642320791134E-2</v>
      </c>
      <c r="R200" s="123">
        <v>134.26</v>
      </c>
      <c r="T200" s="50">
        <f t="shared" si="13"/>
        <v>7.3529411764705621E-3</v>
      </c>
      <c r="V200" s="123">
        <v>946.56</v>
      </c>
      <c r="X200" s="50">
        <f t="shared" si="14"/>
        <v>8.3541289864694557E-2</v>
      </c>
    </row>
    <row r="201" spans="4:24" x14ac:dyDescent="0.25">
      <c r="D201" s="122">
        <v>44452</v>
      </c>
      <c r="F201" s="123">
        <v>17585.150000000001</v>
      </c>
      <c r="H201" s="50">
        <f t="shared" si="10"/>
        <v>-1.5014115116617655E-2</v>
      </c>
      <c r="J201" s="123">
        <v>202.85</v>
      </c>
      <c r="L201" s="50">
        <f t="shared" si="11"/>
        <v>1.2326579498951995E-2</v>
      </c>
      <c r="N201" s="123">
        <v>1444.63</v>
      </c>
      <c r="P201" s="50">
        <f t="shared" si="12"/>
        <v>9.8847248145741418E-3</v>
      </c>
      <c r="R201" s="123">
        <v>138.82</v>
      </c>
      <c r="T201" s="50">
        <f t="shared" si="13"/>
        <v>3.3963950543721255E-2</v>
      </c>
      <c r="V201" s="123">
        <v>958.83</v>
      </c>
      <c r="X201" s="50">
        <f t="shared" si="14"/>
        <v>1.2962728194726214E-2</v>
      </c>
    </row>
    <row r="202" spans="4:24" x14ac:dyDescent="0.25">
      <c r="D202" s="122">
        <v>44445</v>
      </c>
      <c r="F202" s="123">
        <v>17369.25</v>
      </c>
      <c r="H202" s="50">
        <f t="shared" si="10"/>
        <v>-1.2277404514604684E-2</v>
      </c>
      <c r="J202" s="123">
        <v>203.37</v>
      </c>
      <c r="L202" s="50">
        <f t="shared" si="11"/>
        <v>2.5634705447374895E-3</v>
      </c>
      <c r="N202" s="123">
        <v>1508.97</v>
      </c>
      <c r="P202" s="50">
        <f t="shared" si="12"/>
        <v>4.4537355585859251E-2</v>
      </c>
      <c r="R202" s="123">
        <v>138.72</v>
      </c>
      <c r="T202" s="50">
        <f t="shared" si="13"/>
        <v>-7.2035729721942054E-4</v>
      </c>
      <c r="V202" s="123">
        <v>993.37</v>
      </c>
      <c r="X202" s="50">
        <f t="shared" si="14"/>
        <v>3.6023069782964656E-2</v>
      </c>
    </row>
    <row r="203" spans="4:24" x14ac:dyDescent="0.25">
      <c r="D203" s="122">
        <v>44438</v>
      </c>
      <c r="F203" s="123">
        <v>17323.599999999999</v>
      </c>
      <c r="H203" s="50">
        <f t="shared" si="10"/>
        <v>-2.6282078961383792E-3</v>
      </c>
      <c r="J203" s="123">
        <v>202.76</v>
      </c>
      <c r="L203" s="50">
        <f t="shared" si="11"/>
        <v>-2.9994591139302917E-3</v>
      </c>
      <c r="N203" s="123">
        <v>1467.74</v>
      </c>
      <c r="P203" s="50">
        <f t="shared" si="12"/>
        <v>-2.7323273491189348E-2</v>
      </c>
      <c r="R203" s="123">
        <v>139.16</v>
      </c>
      <c r="T203" s="50">
        <f t="shared" si="13"/>
        <v>3.1718569780854189E-3</v>
      </c>
      <c r="V203" s="123">
        <v>976.2</v>
      </c>
      <c r="X203" s="50">
        <f t="shared" si="14"/>
        <v>-1.7284596877296443E-2</v>
      </c>
    </row>
    <row r="204" spans="4:24" x14ac:dyDescent="0.25">
      <c r="D204" s="122">
        <v>44431</v>
      </c>
      <c r="F204" s="123">
        <v>16705.2</v>
      </c>
      <c r="H204" s="50">
        <f t="shared" si="10"/>
        <v>-3.5696968297582399E-2</v>
      </c>
      <c r="J204" s="123">
        <v>197.9</v>
      </c>
      <c r="L204" s="50">
        <f t="shared" si="11"/>
        <v>-2.3969224699151637E-2</v>
      </c>
      <c r="N204" s="123">
        <v>1451.7</v>
      </c>
      <c r="P204" s="50">
        <f t="shared" si="12"/>
        <v>-1.0928366059383743E-2</v>
      </c>
      <c r="R204" s="123">
        <v>127.29</v>
      </c>
      <c r="T204" s="50">
        <f t="shared" si="13"/>
        <v>-8.5297499281402622E-2</v>
      </c>
      <c r="V204" s="123">
        <v>932.48</v>
      </c>
      <c r="X204" s="50">
        <f t="shared" si="14"/>
        <v>-4.4785904527760767E-2</v>
      </c>
    </row>
    <row r="205" spans="4:24" x14ac:dyDescent="0.25">
      <c r="D205" s="122">
        <v>44424</v>
      </c>
      <c r="F205" s="123">
        <v>16450.5</v>
      </c>
      <c r="H205" s="50">
        <f t="shared" si="10"/>
        <v>-1.5246749515121061E-2</v>
      </c>
      <c r="J205" s="123">
        <v>199.52</v>
      </c>
      <c r="L205" s="50">
        <f t="shared" si="11"/>
        <v>8.185952501263305E-3</v>
      </c>
      <c r="N205" s="123">
        <v>1499.78</v>
      </c>
      <c r="P205" s="50">
        <f t="shared" si="12"/>
        <v>3.3119790590342202E-2</v>
      </c>
      <c r="R205" s="123">
        <v>128.91</v>
      </c>
      <c r="T205" s="50">
        <f t="shared" si="13"/>
        <v>1.2726844213999389E-2</v>
      </c>
      <c r="V205" s="123">
        <v>943.94</v>
      </c>
      <c r="X205" s="50">
        <f t="shared" si="14"/>
        <v>1.2289807824296561E-2</v>
      </c>
    </row>
    <row r="206" spans="4:24" x14ac:dyDescent="0.25">
      <c r="D206" s="122">
        <v>44417</v>
      </c>
      <c r="F206" s="123">
        <v>16529.099999999999</v>
      </c>
      <c r="H206" s="50">
        <f t="shared" ref="H206:H269" si="15">F206/F205-1</f>
        <v>4.7779702744596975E-3</v>
      </c>
      <c r="J206" s="123">
        <v>218.94</v>
      </c>
      <c r="L206" s="50">
        <f t="shared" ref="L206:L269" si="16">J206/J205-1</f>
        <v>9.733360064153973E-2</v>
      </c>
      <c r="N206" s="123">
        <v>1578.97</v>
      </c>
      <c r="P206" s="50">
        <f t="shared" ref="P206:P269" si="17">N206/N205-1</f>
        <v>5.2801077491365422E-2</v>
      </c>
      <c r="R206" s="123">
        <v>140.97999999999999</v>
      </c>
      <c r="T206" s="50">
        <f t="shared" ref="T206:T269" si="18">R206/R205-1</f>
        <v>9.3631215576758908E-2</v>
      </c>
      <c r="V206" s="123">
        <v>928.24</v>
      </c>
      <c r="X206" s="50">
        <f t="shared" ref="X206:X269" si="19">V206/V205-1</f>
        <v>-1.6632413077102393E-2</v>
      </c>
    </row>
    <row r="207" spans="4:24" x14ac:dyDescent="0.25">
      <c r="D207" s="122">
        <v>44410</v>
      </c>
      <c r="F207" s="123">
        <v>16238.2</v>
      </c>
      <c r="H207" s="50">
        <f t="shared" si="15"/>
        <v>-1.7599264327761266E-2</v>
      </c>
      <c r="J207" s="123">
        <v>219.5</v>
      </c>
      <c r="L207" s="50">
        <f t="shared" si="16"/>
        <v>2.5577783867727355E-3</v>
      </c>
      <c r="N207" s="123">
        <v>1570.88</v>
      </c>
      <c r="P207" s="50">
        <f t="shared" si="17"/>
        <v>-5.123593228496981E-3</v>
      </c>
      <c r="R207" s="123">
        <v>158.05000000000001</v>
      </c>
      <c r="T207" s="50">
        <f t="shared" si="18"/>
        <v>0.12108100439778702</v>
      </c>
      <c r="V207" s="123">
        <v>849.67</v>
      </c>
      <c r="X207" s="50">
        <f t="shared" si="19"/>
        <v>-8.4644057571317766E-2</v>
      </c>
    </row>
    <row r="208" spans="4:24" x14ac:dyDescent="0.25">
      <c r="D208" s="122">
        <v>44403</v>
      </c>
      <c r="F208" s="123">
        <v>15763.05</v>
      </c>
      <c r="H208" s="50">
        <f t="shared" si="15"/>
        <v>-2.9261248167900433E-2</v>
      </c>
      <c r="J208" s="123">
        <v>234.06</v>
      </c>
      <c r="L208" s="50">
        <f t="shared" si="16"/>
        <v>6.6332574031890745E-2</v>
      </c>
      <c r="N208" s="123">
        <v>1594.35</v>
      </c>
      <c r="P208" s="50">
        <f t="shared" si="17"/>
        <v>1.494067019759604E-2</v>
      </c>
      <c r="R208" s="123">
        <v>157.71</v>
      </c>
      <c r="T208" s="50">
        <f t="shared" si="18"/>
        <v>-2.1512179689971989E-3</v>
      </c>
      <c r="V208" s="123">
        <v>803.93</v>
      </c>
      <c r="X208" s="50">
        <f t="shared" si="19"/>
        <v>-5.3832664446196721E-2</v>
      </c>
    </row>
    <row r="209" spans="4:24" x14ac:dyDescent="0.25">
      <c r="D209" s="122">
        <v>44396</v>
      </c>
      <c r="F209" s="123">
        <v>15856.05</v>
      </c>
      <c r="H209" s="50">
        <f t="shared" si="15"/>
        <v>5.899873438198755E-3</v>
      </c>
      <c r="J209" s="123">
        <v>252.96</v>
      </c>
      <c r="L209" s="50">
        <f t="shared" si="16"/>
        <v>8.0748526018969535E-2</v>
      </c>
      <c r="N209" s="123">
        <v>1591.21</v>
      </c>
      <c r="P209" s="50">
        <f t="shared" si="17"/>
        <v>-1.9694546366857413E-3</v>
      </c>
      <c r="R209" s="123">
        <v>165.55</v>
      </c>
      <c r="T209" s="50">
        <f t="shared" si="18"/>
        <v>4.971149578339995E-2</v>
      </c>
      <c r="V209" s="123">
        <v>809.5</v>
      </c>
      <c r="X209" s="50">
        <f t="shared" si="19"/>
        <v>6.9284639209881149E-3</v>
      </c>
    </row>
    <row r="210" spans="4:24" x14ac:dyDescent="0.25">
      <c r="D210" s="122">
        <v>44389</v>
      </c>
      <c r="F210" s="123">
        <v>15923.4</v>
      </c>
      <c r="H210" s="50">
        <f t="shared" si="15"/>
        <v>4.2475900366105712E-3</v>
      </c>
      <c r="J210" s="123">
        <v>247.4</v>
      </c>
      <c r="L210" s="50">
        <f t="shared" si="16"/>
        <v>-2.1979759645793795E-2</v>
      </c>
      <c r="N210" s="123">
        <v>1567</v>
      </c>
      <c r="P210" s="50">
        <f t="shared" si="17"/>
        <v>-1.521483650806621E-2</v>
      </c>
      <c r="R210" s="123">
        <v>166.09</v>
      </c>
      <c r="T210" s="50">
        <f t="shared" si="18"/>
        <v>3.2618544246449943E-3</v>
      </c>
      <c r="V210" s="123">
        <v>808.74</v>
      </c>
      <c r="X210" s="50">
        <f t="shared" si="19"/>
        <v>-9.3885114268066339E-4</v>
      </c>
    </row>
    <row r="211" spans="4:24" x14ac:dyDescent="0.25">
      <c r="D211" s="122">
        <v>44382</v>
      </c>
      <c r="F211" s="123">
        <v>15689.8</v>
      </c>
      <c r="H211" s="50">
        <f t="shared" si="15"/>
        <v>-1.4670233744049632E-2</v>
      </c>
      <c r="J211" s="123">
        <v>235.1</v>
      </c>
      <c r="L211" s="50">
        <f t="shared" si="16"/>
        <v>-4.971705739692811E-2</v>
      </c>
      <c r="N211" s="123">
        <v>1586.48</v>
      </c>
      <c r="P211" s="50">
        <f t="shared" si="17"/>
        <v>1.2431397574984127E-2</v>
      </c>
      <c r="R211" s="123">
        <v>164.57</v>
      </c>
      <c r="T211" s="50">
        <f t="shared" si="18"/>
        <v>-9.1516647600698997E-3</v>
      </c>
      <c r="V211" s="123">
        <v>812.99</v>
      </c>
      <c r="X211" s="50">
        <f t="shared" si="19"/>
        <v>5.2550881618320666E-3</v>
      </c>
    </row>
    <row r="212" spans="4:24" x14ac:dyDescent="0.25">
      <c r="D212" s="122">
        <v>44375</v>
      </c>
      <c r="F212" s="123">
        <v>15722.2</v>
      </c>
      <c r="H212" s="50">
        <f t="shared" si="15"/>
        <v>2.0650358831852955E-3</v>
      </c>
      <c r="J212" s="123">
        <v>228.41</v>
      </c>
      <c r="L212" s="50">
        <f t="shared" si="16"/>
        <v>-2.8455976180348785E-2</v>
      </c>
      <c r="N212" s="123">
        <v>1554.41</v>
      </c>
      <c r="P212" s="50">
        <f t="shared" si="17"/>
        <v>-2.0214563057838641E-2</v>
      </c>
      <c r="R212" s="123">
        <v>168.14</v>
      </c>
      <c r="T212" s="50">
        <f t="shared" si="18"/>
        <v>2.1692896639727843E-2</v>
      </c>
      <c r="V212" s="123">
        <v>831.24</v>
      </c>
      <c r="X212" s="50">
        <f t="shared" si="19"/>
        <v>2.2448000590413075E-2</v>
      </c>
    </row>
    <row r="213" spans="4:24" x14ac:dyDescent="0.25">
      <c r="D213" s="122">
        <v>44368</v>
      </c>
      <c r="F213" s="123">
        <v>15860.35</v>
      </c>
      <c r="H213" s="50">
        <f t="shared" si="15"/>
        <v>8.7869382147536257E-3</v>
      </c>
      <c r="J213" s="123">
        <v>229.73</v>
      </c>
      <c r="L213" s="50">
        <f t="shared" si="16"/>
        <v>5.7790814762925802E-3</v>
      </c>
      <c r="N213" s="123">
        <v>1559.71</v>
      </c>
      <c r="P213" s="50">
        <f t="shared" si="17"/>
        <v>3.4096538236372265E-3</v>
      </c>
      <c r="R213" s="123">
        <v>165.89</v>
      </c>
      <c r="T213" s="50">
        <f t="shared" si="18"/>
        <v>-1.338170572142261E-2</v>
      </c>
      <c r="V213" s="123">
        <v>809.17</v>
      </c>
      <c r="X213" s="50">
        <f t="shared" si="19"/>
        <v>-2.6550695346710951E-2</v>
      </c>
    </row>
    <row r="214" spans="4:24" x14ac:dyDescent="0.25">
      <c r="D214" s="122">
        <v>44361</v>
      </c>
      <c r="F214" s="123">
        <v>15683.35</v>
      </c>
      <c r="H214" s="50">
        <f t="shared" si="15"/>
        <v>-1.1159905046231655E-2</v>
      </c>
      <c r="J214" s="123">
        <v>221.81</v>
      </c>
      <c r="L214" s="50">
        <f t="shared" si="16"/>
        <v>-3.447525355852521E-2</v>
      </c>
      <c r="N214" s="123">
        <v>1456.61</v>
      </c>
      <c r="P214" s="50">
        <f t="shared" si="17"/>
        <v>-6.6102031787960702E-2</v>
      </c>
      <c r="R214" s="123">
        <v>152.86000000000001</v>
      </c>
      <c r="T214" s="50">
        <f t="shared" si="18"/>
        <v>-7.8546024474048903E-2</v>
      </c>
      <c r="V214" s="123">
        <v>785.68</v>
      </c>
      <c r="X214" s="50">
        <f t="shared" si="19"/>
        <v>-2.9029746530395362E-2</v>
      </c>
    </row>
    <row r="215" spans="4:24" x14ac:dyDescent="0.25">
      <c r="D215" s="122">
        <v>44354</v>
      </c>
      <c r="F215" s="123">
        <v>15799.35</v>
      </c>
      <c r="H215" s="50">
        <f t="shared" si="15"/>
        <v>7.3963789624027498E-3</v>
      </c>
      <c r="J215" s="123">
        <v>239.1</v>
      </c>
      <c r="L215" s="50">
        <f t="shared" si="16"/>
        <v>7.7949596501510232E-2</v>
      </c>
      <c r="N215" s="123">
        <v>1348.48</v>
      </c>
      <c r="P215" s="50">
        <f t="shared" si="17"/>
        <v>-7.4234009103328891E-2</v>
      </c>
      <c r="R215" s="123">
        <v>141.54</v>
      </c>
      <c r="T215" s="50">
        <f t="shared" si="18"/>
        <v>-7.4054690566531578E-2</v>
      </c>
      <c r="V215" s="123">
        <v>785.73</v>
      </c>
      <c r="X215" s="50">
        <f t="shared" si="19"/>
        <v>6.363914061702225E-5</v>
      </c>
    </row>
    <row r="216" spans="4:24" x14ac:dyDescent="0.25">
      <c r="D216" s="122">
        <v>44347</v>
      </c>
      <c r="F216" s="123">
        <v>15670.25</v>
      </c>
      <c r="H216" s="50">
        <f t="shared" si="15"/>
        <v>-8.1712222338260476E-3</v>
      </c>
      <c r="J216" s="123">
        <v>238.96</v>
      </c>
      <c r="L216" s="50">
        <f t="shared" si="16"/>
        <v>-5.8552906733577714E-4</v>
      </c>
      <c r="N216" s="123">
        <v>1350.18</v>
      </c>
      <c r="P216" s="50">
        <f t="shared" si="17"/>
        <v>1.2606786900806188E-3</v>
      </c>
      <c r="R216" s="123">
        <v>126.6</v>
      </c>
      <c r="T216" s="50">
        <f t="shared" si="18"/>
        <v>-0.1055532005086901</v>
      </c>
      <c r="V216" s="123">
        <v>764.6</v>
      </c>
      <c r="X216" s="50">
        <f t="shared" si="19"/>
        <v>-2.6892189428938673E-2</v>
      </c>
    </row>
    <row r="217" spans="4:24" x14ac:dyDescent="0.25">
      <c r="D217" s="122">
        <v>44340</v>
      </c>
      <c r="F217" s="123">
        <v>15435.65</v>
      </c>
      <c r="H217" s="50">
        <f t="shared" si="15"/>
        <v>-1.4971043856990218E-2</v>
      </c>
      <c r="J217" s="123">
        <v>210.17</v>
      </c>
      <c r="L217" s="50">
        <f t="shared" si="16"/>
        <v>-0.12048041513223984</v>
      </c>
      <c r="N217" s="123">
        <v>1337.01</v>
      </c>
      <c r="P217" s="50">
        <f t="shared" si="17"/>
        <v>-9.7542549882237983E-3</v>
      </c>
      <c r="R217" s="123">
        <v>124.44</v>
      </c>
      <c r="T217" s="50">
        <f t="shared" si="18"/>
        <v>-1.7061611374407537E-2</v>
      </c>
      <c r="V217" s="123">
        <v>746.07</v>
      </c>
      <c r="X217" s="50">
        <f t="shared" si="19"/>
        <v>-2.4234894062254764E-2</v>
      </c>
    </row>
    <row r="218" spans="4:24" x14ac:dyDescent="0.25">
      <c r="D218" s="122">
        <v>44333</v>
      </c>
      <c r="F218" s="123">
        <v>15175.3</v>
      </c>
      <c r="H218" s="50">
        <f t="shared" si="15"/>
        <v>-1.6866798612303335E-2</v>
      </c>
      <c r="J218" s="123">
        <v>195.94</v>
      </c>
      <c r="L218" s="50">
        <f t="shared" si="16"/>
        <v>-6.7707094257030032E-2</v>
      </c>
      <c r="N218" s="123">
        <v>1339.9</v>
      </c>
      <c r="P218" s="50">
        <f t="shared" si="17"/>
        <v>2.1615395546781269E-3</v>
      </c>
      <c r="R218" s="123">
        <v>128.21</v>
      </c>
      <c r="T218" s="50">
        <f t="shared" si="18"/>
        <v>3.029572484731613E-2</v>
      </c>
      <c r="V218" s="123">
        <v>786.11</v>
      </c>
      <c r="X218" s="50">
        <f t="shared" si="19"/>
        <v>5.3667886391357333E-2</v>
      </c>
    </row>
    <row r="219" spans="4:24" x14ac:dyDescent="0.25">
      <c r="D219" s="122">
        <v>44326</v>
      </c>
      <c r="F219" s="123">
        <v>14677.8</v>
      </c>
      <c r="H219" s="50">
        <f t="shared" si="15"/>
        <v>-3.2783536404552116E-2</v>
      </c>
      <c r="J219" s="123">
        <v>197.92</v>
      </c>
      <c r="L219" s="50">
        <f t="shared" si="16"/>
        <v>1.0105134224762669E-2</v>
      </c>
      <c r="N219" s="123">
        <v>1356.57</v>
      </c>
      <c r="P219" s="50">
        <f t="shared" si="17"/>
        <v>1.2441226957235596E-2</v>
      </c>
      <c r="R219" s="123">
        <v>127.97</v>
      </c>
      <c r="T219" s="50">
        <f t="shared" si="18"/>
        <v>-1.8719288667031764E-3</v>
      </c>
      <c r="V219" s="123">
        <v>770.03</v>
      </c>
      <c r="X219" s="50">
        <f t="shared" si="19"/>
        <v>-2.0455152586788206E-2</v>
      </c>
    </row>
    <row r="220" spans="4:24" x14ac:dyDescent="0.25">
      <c r="D220" s="122">
        <v>44319</v>
      </c>
      <c r="F220" s="123">
        <v>14823.15</v>
      </c>
      <c r="H220" s="50">
        <f t="shared" si="15"/>
        <v>9.9027102154274349E-3</v>
      </c>
      <c r="J220" s="123">
        <v>177.18</v>
      </c>
      <c r="L220" s="50">
        <f t="shared" si="16"/>
        <v>-0.10478981406628929</v>
      </c>
      <c r="N220" s="123">
        <v>1357.05</v>
      </c>
      <c r="P220" s="50">
        <f t="shared" si="17"/>
        <v>3.5383356553664314E-4</v>
      </c>
      <c r="R220" s="123">
        <v>133.9</v>
      </c>
      <c r="T220" s="50">
        <f t="shared" si="18"/>
        <v>4.633898569977335E-2</v>
      </c>
      <c r="V220" s="123">
        <v>790.49</v>
      </c>
      <c r="X220" s="50">
        <f t="shared" si="19"/>
        <v>2.6570393361297739E-2</v>
      </c>
    </row>
    <row r="221" spans="4:24" x14ac:dyDescent="0.25">
      <c r="D221" s="122">
        <v>44312</v>
      </c>
      <c r="F221" s="123">
        <v>14631.1</v>
      </c>
      <c r="H221" s="50">
        <f t="shared" si="15"/>
        <v>-1.2956085582349175E-2</v>
      </c>
      <c r="J221" s="123">
        <v>165.17</v>
      </c>
      <c r="L221" s="50">
        <f t="shared" si="16"/>
        <v>-6.7784174286036891E-2</v>
      </c>
      <c r="N221" s="123">
        <v>1286.78</v>
      </c>
      <c r="P221" s="50">
        <f t="shared" si="17"/>
        <v>-5.1781437677314801E-2</v>
      </c>
      <c r="R221" s="123">
        <v>142.41999999999999</v>
      </c>
      <c r="T221" s="50">
        <f t="shared" si="18"/>
        <v>6.3629574309185921E-2</v>
      </c>
      <c r="V221" s="123">
        <v>789.97</v>
      </c>
      <c r="X221" s="50">
        <f t="shared" si="19"/>
        <v>-6.5781983326795856E-4</v>
      </c>
    </row>
    <row r="222" spans="4:24" x14ac:dyDescent="0.25">
      <c r="D222" s="122">
        <v>44305</v>
      </c>
      <c r="F222" s="123">
        <v>14341.35</v>
      </c>
      <c r="H222" s="50">
        <f t="shared" si="15"/>
        <v>-1.980370580475832E-2</v>
      </c>
      <c r="J222" s="123">
        <v>156.4</v>
      </c>
      <c r="L222" s="50">
        <f t="shared" si="16"/>
        <v>-5.3096809347944474E-2</v>
      </c>
      <c r="N222" s="123">
        <v>1276.19</v>
      </c>
      <c r="P222" s="50">
        <f t="shared" si="17"/>
        <v>-8.2298450395560385E-3</v>
      </c>
      <c r="R222" s="123">
        <v>124.39</v>
      </c>
      <c r="T222" s="50">
        <f t="shared" si="18"/>
        <v>-0.12659738800730225</v>
      </c>
      <c r="V222" s="123">
        <v>802.14</v>
      </c>
      <c r="X222" s="50">
        <f t="shared" si="19"/>
        <v>1.5405648315758746E-2</v>
      </c>
    </row>
    <row r="223" spans="4:24" x14ac:dyDescent="0.25">
      <c r="D223" s="122">
        <v>44298</v>
      </c>
      <c r="F223" s="123">
        <v>14617.85</v>
      </c>
      <c r="H223" s="50">
        <f t="shared" si="15"/>
        <v>1.927991437347254E-2</v>
      </c>
      <c r="J223" s="123">
        <v>153.1</v>
      </c>
      <c r="L223" s="50">
        <f t="shared" si="16"/>
        <v>-2.109974424552441E-2</v>
      </c>
      <c r="N223" s="123">
        <v>1202.54</v>
      </c>
      <c r="P223" s="50">
        <f t="shared" si="17"/>
        <v>-5.7710842429418929E-2</v>
      </c>
      <c r="R223" s="123">
        <v>123.12</v>
      </c>
      <c r="T223" s="50">
        <f t="shared" si="18"/>
        <v>-1.0209823940831253E-2</v>
      </c>
      <c r="V223" s="123">
        <v>800.82</v>
      </c>
      <c r="X223" s="50">
        <f t="shared" si="19"/>
        <v>-1.6455980252823021E-3</v>
      </c>
    </row>
    <row r="224" spans="4:24" x14ac:dyDescent="0.25">
      <c r="D224" s="122">
        <v>44291</v>
      </c>
      <c r="F224" s="123">
        <v>14834.85</v>
      </c>
      <c r="H224" s="50">
        <f t="shared" si="15"/>
        <v>1.4844864326833296E-2</v>
      </c>
      <c r="J224" s="123">
        <v>161.35</v>
      </c>
      <c r="L224" s="50">
        <f t="shared" si="16"/>
        <v>5.3886348791639449E-2</v>
      </c>
      <c r="N224" s="123">
        <v>1181.3599999999999</v>
      </c>
      <c r="P224" s="50">
        <f t="shared" si="17"/>
        <v>-1.7612719743210214E-2</v>
      </c>
      <c r="R224" s="123">
        <v>130.62</v>
      </c>
      <c r="T224" s="50">
        <f t="shared" si="18"/>
        <v>6.0916179337231924E-2</v>
      </c>
      <c r="V224" s="123">
        <v>821.43</v>
      </c>
      <c r="X224" s="50">
        <f t="shared" si="19"/>
        <v>2.5736120476511415E-2</v>
      </c>
    </row>
    <row r="225" spans="4:24" x14ac:dyDescent="0.25">
      <c r="D225" s="122">
        <v>44284</v>
      </c>
      <c r="F225" s="123">
        <v>14867.35</v>
      </c>
      <c r="H225" s="50">
        <f t="shared" si="15"/>
        <v>2.1907872341142554E-3</v>
      </c>
      <c r="J225" s="123">
        <v>160.31</v>
      </c>
      <c r="L225" s="50">
        <f t="shared" si="16"/>
        <v>-6.4456151224047131E-3</v>
      </c>
      <c r="N225" s="123">
        <v>1161.49</v>
      </c>
      <c r="P225" s="50">
        <f t="shared" si="17"/>
        <v>-1.6819597751743687E-2</v>
      </c>
      <c r="R225" s="123">
        <v>131.55000000000001</v>
      </c>
      <c r="T225" s="50">
        <f t="shared" si="18"/>
        <v>7.1198897565456498E-3</v>
      </c>
      <c r="V225" s="123">
        <v>844.44</v>
      </c>
      <c r="X225" s="50">
        <f t="shared" si="19"/>
        <v>2.8012125196304138E-2</v>
      </c>
    </row>
    <row r="226" spans="4:24" x14ac:dyDescent="0.25">
      <c r="D226" s="122">
        <v>44277</v>
      </c>
      <c r="F226" s="123">
        <v>14507.3</v>
      </c>
      <c r="H226" s="50">
        <f t="shared" si="15"/>
        <v>-2.4217496729410537E-2</v>
      </c>
      <c r="J226" s="123">
        <v>157.66999999999999</v>
      </c>
      <c r="L226" s="50">
        <f t="shared" si="16"/>
        <v>-1.6468093069677558E-2</v>
      </c>
      <c r="N226" s="123">
        <v>1147.31</v>
      </c>
      <c r="P226" s="50">
        <f t="shared" si="17"/>
        <v>-1.2208456379305899E-2</v>
      </c>
      <c r="R226" s="123">
        <v>123.61</v>
      </c>
      <c r="T226" s="50">
        <f t="shared" si="18"/>
        <v>-6.0357278601292363E-2</v>
      </c>
      <c r="V226" s="123">
        <v>819.97</v>
      </c>
      <c r="X226" s="50">
        <f t="shared" si="19"/>
        <v>-2.8977784093600523E-2</v>
      </c>
    </row>
    <row r="227" spans="4:24" x14ac:dyDescent="0.25">
      <c r="D227" s="122">
        <v>44270</v>
      </c>
      <c r="F227" s="123">
        <v>14744</v>
      </c>
      <c r="H227" s="50">
        <f t="shared" si="15"/>
        <v>1.6315923707374891E-2</v>
      </c>
      <c r="J227" s="123">
        <v>158.99</v>
      </c>
      <c r="L227" s="50">
        <f t="shared" si="16"/>
        <v>8.3719160271453763E-3</v>
      </c>
      <c r="N227" s="123">
        <v>1142.72</v>
      </c>
      <c r="P227" s="50">
        <f t="shared" si="17"/>
        <v>-4.0006624190497275E-3</v>
      </c>
      <c r="R227" s="123">
        <v>128.69999999999999</v>
      </c>
      <c r="T227" s="50">
        <f t="shared" si="18"/>
        <v>4.1177898228298648E-2</v>
      </c>
      <c r="V227" s="123">
        <v>845.48</v>
      </c>
      <c r="X227" s="50">
        <f t="shared" si="19"/>
        <v>3.1110894301010994E-2</v>
      </c>
    </row>
    <row r="228" spans="4:24" x14ac:dyDescent="0.25">
      <c r="D228" s="122">
        <v>44263</v>
      </c>
      <c r="F228" s="123">
        <v>15030.95</v>
      </c>
      <c r="H228" s="50">
        <f t="shared" si="15"/>
        <v>1.9462154096581807E-2</v>
      </c>
      <c r="J228" s="123">
        <v>149.22999999999999</v>
      </c>
      <c r="L228" s="50">
        <f t="shared" si="16"/>
        <v>-6.1387508648342748E-2</v>
      </c>
      <c r="N228" s="123">
        <v>1205.77</v>
      </c>
      <c r="P228" s="50">
        <f t="shared" si="17"/>
        <v>5.5175371044525301E-2</v>
      </c>
      <c r="R228" s="123">
        <v>141</v>
      </c>
      <c r="T228" s="50">
        <f t="shared" si="18"/>
        <v>9.5571095571095777E-2</v>
      </c>
      <c r="V228" s="123">
        <v>833.64</v>
      </c>
      <c r="X228" s="50">
        <f t="shared" si="19"/>
        <v>-1.4003879453091783E-2</v>
      </c>
    </row>
    <row r="229" spans="4:24" x14ac:dyDescent="0.25">
      <c r="D229" s="122">
        <v>44256</v>
      </c>
      <c r="F229" s="123">
        <v>14938.1</v>
      </c>
      <c r="H229" s="50">
        <f t="shared" si="15"/>
        <v>-6.1772542653658613E-3</v>
      </c>
      <c r="J229" s="123">
        <v>157.22</v>
      </c>
      <c r="L229" s="50">
        <f t="shared" si="16"/>
        <v>5.3541513100582971E-2</v>
      </c>
      <c r="N229" s="123">
        <v>1248.18</v>
      </c>
      <c r="P229" s="50">
        <f t="shared" si="17"/>
        <v>3.5172545344468675E-2</v>
      </c>
      <c r="R229" s="123">
        <v>139.91999999999999</v>
      </c>
      <c r="T229" s="50">
        <f t="shared" si="18"/>
        <v>-7.6595744680851841E-3</v>
      </c>
      <c r="V229" s="123">
        <v>805.16</v>
      </c>
      <c r="X229" s="50">
        <f t="shared" si="19"/>
        <v>-3.416342785854809E-2</v>
      </c>
    </row>
    <row r="230" spans="4:24" x14ac:dyDescent="0.25">
      <c r="D230" s="122">
        <v>44249</v>
      </c>
      <c r="F230" s="123">
        <v>14529.15</v>
      </c>
      <c r="H230" s="50">
        <f t="shared" si="15"/>
        <v>-2.7376306223683144E-2</v>
      </c>
      <c r="J230" s="123">
        <v>150.30000000000001</v>
      </c>
      <c r="L230" s="50">
        <f t="shared" si="16"/>
        <v>-4.4014756392316445E-2</v>
      </c>
      <c r="N230" s="123">
        <v>1134.4000000000001</v>
      </c>
      <c r="P230" s="50">
        <f t="shared" si="17"/>
        <v>-9.1156724190421201E-2</v>
      </c>
      <c r="R230" s="123">
        <v>134.29</v>
      </c>
      <c r="T230" s="50">
        <f t="shared" si="18"/>
        <v>-4.0237278444825608E-2</v>
      </c>
      <c r="V230" s="123">
        <v>742.96</v>
      </c>
      <c r="X230" s="50">
        <f t="shared" si="19"/>
        <v>-7.7251726364946038E-2</v>
      </c>
    </row>
    <row r="231" spans="4:24" x14ac:dyDescent="0.25">
      <c r="D231" s="122">
        <v>44242</v>
      </c>
      <c r="F231" s="123">
        <v>14981.75</v>
      </c>
      <c r="H231" s="50">
        <f t="shared" si="15"/>
        <v>3.1151168512955074E-2</v>
      </c>
      <c r="J231" s="123">
        <v>149.6</v>
      </c>
      <c r="L231" s="50">
        <f t="shared" si="16"/>
        <v>-4.6573519627413074E-3</v>
      </c>
      <c r="N231" s="123">
        <v>1156.68</v>
      </c>
      <c r="P231" s="50">
        <f t="shared" si="17"/>
        <v>1.9640338504936405E-2</v>
      </c>
      <c r="R231" s="123">
        <v>104.16</v>
      </c>
      <c r="T231" s="50">
        <f t="shared" si="18"/>
        <v>-0.22436517983468607</v>
      </c>
      <c r="V231" s="123">
        <v>725.93</v>
      </c>
      <c r="X231" s="50">
        <f t="shared" si="19"/>
        <v>-2.2921826208678886E-2</v>
      </c>
    </row>
    <row r="232" spans="4:24" x14ac:dyDescent="0.25">
      <c r="D232" s="122">
        <v>44235</v>
      </c>
      <c r="F232" s="123">
        <v>15163.3</v>
      </c>
      <c r="H232" s="50">
        <f t="shared" si="15"/>
        <v>1.2118076993675508E-2</v>
      </c>
      <c r="J232" s="123">
        <v>138.15</v>
      </c>
      <c r="L232" s="50">
        <f t="shared" si="16"/>
        <v>-7.6537433155080103E-2</v>
      </c>
      <c r="N232" s="123">
        <v>1119.7</v>
      </c>
      <c r="P232" s="50">
        <f t="shared" si="17"/>
        <v>-3.1970813016564681E-2</v>
      </c>
      <c r="R232" s="123">
        <v>90.25</v>
      </c>
      <c r="T232" s="50">
        <f t="shared" si="18"/>
        <v>-0.13354454685099848</v>
      </c>
      <c r="V232" s="123">
        <v>704.61</v>
      </c>
      <c r="X232" s="50">
        <f t="shared" si="19"/>
        <v>-2.9369222927830396E-2</v>
      </c>
    </row>
    <row r="233" spans="4:24" x14ac:dyDescent="0.25">
      <c r="D233" s="122">
        <v>44228</v>
      </c>
      <c r="F233" s="123">
        <v>14924.25</v>
      </c>
      <c r="H233" s="50">
        <f t="shared" si="15"/>
        <v>-1.5765037953479721E-2</v>
      </c>
      <c r="J233" s="123">
        <v>132.91999999999999</v>
      </c>
      <c r="L233" s="50">
        <f t="shared" si="16"/>
        <v>-3.785740137531679E-2</v>
      </c>
      <c r="N233" s="123">
        <v>1136.8499999999999</v>
      </c>
      <c r="P233" s="50">
        <f t="shared" si="17"/>
        <v>1.5316602661427092E-2</v>
      </c>
      <c r="R233" s="123">
        <v>84.86</v>
      </c>
      <c r="T233" s="50">
        <f t="shared" si="18"/>
        <v>-5.9722991689750704E-2</v>
      </c>
      <c r="V233" s="123">
        <v>735.69</v>
      </c>
      <c r="X233" s="50">
        <f t="shared" si="19"/>
        <v>4.4109507387065205E-2</v>
      </c>
    </row>
    <row r="234" spans="4:24" x14ac:dyDescent="0.25">
      <c r="D234" s="122">
        <v>44221</v>
      </c>
      <c r="F234" s="123">
        <v>13634.6</v>
      </c>
      <c r="H234" s="50">
        <f t="shared" si="15"/>
        <v>-8.6413052582206773E-2</v>
      </c>
      <c r="J234" s="123">
        <v>115.59</v>
      </c>
      <c r="L234" s="50">
        <f t="shared" si="16"/>
        <v>-0.13037917544387589</v>
      </c>
      <c r="N234" s="123">
        <v>1140.4000000000001</v>
      </c>
      <c r="P234" s="50">
        <f t="shared" si="17"/>
        <v>3.1226635000221048E-3</v>
      </c>
      <c r="R234" s="123">
        <v>83.88</v>
      </c>
      <c r="T234" s="50">
        <f t="shared" si="18"/>
        <v>-1.1548432712703338E-2</v>
      </c>
      <c r="V234" s="123">
        <v>622.91</v>
      </c>
      <c r="X234" s="50">
        <f t="shared" si="19"/>
        <v>-0.15329826421454695</v>
      </c>
    </row>
    <row r="235" spans="4:24" x14ac:dyDescent="0.25">
      <c r="D235" s="122">
        <v>44214</v>
      </c>
      <c r="F235" s="123">
        <v>14371.9</v>
      </c>
      <c r="H235" s="50">
        <f t="shared" si="15"/>
        <v>5.4075660452085117E-2</v>
      </c>
      <c r="J235" s="123">
        <v>121.94</v>
      </c>
      <c r="L235" s="50">
        <f t="shared" si="16"/>
        <v>5.493554805779044E-2</v>
      </c>
      <c r="N235" s="123">
        <v>1154.1400000000001</v>
      </c>
      <c r="P235" s="50">
        <f t="shared" si="17"/>
        <v>1.2048404068747853E-2</v>
      </c>
      <c r="R235" s="123">
        <v>90.98</v>
      </c>
      <c r="T235" s="50">
        <f t="shared" si="18"/>
        <v>8.4644730567477344E-2</v>
      </c>
      <c r="V235" s="123">
        <v>575.70000000000005</v>
      </c>
      <c r="X235" s="50">
        <f t="shared" si="19"/>
        <v>-7.5789439886981946E-2</v>
      </c>
    </row>
    <row r="236" spans="4:24" x14ac:dyDescent="0.25">
      <c r="D236" s="122">
        <v>44207</v>
      </c>
      <c r="F236" s="123">
        <v>14433.7</v>
      </c>
      <c r="H236" s="50">
        <f t="shared" si="15"/>
        <v>4.3000577515848182E-3</v>
      </c>
      <c r="J236" s="123">
        <v>115.82</v>
      </c>
      <c r="L236" s="50">
        <f t="shared" si="16"/>
        <v>-5.018861735279645E-2</v>
      </c>
      <c r="N236" s="123">
        <v>1207.04</v>
      </c>
      <c r="P236" s="50">
        <f t="shared" si="17"/>
        <v>4.5834994021522357E-2</v>
      </c>
      <c r="R236" s="123">
        <v>91.08</v>
      </c>
      <c r="T236" s="50">
        <f t="shared" si="18"/>
        <v>1.0991426687183559E-3</v>
      </c>
      <c r="V236" s="123">
        <v>562.42999999999995</v>
      </c>
      <c r="X236" s="50">
        <f t="shared" si="19"/>
        <v>-2.3050199756817991E-2</v>
      </c>
    </row>
    <row r="237" spans="4:24" x14ac:dyDescent="0.25">
      <c r="D237" s="122">
        <v>44200</v>
      </c>
      <c r="F237" s="123">
        <v>14347.25</v>
      </c>
      <c r="H237" s="50">
        <f t="shared" si="15"/>
        <v>-5.9894552332389051E-3</v>
      </c>
      <c r="J237" s="123">
        <v>123.95</v>
      </c>
      <c r="L237" s="50">
        <f t="shared" si="16"/>
        <v>7.0195130374719472E-2</v>
      </c>
      <c r="N237" s="123">
        <v>1248.53</v>
      </c>
      <c r="P237" s="50">
        <f t="shared" si="17"/>
        <v>3.4373343054082683E-2</v>
      </c>
      <c r="R237" s="123">
        <v>93.87</v>
      </c>
      <c r="T237" s="50">
        <f t="shared" si="18"/>
        <v>3.0632411067193832E-2</v>
      </c>
      <c r="V237" s="123">
        <v>593.6</v>
      </c>
      <c r="X237" s="50">
        <f t="shared" si="19"/>
        <v>5.5420230073075949E-2</v>
      </c>
    </row>
    <row r="238" spans="4:24" x14ac:dyDescent="0.25">
      <c r="D238" s="122">
        <v>44193</v>
      </c>
      <c r="F238" s="123">
        <v>14018.5</v>
      </c>
      <c r="H238" s="50">
        <f t="shared" si="15"/>
        <v>-2.2913798811618924E-2</v>
      </c>
      <c r="J238" s="123">
        <v>118.48</v>
      </c>
      <c r="L238" s="50">
        <f t="shared" si="16"/>
        <v>-4.4130697862041157E-2</v>
      </c>
      <c r="N238" s="123">
        <v>1248.6199999999999</v>
      </c>
      <c r="P238" s="50">
        <f t="shared" si="17"/>
        <v>7.2084771691516281E-5</v>
      </c>
      <c r="R238" s="123">
        <v>86.91</v>
      </c>
      <c r="T238" s="50">
        <f t="shared" si="18"/>
        <v>-7.4145094279322588E-2</v>
      </c>
      <c r="V238" s="123">
        <v>543.45000000000005</v>
      </c>
      <c r="X238" s="50">
        <f t="shared" si="19"/>
        <v>-8.4484501347708907E-2</v>
      </c>
    </row>
    <row r="239" spans="4:24" x14ac:dyDescent="0.25">
      <c r="D239" s="122">
        <v>44186</v>
      </c>
      <c r="F239" s="123">
        <v>13749.25</v>
      </c>
      <c r="H239" s="50">
        <f t="shared" si="15"/>
        <v>-1.9206762492420704E-2</v>
      </c>
      <c r="J239" s="123">
        <v>107.27</v>
      </c>
      <c r="L239" s="50">
        <f t="shared" si="16"/>
        <v>-9.4615124915597648E-2</v>
      </c>
      <c r="N239" s="123">
        <v>1176.67</v>
      </c>
      <c r="P239" s="50">
        <f t="shared" si="17"/>
        <v>-5.7623616472585626E-2</v>
      </c>
      <c r="R239" s="123">
        <v>81.08</v>
      </c>
      <c r="T239" s="50">
        <f t="shared" si="18"/>
        <v>-6.708088827522718E-2</v>
      </c>
      <c r="V239" s="123">
        <v>537.09</v>
      </c>
      <c r="X239" s="50">
        <f t="shared" si="19"/>
        <v>-1.1703008556444905E-2</v>
      </c>
    </row>
    <row r="240" spans="4:24" x14ac:dyDescent="0.25">
      <c r="D240" s="122">
        <v>44179</v>
      </c>
      <c r="F240" s="123">
        <v>13760.55</v>
      </c>
      <c r="H240" s="50">
        <f t="shared" si="15"/>
        <v>8.2186301070952261E-4</v>
      </c>
      <c r="J240" s="123">
        <v>114.19</v>
      </c>
      <c r="L240" s="50">
        <f t="shared" si="16"/>
        <v>6.4510114663932194E-2</v>
      </c>
      <c r="N240" s="123">
        <v>1224.72</v>
      </c>
      <c r="P240" s="50">
        <f t="shared" si="17"/>
        <v>4.0835578369466274E-2</v>
      </c>
      <c r="R240" s="123">
        <v>83.97</v>
      </c>
      <c r="T240" s="50">
        <f t="shared" si="18"/>
        <v>3.5643808584114423E-2</v>
      </c>
      <c r="V240" s="123">
        <v>572.15</v>
      </c>
      <c r="X240" s="50">
        <f t="shared" si="19"/>
        <v>6.5277700199221522E-2</v>
      </c>
    </row>
    <row r="241" spans="4:24" x14ac:dyDescent="0.25">
      <c r="D241" s="122">
        <v>44172</v>
      </c>
      <c r="F241" s="123">
        <v>13513.85</v>
      </c>
      <c r="H241" s="50">
        <f t="shared" si="15"/>
        <v>-1.7928062468433259E-2</v>
      </c>
      <c r="J241" s="123">
        <v>113.67</v>
      </c>
      <c r="L241" s="50">
        <f t="shared" si="16"/>
        <v>-4.5538138190734934E-3</v>
      </c>
      <c r="N241" s="123">
        <v>1255.27</v>
      </c>
      <c r="P241" s="50">
        <f t="shared" si="17"/>
        <v>2.4944477104970941E-2</v>
      </c>
      <c r="R241" s="123">
        <v>81.819999999999993</v>
      </c>
      <c r="T241" s="50">
        <f t="shared" si="18"/>
        <v>-2.5604382517565916E-2</v>
      </c>
      <c r="V241" s="123">
        <v>544.66</v>
      </c>
      <c r="X241" s="50">
        <f t="shared" si="19"/>
        <v>-4.8046840863409934E-2</v>
      </c>
    </row>
    <row r="242" spans="4:24" x14ac:dyDescent="0.25">
      <c r="D242" s="122">
        <v>44165</v>
      </c>
      <c r="F242" s="123">
        <v>13258.55</v>
      </c>
      <c r="H242" s="50">
        <f t="shared" si="15"/>
        <v>-1.8891729595933104E-2</v>
      </c>
      <c r="J242" s="123">
        <v>113.25</v>
      </c>
      <c r="L242" s="50">
        <f t="shared" si="16"/>
        <v>-3.694906307732948E-3</v>
      </c>
      <c r="N242" s="123">
        <v>1234.92</v>
      </c>
      <c r="P242" s="50">
        <f t="shared" si="17"/>
        <v>-1.6211651676531713E-2</v>
      </c>
      <c r="R242" s="123">
        <v>81.97</v>
      </c>
      <c r="T242" s="50">
        <f t="shared" si="18"/>
        <v>1.8332925934980704E-3</v>
      </c>
      <c r="V242" s="123">
        <v>530.41</v>
      </c>
      <c r="X242" s="50">
        <f t="shared" si="19"/>
        <v>-2.6163110931590405E-2</v>
      </c>
    </row>
    <row r="243" spans="4:24" x14ac:dyDescent="0.25">
      <c r="D243" s="122">
        <v>44158</v>
      </c>
      <c r="F243" s="123">
        <v>12968.95</v>
      </c>
      <c r="H243" s="50">
        <f t="shared" si="15"/>
        <v>-2.1842509173325753E-2</v>
      </c>
      <c r="J243" s="123">
        <v>106.99</v>
      </c>
      <c r="L243" s="50">
        <f t="shared" si="16"/>
        <v>-5.5275938189845553E-2</v>
      </c>
      <c r="N243" s="123">
        <v>1226.82</v>
      </c>
      <c r="P243" s="50">
        <f t="shared" si="17"/>
        <v>-6.5591293363134184E-3</v>
      </c>
      <c r="R243" s="123">
        <v>82.21</v>
      </c>
      <c r="T243" s="50">
        <f t="shared" si="18"/>
        <v>2.9279004513846907E-3</v>
      </c>
      <c r="V243" s="123">
        <v>547.79999999999995</v>
      </c>
      <c r="X243" s="50">
        <f t="shared" si="19"/>
        <v>3.2785958032465423E-2</v>
      </c>
    </row>
    <row r="244" spans="4:24" x14ac:dyDescent="0.25">
      <c r="D244" s="122">
        <v>44151</v>
      </c>
      <c r="F244" s="123">
        <v>12859.05</v>
      </c>
      <c r="H244" s="50">
        <f t="shared" si="15"/>
        <v>-8.4740861827674596E-3</v>
      </c>
      <c r="J244" s="123">
        <v>102.69</v>
      </c>
      <c r="L244" s="50">
        <f t="shared" si="16"/>
        <v>-4.0190672025422924E-2</v>
      </c>
      <c r="N244" s="123">
        <v>1211.46</v>
      </c>
      <c r="P244" s="50">
        <f t="shared" si="17"/>
        <v>-1.2520174108671123E-2</v>
      </c>
      <c r="R244" s="123">
        <v>72.41</v>
      </c>
      <c r="T244" s="50">
        <f t="shared" si="18"/>
        <v>-0.11920690913514165</v>
      </c>
      <c r="V244" s="123">
        <v>477.13</v>
      </c>
      <c r="X244" s="50">
        <f t="shared" si="19"/>
        <v>-0.12900693683826203</v>
      </c>
    </row>
    <row r="245" spans="4:24" x14ac:dyDescent="0.25">
      <c r="D245" s="122">
        <v>44144</v>
      </c>
      <c r="F245" s="123">
        <v>12719.95</v>
      </c>
      <c r="H245" s="50">
        <f t="shared" si="15"/>
        <v>-1.0817284325047249E-2</v>
      </c>
      <c r="J245" s="123">
        <v>95.17</v>
      </c>
      <c r="L245" s="50">
        <f t="shared" si="16"/>
        <v>-7.3230110039925966E-2</v>
      </c>
      <c r="N245" s="123">
        <v>1208.8800000000001</v>
      </c>
      <c r="P245" s="50">
        <f t="shared" si="17"/>
        <v>-2.1296617304739085E-3</v>
      </c>
      <c r="R245" s="123">
        <v>72.12</v>
      </c>
      <c r="T245" s="50">
        <f t="shared" si="18"/>
        <v>-4.0049716889931641E-3</v>
      </c>
      <c r="V245" s="123">
        <v>447.45</v>
      </c>
      <c r="X245" s="50">
        <f t="shared" si="19"/>
        <v>-6.2205269004254604E-2</v>
      </c>
    </row>
    <row r="246" spans="4:24" x14ac:dyDescent="0.25">
      <c r="D246" s="122">
        <v>44137</v>
      </c>
      <c r="F246" s="123">
        <v>12263.55</v>
      </c>
      <c r="H246" s="50">
        <f t="shared" si="15"/>
        <v>-3.5880644184922206E-2</v>
      </c>
      <c r="J246" s="123">
        <v>93.4</v>
      </c>
      <c r="L246" s="50">
        <f t="shared" si="16"/>
        <v>-1.8598297782914774E-2</v>
      </c>
      <c r="N246" s="123">
        <v>1214.96</v>
      </c>
      <c r="P246" s="50">
        <f t="shared" si="17"/>
        <v>5.0294487459465742E-3</v>
      </c>
      <c r="R246" s="123">
        <v>66.73</v>
      </c>
      <c r="T246" s="50">
        <f t="shared" si="18"/>
        <v>-7.4736550194120954E-2</v>
      </c>
      <c r="V246" s="123">
        <v>426.32</v>
      </c>
      <c r="X246" s="50">
        <f t="shared" si="19"/>
        <v>-4.7223153424963638E-2</v>
      </c>
    </row>
    <row r="247" spans="4:24" x14ac:dyDescent="0.25">
      <c r="D247" s="122">
        <v>44130</v>
      </c>
      <c r="F247" s="123">
        <v>11642.4</v>
      </c>
      <c r="H247" s="50">
        <f t="shared" si="15"/>
        <v>-5.0650097239380076E-2</v>
      </c>
      <c r="J247" s="123">
        <v>95.31</v>
      </c>
      <c r="L247" s="50">
        <f t="shared" si="16"/>
        <v>2.0449678800856574E-2</v>
      </c>
      <c r="N247" s="123">
        <v>1237.19</v>
      </c>
      <c r="P247" s="50">
        <f t="shared" si="17"/>
        <v>1.8296898663330508E-2</v>
      </c>
      <c r="R247" s="123">
        <v>68.349999999999994</v>
      </c>
      <c r="T247" s="50">
        <f t="shared" si="18"/>
        <v>2.4276936909935376E-2</v>
      </c>
      <c r="V247" s="123">
        <v>405.8</v>
      </c>
      <c r="X247" s="50">
        <f t="shared" si="19"/>
        <v>-4.8132857947081997E-2</v>
      </c>
    </row>
    <row r="248" spans="4:24" x14ac:dyDescent="0.25">
      <c r="D248" s="122">
        <v>44123</v>
      </c>
      <c r="F248" s="123">
        <v>11930.35</v>
      </c>
      <c r="H248" s="50">
        <f t="shared" si="15"/>
        <v>2.4732872947158757E-2</v>
      </c>
      <c r="J248" s="123">
        <v>94.1</v>
      </c>
      <c r="L248" s="50">
        <f t="shared" si="16"/>
        <v>-1.269541496170401E-2</v>
      </c>
      <c r="N248" s="123">
        <v>1258.3800000000001</v>
      </c>
      <c r="P248" s="50">
        <f t="shared" si="17"/>
        <v>1.7127522854210042E-2</v>
      </c>
      <c r="R248" s="123">
        <v>71.19</v>
      </c>
      <c r="T248" s="50">
        <f t="shared" si="18"/>
        <v>4.155084125822972E-2</v>
      </c>
      <c r="V248" s="123">
        <v>430.1</v>
      </c>
      <c r="X248" s="50">
        <f t="shared" si="19"/>
        <v>5.9881715130606139E-2</v>
      </c>
    </row>
    <row r="249" spans="4:24" x14ac:dyDescent="0.25">
      <c r="D249" s="122">
        <v>44116</v>
      </c>
      <c r="F249" s="123">
        <v>11762.45</v>
      </c>
      <c r="H249" s="50">
        <f t="shared" si="15"/>
        <v>-1.4073350739919555E-2</v>
      </c>
      <c r="J249" s="123">
        <v>95.59</v>
      </c>
      <c r="L249" s="50">
        <f t="shared" si="16"/>
        <v>1.5834218916046749E-2</v>
      </c>
      <c r="N249" s="123">
        <v>1256.27</v>
      </c>
      <c r="P249" s="50">
        <f t="shared" si="17"/>
        <v>-1.6767590076131045E-3</v>
      </c>
      <c r="R249" s="123">
        <v>69.77</v>
      </c>
      <c r="T249" s="50">
        <f t="shared" si="18"/>
        <v>-1.9946621716533275E-2</v>
      </c>
      <c r="V249" s="123">
        <v>431.88</v>
      </c>
      <c r="X249" s="50">
        <f t="shared" si="19"/>
        <v>4.1385724250173617E-3</v>
      </c>
    </row>
    <row r="250" spans="4:24" x14ac:dyDescent="0.25">
      <c r="D250" s="122">
        <v>44109</v>
      </c>
      <c r="F250" s="123">
        <v>11914.2</v>
      </c>
      <c r="H250" s="50">
        <f t="shared" si="15"/>
        <v>1.2901223809665519E-2</v>
      </c>
      <c r="J250" s="123">
        <v>99.42</v>
      </c>
      <c r="L250" s="50">
        <f t="shared" si="16"/>
        <v>4.0066952610105622E-2</v>
      </c>
      <c r="N250" s="123">
        <v>1262.4000000000001</v>
      </c>
      <c r="P250" s="50">
        <f t="shared" si="17"/>
        <v>4.8795243060808513E-3</v>
      </c>
      <c r="R250" s="123">
        <v>71.48</v>
      </c>
      <c r="T250" s="50">
        <f t="shared" si="18"/>
        <v>2.4509101332951255E-2</v>
      </c>
      <c r="V250" s="123">
        <v>403.93</v>
      </c>
      <c r="X250" s="50">
        <f t="shared" si="19"/>
        <v>-6.4717051032694206E-2</v>
      </c>
    </row>
    <row r="251" spans="4:24" x14ac:dyDescent="0.25">
      <c r="D251" s="122">
        <v>44102</v>
      </c>
      <c r="F251" s="123">
        <v>11416.95</v>
      </c>
      <c r="H251" s="50">
        <f t="shared" si="15"/>
        <v>-4.173591176914937E-2</v>
      </c>
      <c r="J251" s="123">
        <v>101.06</v>
      </c>
      <c r="L251" s="50">
        <f t="shared" si="16"/>
        <v>1.649567491450421E-2</v>
      </c>
      <c r="N251" s="123">
        <v>1278.29</v>
      </c>
      <c r="P251" s="50">
        <f t="shared" si="17"/>
        <v>1.2587135614702039E-2</v>
      </c>
      <c r="R251" s="123">
        <v>72.709999999999994</v>
      </c>
      <c r="T251" s="50">
        <f t="shared" si="18"/>
        <v>1.7207610520425076E-2</v>
      </c>
      <c r="V251" s="123">
        <v>418.7</v>
      </c>
      <c r="X251" s="50">
        <f t="shared" si="19"/>
        <v>3.6565741588889145E-2</v>
      </c>
    </row>
    <row r="252" spans="4:24" x14ac:dyDescent="0.25">
      <c r="D252" s="122">
        <v>44095</v>
      </c>
      <c r="F252" s="123">
        <v>11050.25</v>
      </c>
      <c r="H252" s="50">
        <f t="shared" si="15"/>
        <v>-3.2118910917539378E-2</v>
      </c>
      <c r="J252" s="123">
        <v>100.31</v>
      </c>
      <c r="L252" s="50">
        <f t="shared" si="16"/>
        <v>-7.4213338610725765E-3</v>
      </c>
      <c r="N252" s="123">
        <v>1261.3900000000001</v>
      </c>
      <c r="P252" s="50">
        <f t="shared" si="17"/>
        <v>-1.3220787145326818E-2</v>
      </c>
      <c r="R252" s="123">
        <v>71.040000000000006</v>
      </c>
      <c r="T252" s="50">
        <f t="shared" si="18"/>
        <v>-2.2967954889286046E-2</v>
      </c>
      <c r="V252" s="123">
        <v>417.62</v>
      </c>
      <c r="X252" s="50">
        <f t="shared" si="19"/>
        <v>-2.5794124671602026E-3</v>
      </c>
    </row>
    <row r="253" spans="4:24" x14ac:dyDescent="0.25">
      <c r="D253" s="122">
        <v>44088</v>
      </c>
      <c r="F253" s="123">
        <v>11504.95</v>
      </c>
      <c r="H253" s="50">
        <f t="shared" si="15"/>
        <v>4.1148390307911731E-2</v>
      </c>
      <c r="J253" s="123">
        <v>107.74</v>
      </c>
      <c r="L253" s="50">
        <f t="shared" si="16"/>
        <v>7.4070381816369268E-2</v>
      </c>
      <c r="N253" s="123">
        <v>1422.87</v>
      </c>
      <c r="P253" s="50">
        <f t="shared" si="17"/>
        <v>0.12801750449900484</v>
      </c>
      <c r="R253" s="123">
        <v>76.48</v>
      </c>
      <c r="T253" s="50">
        <f t="shared" si="18"/>
        <v>7.6576576576576461E-2</v>
      </c>
      <c r="V253" s="123">
        <v>450.11</v>
      </c>
      <c r="X253" s="50">
        <f t="shared" si="19"/>
        <v>7.7797998180163752E-2</v>
      </c>
    </row>
    <row r="254" spans="4:24" x14ac:dyDescent="0.25">
      <c r="D254" s="122">
        <v>44081</v>
      </c>
      <c r="F254" s="123">
        <v>11464.45</v>
      </c>
      <c r="H254" s="50">
        <f t="shared" si="15"/>
        <v>-3.5202239036240535E-3</v>
      </c>
      <c r="J254" s="123">
        <v>109.09</v>
      </c>
      <c r="L254" s="50">
        <f t="shared" si="16"/>
        <v>1.2530165212548905E-2</v>
      </c>
      <c r="N254" s="123">
        <v>1413.2</v>
      </c>
      <c r="P254" s="50">
        <f t="shared" si="17"/>
        <v>-6.7961233282027855E-3</v>
      </c>
      <c r="R254" s="123">
        <v>76.28</v>
      </c>
      <c r="T254" s="50">
        <f t="shared" si="18"/>
        <v>-2.6150627615063593E-3</v>
      </c>
      <c r="V254" s="123">
        <v>426.65</v>
      </c>
      <c r="X254" s="50">
        <f t="shared" si="19"/>
        <v>-5.2120592743995942E-2</v>
      </c>
    </row>
    <row r="255" spans="4:24" x14ac:dyDescent="0.25">
      <c r="D255" s="122">
        <v>44074</v>
      </c>
      <c r="F255" s="123">
        <v>11333.85</v>
      </c>
      <c r="H255" s="50">
        <f t="shared" si="15"/>
        <v>-1.1391737065450158E-2</v>
      </c>
      <c r="J255" s="123">
        <v>113.72</v>
      </c>
      <c r="L255" s="50">
        <f t="shared" si="16"/>
        <v>4.244202035016964E-2</v>
      </c>
      <c r="N255" s="123">
        <v>1412.32</v>
      </c>
      <c r="P255" s="50">
        <f t="shared" si="17"/>
        <v>-6.2270025474109314E-4</v>
      </c>
      <c r="R255" s="123">
        <v>77.069999999999993</v>
      </c>
      <c r="T255" s="50">
        <f t="shared" si="18"/>
        <v>1.0356581017304523E-2</v>
      </c>
      <c r="V255" s="123">
        <v>435.62</v>
      </c>
      <c r="X255" s="50">
        <f t="shared" si="19"/>
        <v>2.1024258760107939E-2</v>
      </c>
    </row>
    <row r="256" spans="4:24" x14ac:dyDescent="0.25">
      <c r="D256" s="122">
        <v>44067</v>
      </c>
      <c r="F256" s="123">
        <v>11647.6</v>
      </c>
      <c r="H256" s="50">
        <f t="shared" si="15"/>
        <v>2.7682561530283145E-2</v>
      </c>
      <c r="J256" s="123">
        <v>118.16</v>
      </c>
      <c r="L256" s="50">
        <f t="shared" si="16"/>
        <v>3.9043264157579971E-2</v>
      </c>
      <c r="N256" s="123">
        <v>1434.34</v>
      </c>
      <c r="P256" s="50">
        <f t="shared" si="17"/>
        <v>1.5591367395491051E-2</v>
      </c>
      <c r="R256" s="123">
        <v>83.48</v>
      </c>
      <c r="T256" s="50">
        <f t="shared" si="18"/>
        <v>8.3171143116647306E-2</v>
      </c>
      <c r="V256" s="123">
        <v>440.99</v>
      </c>
      <c r="X256" s="50">
        <f t="shared" si="19"/>
        <v>1.232725770166665E-2</v>
      </c>
    </row>
    <row r="257" spans="4:24" x14ac:dyDescent="0.25">
      <c r="D257" s="122">
        <v>44060</v>
      </c>
      <c r="F257" s="123">
        <v>11371.6</v>
      </c>
      <c r="H257" s="50">
        <f t="shared" si="15"/>
        <v>-2.3695868676808951E-2</v>
      </c>
      <c r="J257" s="123">
        <v>102.83</v>
      </c>
      <c r="L257" s="50">
        <f t="shared" si="16"/>
        <v>-0.12973933649289093</v>
      </c>
      <c r="N257" s="123">
        <v>1439.81</v>
      </c>
      <c r="P257" s="50">
        <f t="shared" si="17"/>
        <v>3.8136006804523337E-3</v>
      </c>
      <c r="R257" s="123">
        <v>79.17</v>
      </c>
      <c r="T257" s="50">
        <f t="shared" si="18"/>
        <v>-5.1629132726401572E-2</v>
      </c>
      <c r="V257" s="123">
        <v>428.27</v>
      </c>
      <c r="X257" s="50">
        <f t="shared" si="19"/>
        <v>-2.8844191478264891E-2</v>
      </c>
    </row>
    <row r="258" spans="4:24" x14ac:dyDescent="0.25">
      <c r="D258" s="122">
        <v>44053</v>
      </c>
      <c r="F258" s="123">
        <v>11178.4</v>
      </c>
      <c r="H258" s="50">
        <f t="shared" si="15"/>
        <v>-1.6989693622709301E-2</v>
      </c>
      <c r="J258" s="123">
        <v>99.47</v>
      </c>
      <c r="L258" s="50">
        <f t="shared" si="16"/>
        <v>-3.2675289312457445E-2</v>
      </c>
      <c r="N258" s="123">
        <v>1353.38</v>
      </c>
      <c r="P258" s="50">
        <f t="shared" si="17"/>
        <v>-6.0028753793903267E-2</v>
      </c>
      <c r="R258" s="123">
        <v>82.31</v>
      </c>
      <c r="T258" s="50">
        <f t="shared" si="18"/>
        <v>3.9661487937350026E-2</v>
      </c>
      <c r="V258" s="123">
        <v>413</v>
      </c>
      <c r="X258" s="50">
        <f t="shared" si="19"/>
        <v>-3.5655077404441071E-2</v>
      </c>
    </row>
    <row r="259" spans="4:24" x14ac:dyDescent="0.25">
      <c r="D259" s="122">
        <v>44046</v>
      </c>
      <c r="F259" s="123">
        <v>11214.05</v>
      </c>
      <c r="H259" s="50">
        <f t="shared" si="15"/>
        <v>3.1891862878408173E-3</v>
      </c>
      <c r="J259" s="123">
        <v>99</v>
      </c>
      <c r="L259" s="50">
        <f t="shared" si="16"/>
        <v>-4.7250427264501349E-3</v>
      </c>
      <c r="N259" s="123">
        <v>1285.5899999999999</v>
      </c>
      <c r="P259" s="50">
        <f t="shared" si="17"/>
        <v>-5.0089405784037089E-2</v>
      </c>
      <c r="R259" s="123">
        <v>80.59</v>
      </c>
      <c r="T259" s="50">
        <f t="shared" si="18"/>
        <v>-2.0896610375410019E-2</v>
      </c>
      <c r="V259" s="123">
        <v>385.67</v>
      </c>
      <c r="X259" s="50">
        <f t="shared" si="19"/>
        <v>-6.6174334140435831E-2</v>
      </c>
    </row>
    <row r="260" spans="4:24" x14ac:dyDescent="0.25">
      <c r="D260" s="122">
        <v>44039</v>
      </c>
      <c r="F260" s="123">
        <v>11073.45</v>
      </c>
      <c r="H260" s="50">
        <f t="shared" si="15"/>
        <v>-1.2537843152117034E-2</v>
      </c>
      <c r="J260" s="123">
        <v>98.54</v>
      </c>
      <c r="L260" s="50">
        <f t="shared" si="16"/>
        <v>-4.6464646464645654E-3</v>
      </c>
      <c r="N260" s="123">
        <v>1181.18</v>
      </c>
      <c r="P260" s="50">
        <f t="shared" si="17"/>
        <v>-8.1215628621877811E-2</v>
      </c>
      <c r="R260" s="123">
        <v>79.66</v>
      </c>
      <c r="T260" s="50">
        <f t="shared" si="18"/>
        <v>-1.153989328700844E-2</v>
      </c>
      <c r="V260" s="123">
        <v>369.61</v>
      </c>
      <c r="X260" s="50">
        <f t="shared" si="19"/>
        <v>-4.1641818134674713E-2</v>
      </c>
    </row>
    <row r="261" spans="4:24" x14ac:dyDescent="0.25">
      <c r="D261" s="122">
        <v>44032</v>
      </c>
      <c r="F261" s="123">
        <v>11194.15</v>
      </c>
      <c r="H261" s="50">
        <f t="shared" si="15"/>
        <v>1.0899945364813979E-2</v>
      </c>
      <c r="J261" s="123">
        <v>104.7</v>
      </c>
      <c r="L261" s="50">
        <f t="shared" si="16"/>
        <v>6.2512685203978124E-2</v>
      </c>
      <c r="N261" s="123">
        <v>1246.3800000000001</v>
      </c>
      <c r="P261" s="50">
        <f t="shared" si="17"/>
        <v>5.5199038249885701E-2</v>
      </c>
      <c r="R261" s="123">
        <v>82.99</v>
      </c>
      <c r="T261" s="50">
        <f t="shared" si="18"/>
        <v>4.1802661310569977E-2</v>
      </c>
      <c r="V261" s="123">
        <v>363.67</v>
      </c>
      <c r="X261" s="50">
        <f t="shared" si="19"/>
        <v>-1.6070993750169071E-2</v>
      </c>
    </row>
    <row r="262" spans="4:24" x14ac:dyDescent="0.25">
      <c r="D262" s="122">
        <v>44025</v>
      </c>
      <c r="F262" s="123">
        <v>10901.7</v>
      </c>
      <c r="H262" s="50">
        <f t="shared" si="15"/>
        <v>-2.612525292228518E-2</v>
      </c>
      <c r="J262" s="123">
        <v>99.19</v>
      </c>
      <c r="L262" s="50">
        <f t="shared" si="16"/>
        <v>-5.2626552053486209E-2</v>
      </c>
      <c r="N262" s="123">
        <v>1251.55</v>
      </c>
      <c r="P262" s="50">
        <f t="shared" si="17"/>
        <v>4.148012644618726E-3</v>
      </c>
      <c r="R262" s="123">
        <v>84.12</v>
      </c>
      <c r="T262" s="50">
        <f t="shared" si="18"/>
        <v>1.3616098325099468E-2</v>
      </c>
      <c r="V262" s="123">
        <v>354.06</v>
      </c>
      <c r="X262" s="50">
        <f t="shared" si="19"/>
        <v>-2.642505568234943E-2</v>
      </c>
    </row>
    <row r="263" spans="4:24" x14ac:dyDescent="0.25">
      <c r="D263" s="122">
        <v>44018</v>
      </c>
      <c r="F263" s="123">
        <v>10768.05</v>
      </c>
      <c r="H263" s="50">
        <f t="shared" si="15"/>
        <v>-1.2259555849087889E-2</v>
      </c>
      <c r="J263" s="123">
        <v>103.35</v>
      </c>
      <c r="L263" s="50">
        <f t="shared" si="16"/>
        <v>4.1939711664482182E-2</v>
      </c>
      <c r="N263" s="123">
        <v>1258.99</v>
      </c>
      <c r="P263" s="50">
        <f t="shared" si="17"/>
        <v>5.944628660460971E-3</v>
      </c>
      <c r="R263" s="123">
        <v>85.69</v>
      </c>
      <c r="T263" s="50">
        <f t="shared" si="18"/>
        <v>1.866381359961955E-2</v>
      </c>
      <c r="V263" s="123">
        <v>361.74</v>
      </c>
      <c r="X263" s="50">
        <f t="shared" si="19"/>
        <v>2.1691238773089427E-2</v>
      </c>
    </row>
    <row r="264" spans="4:24" x14ac:dyDescent="0.25">
      <c r="D264" s="122">
        <v>44011</v>
      </c>
      <c r="F264" s="123">
        <v>10607.35</v>
      </c>
      <c r="H264" s="50">
        <f t="shared" si="15"/>
        <v>-1.4923779142927307E-2</v>
      </c>
      <c r="J264" s="123">
        <v>104.52</v>
      </c>
      <c r="L264" s="50">
        <f t="shared" si="16"/>
        <v>1.132075471698113E-2</v>
      </c>
      <c r="N264" s="123">
        <v>1190.42</v>
      </c>
      <c r="P264" s="50">
        <f t="shared" si="17"/>
        <v>-5.4464292806138181E-2</v>
      </c>
      <c r="R264" s="123">
        <v>84.32</v>
      </c>
      <c r="T264" s="50">
        <f t="shared" si="18"/>
        <v>-1.5987863227914678E-2</v>
      </c>
      <c r="V264" s="123">
        <v>377.98</v>
      </c>
      <c r="X264" s="50">
        <f t="shared" si="19"/>
        <v>4.4894122850666296E-2</v>
      </c>
    </row>
    <row r="265" spans="4:24" x14ac:dyDescent="0.25">
      <c r="D265" s="122">
        <v>44004</v>
      </c>
      <c r="F265" s="123">
        <v>10383</v>
      </c>
      <c r="H265" s="50">
        <f t="shared" si="15"/>
        <v>-2.1150428712166547E-2</v>
      </c>
      <c r="J265" s="123">
        <v>103.35</v>
      </c>
      <c r="L265" s="50">
        <f t="shared" si="16"/>
        <v>-1.1194029850746245E-2</v>
      </c>
      <c r="N265" s="123">
        <v>1226.72</v>
      </c>
      <c r="P265" s="50">
        <f t="shared" si="17"/>
        <v>3.0493439290334434E-2</v>
      </c>
      <c r="R265" s="123">
        <v>85.3</v>
      </c>
      <c r="T265" s="50">
        <f t="shared" si="18"/>
        <v>1.1622390891840695E-2</v>
      </c>
      <c r="V265" s="123">
        <v>377.84</v>
      </c>
      <c r="X265" s="50">
        <f t="shared" si="19"/>
        <v>-3.7038996772331689E-4</v>
      </c>
    </row>
    <row r="266" spans="4:24" x14ac:dyDescent="0.25">
      <c r="D266" s="122">
        <v>43997</v>
      </c>
      <c r="F266" s="123">
        <v>10244.4</v>
      </c>
      <c r="H266" s="50">
        <f t="shared" si="15"/>
        <v>-1.3348743137821528E-2</v>
      </c>
      <c r="J266" s="123">
        <v>96.48</v>
      </c>
      <c r="L266" s="50">
        <f t="shared" si="16"/>
        <v>-6.6473149492017325E-2</v>
      </c>
      <c r="N266" s="123">
        <v>1214.5899999999999</v>
      </c>
      <c r="P266" s="50">
        <f t="shared" si="17"/>
        <v>-9.888157036650691E-3</v>
      </c>
      <c r="R266" s="123">
        <v>84.81</v>
      </c>
      <c r="T266" s="50">
        <f t="shared" si="18"/>
        <v>-5.7444314185227663E-3</v>
      </c>
      <c r="V266" s="123">
        <v>346.24</v>
      </c>
      <c r="X266" s="50">
        <f t="shared" si="19"/>
        <v>-8.3633283929705593E-2</v>
      </c>
    </row>
    <row r="267" spans="4:24" x14ac:dyDescent="0.25">
      <c r="D267" s="122">
        <v>43990</v>
      </c>
      <c r="F267" s="123">
        <v>9972.9</v>
      </c>
      <c r="H267" s="50">
        <f t="shared" si="15"/>
        <v>-2.6502284174768631E-2</v>
      </c>
      <c r="J267" s="123">
        <v>95.22</v>
      </c>
      <c r="L267" s="50">
        <f t="shared" si="16"/>
        <v>-1.3059701492537323E-2</v>
      </c>
      <c r="N267" s="123">
        <v>1068.1199999999999</v>
      </c>
      <c r="P267" s="50">
        <f t="shared" si="17"/>
        <v>-0.12059213397113433</v>
      </c>
      <c r="R267" s="123">
        <v>75.89</v>
      </c>
      <c r="T267" s="50">
        <f t="shared" si="18"/>
        <v>-0.10517627638250204</v>
      </c>
      <c r="V267" s="123">
        <v>360.59</v>
      </c>
      <c r="X267" s="50">
        <f t="shared" si="19"/>
        <v>4.1445240295748587E-2</v>
      </c>
    </row>
    <row r="268" spans="4:24" x14ac:dyDescent="0.25">
      <c r="D268" s="122">
        <v>43983</v>
      </c>
      <c r="F268" s="123">
        <v>10142.15</v>
      </c>
      <c r="H268" s="50">
        <f t="shared" si="15"/>
        <v>1.6970991386657808E-2</v>
      </c>
      <c r="J268" s="123">
        <v>100.78</v>
      </c>
      <c r="L268" s="50">
        <f t="shared" si="16"/>
        <v>5.8391094307918445E-2</v>
      </c>
      <c r="N268" s="123">
        <v>1097.92</v>
      </c>
      <c r="P268" s="50">
        <f t="shared" si="17"/>
        <v>2.7899486949032104E-2</v>
      </c>
      <c r="R268" s="123">
        <v>80.45</v>
      </c>
      <c r="T268" s="50">
        <f t="shared" si="18"/>
        <v>6.0086967979971151E-2</v>
      </c>
      <c r="V268" s="123">
        <v>353.69</v>
      </c>
      <c r="X268" s="50">
        <f t="shared" si="19"/>
        <v>-1.91353060262347E-2</v>
      </c>
    </row>
    <row r="269" spans="4:24" x14ac:dyDescent="0.25">
      <c r="D269" s="122">
        <v>43976</v>
      </c>
      <c r="F269" s="123">
        <v>9580.2999999999993</v>
      </c>
      <c r="H269" s="50">
        <f t="shared" si="15"/>
        <v>-5.5397524193588232E-2</v>
      </c>
      <c r="J269" s="123">
        <v>95.69</v>
      </c>
      <c r="L269" s="50">
        <f t="shared" si="16"/>
        <v>-5.050605278825171E-2</v>
      </c>
      <c r="N269" s="123">
        <v>957.7</v>
      </c>
      <c r="P269" s="50">
        <f t="shared" si="17"/>
        <v>-0.12771422325852522</v>
      </c>
      <c r="R269" s="123">
        <v>67.709999999999994</v>
      </c>
      <c r="T269" s="50">
        <f t="shared" si="18"/>
        <v>-0.1583592293349908</v>
      </c>
      <c r="V269" s="123">
        <v>346.33</v>
      </c>
      <c r="X269" s="50">
        <f t="shared" si="19"/>
        <v>-2.0809183183013391E-2</v>
      </c>
    </row>
    <row r="270" spans="4:24" x14ac:dyDescent="0.25">
      <c r="D270" s="122">
        <v>43969</v>
      </c>
      <c r="F270" s="123">
        <v>9039.25</v>
      </c>
      <c r="H270" s="50">
        <f t="shared" ref="H270:H273" si="20">F270/F269-1</f>
        <v>-5.6475266954061909E-2</v>
      </c>
      <c r="J270" s="123">
        <v>96.43</v>
      </c>
      <c r="L270" s="50">
        <f t="shared" ref="L270:L272" si="21">J270/J269-1</f>
        <v>7.7333054655659428E-3</v>
      </c>
      <c r="N270" s="123">
        <v>876.38</v>
      </c>
      <c r="P270" s="50">
        <f t="shared" ref="P270:P273" si="22">N270/N269-1</f>
        <v>-8.4911767776965741E-2</v>
      </c>
      <c r="R270" s="123">
        <v>70.06</v>
      </c>
      <c r="T270" s="50">
        <f t="shared" ref="T270:T273" si="23">R270/R269-1</f>
        <v>3.4706837985526651E-2</v>
      </c>
      <c r="V270" s="123">
        <v>303.39999999999998</v>
      </c>
      <c r="X270" s="50">
        <f t="shared" ref="X270:X273" si="24">V270/V269-1</f>
        <v>-0.12395691970086331</v>
      </c>
    </row>
    <row r="271" spans="4:24" x14ac:dyDescent="0.25">
      <c r="D271" s="122">
        <v>43962</v>
      </c>
      <c r="F271" s="123">
        <v>9136.85</v>
      </c>
      <c r="H271" s="50">
        <f t="shared" si="20"/>
        <v>1.0797355975329825E-2</v>
      </c>
      <c r="J271" s="123">
        <v>101.67</v>
      </c>
      <c r="L271" s="50">
        <f t="shared" si="21"/>
        <v>5.4339935704656117E-2</v>
      </c>
      <c r="N271" s="123">
        <v>903.77</v>
      </c>
      <c r="P271" s="50">
        <f t="shared" si="22"/>
        <v>3.1253565804787886E-2</v>
      </c>
      <c r="R271" s="123">
        <v>73.98</v>
      </c>
      <c r="T271" s="50">
        <f t="shared" si="23"/>
        <v>5.5952041107621975E-2</v>
      </c>
      <c r="V271" s="123">
        <v>311.36</v>
      </c>
      <c r="X271" s="50">
        <f t="shared" si="24"/>
        <v>2.6235992089650662E-2</v>
      </c>
    </row>
    <row r="272" spans="4:24" x14ac:dyDescent="0.25">
      <c r="D272" s="122">
        <v>43955</v>
      </c>
      <c r="F272" s="123">
        <v>9251.5</v>
      </c>
      <c r="H272" s="50">
        <f t="shared" si="20"/>
        <v>1.2548088236098875E-2</v>
      </c>
      <c r="J272" s="123">
        <v>102.6</v>
      </c>
      <c r="L272" s="50">
        <f t="shared" si="21"/>
        <v>9.1472410740631727E-3</v>
      </c>
      <c r="N272" s="123">
        <v>838.02</v>
      </c>
      <c r="P272" s="50">
        <f t="shared" si="22"/>
        <v>-7.2750810493820373E-2</v>
      </c>
      <c r="R272" s="123">
        <v>74.91</v>
      </c>
      <c r="T272" s="50">
        <f t="shared" si="23"/>
        <v>1.2570965125709543E-2</v>
      </c>
      <c r="V272" s="123">
        <v>329.53</v>
      </c>
      <c r="X272" s="50">
        <f t="shared" si="24"/>
        <v>5.8356885919835344E-2</v>
      </c>
    </row>
    <row r="273" spans="4:24" x14ac:dyDescent="0.25">
      <c r="D273" s="122">
        <v>43948</v>
      </c>
      <c r="F273" s="123">
        <v>9859.9</v>
      </c>
      <c r="H273" s="50">
        <f t="shared" si="20"/>
        <v>6.576230881478673E-2</v>
      </c>
      <c r="J273" s="123">
        <v>106.01</v>
      </c>
      <c r="L273" s="50">
        <f>J273/J272-1</f>
        <v>3.3235867446393952E-2</v>
      </c>
      <c r="N273" s="123">
        <v>842.15</v>
      </c>
      <c r="P273" s="50">
        <f t="shared" si="22"/>
        <v>4.9282833345265509E-3</v>
      </c>
      <c r="R273" s="123">
        <v>77.8</v>
      </c>
      <c r="T273" s="50">
        <f t="shared" si="23"/>
        <v>3.8579628887998929E-2</v>
      </c>
      <c r="V273" s="123">
        <v>347.39</v>
      </c>
      <c r="X273" s="50">
        <f t="shared" si="24"/>
        <v>5.4198403787212079E-2</v>
      </c>
    </row>
    <row r="274" spans="4:24" ht="14.4" x14ac:dyDescent="0.25">
      <c r="D274" s="117"/>
      <c r="F274" s="118"/>
      <c r="H274" s="50"/>
    </row>
    <row r="275" spans="4:24" ht="14.4" x14ac:dyDescent="0.25">
      <c r="D275" s="117"/>
      <c r="F275" s="118"/>
      <c r="H275" s="50"/>
    </row>
    <row r="276" spans="4:24" ht="14.4" x14ac:dyDescent="0.25">
      <c r="D276" s="117"/>
      <c r="F276" s="118"/>
      <c r="H276" s="50"/>
    </row>
    <row r="277" spans="4:24" ht="14.4" x14ac:dyDescent="0.25">
      <c r="D277" s="117"/>
      <c r="F277" s="118"/>
      <c r="H277" s="50"/>
    </row>
    <row r="278" spans="4:24" ht="14.4" x14ac:dyDescent="0.25">
      <c r="D278" s="117"/>
      <c r="F278" s="118"/>
      <c r="H278" s="50"/>
    </row>
    <row r="279" spans="4:24" ht="14.4" x14ac:dyDescent="0.25">
      <c r="D279" s="117"/>
      <c r="F279" s="118"/>
      <c r="H279" s="50"/>
    </row>
    <row r="280" spans="4:24" ht="14.4" x14ac:dyDescent="0.25">
      <c r="D280" s="117"/>
      <c r="F280" s="118"/>
      <c r="H280" s="50"/>
    </row>
    <row r="281" spans="4:24" ht="14.4" x14ac:dyDescent="0.25">
      <c r="D281" s="117"/>
      <c r="F281" s="118"/>
      <c r="H281" s="50"/>
    </row>
    <row r="282" spans="4:24" ht="14.4" x14ac:dyDescent="0.25">
      <c r="D282" s="117"/>
      <c r="F282" s="118"/>
      <c r="H282" s="50"/>
    </row>
    <row r="283" spans="4:24" ht="14.4" x14ac:dyDescent="0.25">
      <c r="D283" s="117"/>
      <c r="F283" s="118"/>
      <c r="H283" s="50"/>
    </row>
    <row r="284" spans="4:24" ht="14.4" x14ac:dyDescent="0.25">
      <c r="D284" s="117"/>
      <c r="F284" s="118"/>
      <c r="H284" s="50"/>
    </row>
    <row r="285" spans="4:24" ht="14.4" x14ac:dyDescent="0.25">
      <c r="D285" s="117"/>
      <c r="F285" s="118"/>
      <c r="H285" s="50"/>
    </row>
    <row r="286" spans="4:24" ht="14.4" x14ac:dyDescent="0.25">
      <c r="D286" s="117"/>
      <c r="F286" s="118"/>
      <c r="H286" s="50"/>
    </row>
    <row r="287" spans="4:24" ht="14.4" x14ac:dyDescent="0.25">
      <c r="D287" s="117"/>
      <c r="F287" s="118"/>
      <c r="H287" s="50"/>
    </row>
    <row r="288" spans="4:24" ht="14.4" x14ac:dyDescent="0.25">
      <c r="D288" s="117"/>
      <c r="F288" s="118"/>
      <c r="H288" s="50"/>
    </row>
    <row r="289" spans="4:8" ht="14.4" x14ac:dyDescent="0.25">
      <c r="D289" s="117"/>
      <c r="F289" s="118"/>
      <c r="H289" s="50"/>
    </row>
    <row r="290" spans="4:8" ht="14.4" x14ac:dyDescent="0.25">
      <c r="D290" s="117"/>
      <c r="F290" s="118"/>
      <c r="H290" s="50"/>
    </row>
    <row r="291" spans="4:8" ht="14.4" x14ac:dyDescent="0.25">
      <c r="D291" s="117"/>
      <c r="F291" s="118"/>
      <c r="H291" s="50"/>
    </row>
    <row r="292" spans="4:8" ht="14.4" x14ac:dyDescent="0.25">
      <c r="D292" s="117"/>
      <c r="F292" s="118"/>
      <c r="H292" s="50"/>
    </row>
    <row r="293" spans="4:8" ht="14.4" x14ac:dyDescent="0.25">
      <c r="D293" s="117"/>
      <c r="F293" s="118"/>
      <c r="H293" s="50"/>
    </row>
    <row r="294" spans="4:8" ht="14.4" x14ac:dyDescent="0.25">
      <c r="D294" s="117"/>
      <c r="F294" s="118"/>
      <c r="H294" s="50"/>
    </row>
    <row r="295" spans="4:8" ht="14.4" x14ac:dyDescent="0.25">
      <c r="D295" s="117"/>
      <c r="F295" s="118"/>
      <c r="H295" s="50"/>
    </row>
    <row r="296" spans="4:8" ht="14.4" x14ac:dyDescent="0.25">
      <c r="D296" s="117"/>
      <c r="F296" s="118"/>
      <c r="H296" s="50"/>
    </row>
    <row r="297" spans="4:8" ht="14.4" x14ac:dyDescent="0.25">
      <c r="D297" s="117"/>
      <c r="F297" s="118"/>
      <c r="H297" s="50"/>
    </row>
    <row r="298" spans="4:8" ht="14.4" x14ac:dyDescent="0.25">
      <c r="D298" s="117"/>
      <c r="F298" s="118"/>
      <c r="H298" s="50"/>
    </row>
    <row r="299" spans="4:8" ht="14.4" x14ac:dyDescent="0.25">
      <c r="D299" s="117"/>
      <c r="F299" s="118"/>
      <c r="H299" s="50"/>
    </row>
    <row r="300" spans="4:8" ht="14.4" x14ac:dyDescent="0.25">
      <c r="D300" s="117"/>
      <c r="F300" s="118"/>
      <c r="H300" s="50"/>
    </row>
    <row r="301" spans="4:8" ht="14.4" x14ac:dyDescent="0.25">
      <c r="D301" s="117"/>
      <c r="F301" s="118"/>
      <c r="H301" s="50"/>
    </row>
    <row r="302" spans="4:8" ht="14.4" x14ac:dyDescent="0.25">
      <c r="D302" s="117"/>
      <c r="F302" s="118"/>
      <c r="H302" s="50"/>
    </row>
    <row r="303" spans="4:8" ht="14.4" x14ac:dyDescent="0.25">
      <c r="D303" s="117"/>
      <c r="F303" s="118"/>
      <c r="H303" s="50"/>
    </row>
    <row r="304" spans="4:8" ht="14.4" x14ac:dyDescent="0.25">
      <c r="D304" s="117"/>
      <c r="F304" s="118"/>
      <c r="H304" s="50"/>
    </row>
    <row r="305" spans="4:8" ht="14.4" x14ac:dyDescent="0.25">
      <c r="D305" s="117"/>
      <c r="F305" s="118"/>
      <c r="H305" s="50"/>
    </row>
    <row r="306" spans="4:8" ht="14.4" x14ac:dyDescent="0.25">
      <c r="D306" s="117"/>
      <c r="F306" s="118"/>
      <c r="H306" s="50"/>
    </row>
    <row r="307" spans="4:8" ht="14.4" x14ac:dyDescent="0.25">
      <c r="D307" s="117"/>
      <c r="F307" s="118"/>
      <c r="H307" s="50"/>
    </row>
    <row r="308" spans="4:8" ht="14.4" x14ac:dyDescent="0.25">
      <c r="D308" s="117"/>
      <c r="F308" s="118"/>
      <c r="H308" s="50"/>
    </row>
    <row r="309" spans="4:8" ht="14.4" x14ac:dyDescent="0.25">
      <c r="D309" s="117"/>
      <c r="F309" s="118"/>
      <c r="H309" s="50"/>
    </row>
    <row r="310" spans="4:8" ht="14.4" x14ac:dyDescent="0.25">
      <c r="D310" s="117"/>
      <c r="F310" s="118"/>
      <c r="H310" s="50"/>
    </row>
    <row r="311" spans="4:8" ht="14.4" x14ac:dyDescent="0.25">
      <c r="D311" s="117"/>
      <c r="F311" s="118"/>
      <c r="H311" s="50"/>
    </row>
    <row r="312" spans="4:8" ht="14.4" x14ac:dyDescent="0.25">
      <c r="D312" s="117"/>
      <c r="F312" s="118"/>
      <c r="H312" s="50"/>
    </row>
    <row r="313" spans="4:8" ht="14.4" x14ac:dyDescent="0.25">
      <c r="D313" s="117"/>
      <c r="F313" s="118"/>
      <c r="H313" s="50"/>
    </row>
    <row r="314" spans="4:8" ht="14.4" x14ac:dyDescent="0.25">
      <c r="D314" s="117"/>
      <c r="F314" s="118"/>
      <c r="H314" s="50"/>
    </row>
    <row r="315" spans="4:8" ht="14.4" x14ac:dyDescent="0.25">
      <c r="D315" s="117"/>
      <c r="F315" s="118"/>
      <c r="H315" s="50"/>
    </row>
    <row r="316" spans="4:8" ht="14.4" x14ac:dyDescent="0.25">
      <c r="D316" s="117"/>
      <c r="F316" s="118"/>
      <c r="H316" s="50"/>
    </row>
    <row r="317" spans="4:8" ht="14.4" x14ac:dyDescent="0.25">
      <c r="D317" s="117"/>
      <c r="F317" s="118"/>
      <c r="H317" s="50"/>
    </row>
    <row r="318" spans="4:8" ht="14.4" x14ac:dyDescent="0.25">
      <c r="D318" s="117"/>
      <c r="F318" s="118"/>
      <c r="H318" s="50"/>
    </row>
    <row r="319" spans="4:8" ht="14.4" x14ac:dyDescent="0.25">
      <c r="D319" s="117"/>
      <c r="F319" s="118"/>
      <c r="H319" s="50"/>
    </row>
    <row r="320" spans="4:8" ht="14.4" x14ac:dyDescent="0.25">
      <c r="D320" s="117"/>
      <c r="F320" s="118"/>
      <c r="H320" s="50"/>
    </row>
    <row r="321" spans="4:8" ht="14.4" x14ac:dyDescent="0.25">
      <c r="D321" s="117"/>
      <c r="F321" s="118"/>
      <c r="H321" s="50"/>
    </row>
    <row r="322" spans="4:8" ht="14.4" x14ac:dyDescent="0.25">
      <c r="D322" s="117"/>
      <c r="F322" s="118"/>
      <c r="H322" s="50"/>
    </row>
    <row r="323" spans="4:8" ht="14.4" x14ac:dyDescent="0.25">
      <c r="D323" s="117"/>
      <c r="F323" s="118"/>
      <c r="H323" s="50"/>
    </row>
    <row r="324" spans="4:8" ht="14.4" x14ac:dyDescent="0.25">
      <c r="D324" s="117"/>
      <c r="F324" s="118"/>
      <c r="H324" s="50"/>
    </row>
    <row r="325" spans="4:8" ht="14.4" x14ac:dyDescent="0.25">
      <c r="D325" s="117"/>
      <c r="F325" s="118"/>
      <c r="H325" s="50"/>
    </row>
    <row r="326" spans="4:8" ht="14.4" x14ac:dyDescent="0.25">
      <c r="D326" s="117"/>
      <c r="F326" s="118"/>
      <c r="H326" s="50"/>
    </row>
    <row r="327" spans="4:8" ht="14.4" x14ac:dyDescent="0.25">
      <c r="D327" s="117"/>
      <c r="F327" s="118"/>
      <c r="H327" s="50"/>
    </row>
    <row r="328" spans="4:8" ht="14.4" x14ac:dyDescent="0.25">
      <c r="D328" s="117"/>
      <c r="F328" s="118"/>
      <c r="H328" s="50"/>
    </row>
    <row r="329" spans="4:8" ht="14.4" x14ac:dyDescent="0.25">
      <c r="D329" s="117"/>
      <c r="F329" s="118"/>
      <c r="H329" s="50"/>
    </row>
    <row r="330" spans="4:8" ht="14.4" x14ac:dyDescent="0.25">
      <c r="D330" s="117"/>
      <c r="F330" s="118"/>
      <c r="H330" s="50"/>
    </row>
    <row r="331" spans="4:8" ht="14.4" x14ac:dyDescent="0.25">
      <c r="D331" s="117"/>
      <c r="F331" s="118"/>
      <c r="H331" s="50"/>
    </row>
    <row r="332" spans="4:8" ht="14.4" x14ac:dyDescent="0.25">
      <c r="D332" s="117"/>
      <c r="F332" s="118"/>
      <c r="H332" s="50"/>
    </row>
    <row r="333" spans="4:8" ht="14.4" x14ac:dyDescent="0.25">
      <c r="D333" s="117"/>
      <c r="F333" s="118"/>
      <c r="H333" s="50"/>
    </row>
    <row r="334" spans="4:8" ht="14.4" x14ac:dyDescent="0.25">
      <c r="D334" s="117"/>
      <c r="F334" s="118"/>
      <c r="H334" s="50"/>
    </row>
    <row r="335" spans="4:8" ht="14.4" x14ac:dyDescent="0.25">
      <c r="D335" s="117"/>
      <c r="F335" s="118"/>
      <c r="H335" s="50"/>
    </row>
    <row r="336" spans="4:8" ht="14.4" x14ac:dyDescent="0.25">
      <c r="D336" s="117"/>
      <c r="F336" s="118"/>
      <c r="H336" s="50"/>
    </row>
    <row r="337" spans="4:8" ht="14.4" x14ac:dyDescent="0.25">
      <c r="D337" s="117"/>
      <c r="F337" s="118"/>
      <c r="H337" s="50"/>
    </row>
    <row r="338" spans="4:8" ht="14.4" x14ac:dyDescent="0.25">
      <c r="D338" s="117"/>
      <c r="F338" s="118"/>
      <c r="H338" s="50"/>
    </row>
    <row r="339" spans="4:8" ht="14.4" x14ac:dyDescent="0.25">
      <c r="D339" s="117"/>
      <c r="F339" s="118"/>
      <c r="H339" s="50"/>
    </row>
    <row r="340" spans="4:8" ht="14.4" x14ac:dyDescent="0.25">
      <c r="D340" s="117"/>
      <c r="F340" s="118"/>
      <c r="H340" s="50"/>
    </row>
    <row r="341" spans="4:8" ht="14.4" x14ac:dyDescent="0.25">
      <c r="D341" s="117"/>
      <c r="F341" s="118"/>
      <c r="H341" s="50"/>
    </row>
    <row r="342" spans="4:8" ht="14.4" x14ac:dyDescent="0.25">
      <c r="D342" s="117"/>
      <c r="F342" s="118"/>
      <c r="H342" s="50"/>
    </row>
    <row r="343" spans="4:8" ht="14.4" x14ac:dyDescent="0.25">
      <c r="D343" s="117"/>
      <c r="F343" s="118"/>
      <c r="H343" s="50"/>
    </row>
    <row r="344" spans="4:8" ht="14.4" x14ac:dyDescent="0.25">
      <c r="D344" s="117"/>
      <c r="F344" s="118"/>
      <c r="H344" s="50"/>
    </row>
    <row r="345" spans="4:8" ht="14.4" x14ac:dyDescent="0.25">
      <c r="D345" s="117"/>
      <c r="F345" s="118"/>
      <c r="H345" s="50"/>
    </row>
    <row r="346" spans="4:8" ht="14.4" x14ac:dyDescent="0.25">
      <c r="D346" s="117"/>
      <c r="F346" s="118"/>
      <c r="H346" s="50"/>
    </row>
    <row r="347" spans="4:8" ht="14.4" x14ac:dyDescent="0.25">
      <c r="D347" s="117"/>
      <c r="F347" s="118"/>
      <c r="H347" s="50"/>
    </row>
    <row r="348" spans="4:8" ht="14.4" x14ac:dyDescent="0.25">
      <c r="D348" s="117"/>
      <c r="F348" s="118"/>
      <c r="H348" s="50"/>
    </row>
    <row r="349" spans="4:8" ht="14.4" x14ac:dyDescent="0.25">
      <c r="D349" s="117"/>
      <c r="F349" s="118"/>
      <c r="H349" s="50"/>
    </row>
    <row r="350" spans="4:8" ht="14.4" x14ac:dyDescent="0.25">
      <c r="D350" s="117"/>
      <c r="F350" s="118"/>
      <c r="H350" s="50"/>
    </row>
    <row r="351" spans="4:8" ht="14.4" x14ac:dyDescent="0.25">
      <c r="D351" s="117"/>
      <c r="F351" s="118"/>
      <c r="H351" s="50"/>
    </row>
    <row r="352" spans="4:8" ht="14.4" x14ac:dyDescent="0.25">
      <c r="D352" s="117"/>
      <c r="F352" s="118"/>
      <c r="H352" s="50"/>
    </row>
    <row r="353" spans="4:8" ht="14.4" x14ac:dyDescent="0.25">
      <c r="D353" s="117"/>
      <c r="F353" s="118"/>
      <c r="H353" s="50"/>
    </row>
    <row r="354" spans="4:8" ht="14.4" x14ac:dyDescent="0.25">
      <c r="D354" s="117"/>
      <c r="F354" s="118"/>
      <c r="H354" s="50"/>
    </row>
    <row r="355" spans="4:8" ht="14.4" x14ac:dyDescent="0.25">
      <c r="D355" s="117"/>
      <c r="F355" s="118"/>
      <c r="H355" s="50"/>
    </row>
    <row r="356" spans="4:8" ht="14.4" x14ac:dyDescent="0.25">
      <c r="D356" s="117"/>
      <c r="F356" s="118"/>
      <c r="H356" s="50"/>
    </row>
    <row r="357" spans="4:8" ht="14.4" x14ac:dyDescent="0.25">
      <c r="D357" s="117"/>
      <c r="F357" s="118"/>
      <c r="H357" s="50"/>
    </row>
    <row r="358" spans="4:8" ht="14.4" x14ac:dyDescent="0.25">
      <c r="D358" s="117"/>
      <c r="F358" s="118"/>
      <c r="H358" s="50"/>
    </row>
    <row r="359" spans="4:8" ht="14.4" x14ac:dyDescent="0.25">
      <c r="D359" s="117"/>
      <c r="F359" s="118"/>
      <c r="H359" s="50"/>
    </row>
    <row r="360" spans="4:8" ht="14.4" x14ac:dyDescent="0.25">
      <c r="D360" s="117"/>
      <c r="F360" s="118"/>
      <c r="H360" s="50"/>
    </row>
    <row r="361" spans="4:8" ht="14.4" x14ac:dyDescent="0.25">
      <c r="D361" s="117"/>
      <c r="F361" s="118"/>
      <c r="H361" s="50"/>
    </row>
    <row r="362" spans="4:8" ht="14.4" x14ac:dyDescent="0.25">
      <c r="D362" s="117"/>
      <c r="F362" s="118"/>
      <c r="H362" s="50"/>
    </row>
    <row r="363" spans="4:8" ht="14.4" x14ac:dyDescent="0.25">
      <c r="D363" s="117"/>
      <c r="F363" s="118"/>
      <c r="H363" s="50"/>
    </row>
    <row r="364" spans="4:8" ht="14.4" x14ac:dyDescent="0.25">
      <c r="D364" s="117"/>
      <c r="F364" s="118"/>
      <c r="H364" s="50"/>
    </row>
    <row r="365" spans="4:8" ht="14.4" x14ac:dyDescent="0.25">
      <c r="D365" s="117"/>
      <c r="F365" s="118"/>
      <c r="H365" s="50"/>
    </row>
    <row r="366" spans="4:8" ht="14.4" x14ac:dyDescent="0.25">
      <c r="D366" s="117"/>
      <c r="F366" s="118"/>
      <c r="H366" s="50"/>
    </row>
    <row r="367" spans="4:8" ht="14.4" x14ac:dyDescent="0.25">
      <c r="D367" s="117"/>
      <c r="F367" s="118"/>
      <c r="H367" s="50"/>
    </row>
    <row r="368" spans="4:8" ht="14.4" x14ac:dyDescent="0.25">
      <c r="D368" s="117"/>
      <c r="F368" s="118"/>
      <c r="H368" s="50"/>
    </row>
    <row r="369" spans="4:8" ht="14.4" x14ac:dyDescent="0.25">
      <c r="D369" s="117"/>
      <c r="F369" s="118"/>
      <c r="H369" s="50"/>
    </row>
    <row r="370" spans="4:8" ht="14.4" x14ac:dyDescent="0.25">
      <c r="D370" s="117"/>
      <c r="F370" s="118"/>
      <c r="H370" s="50"/>
    </row>
    <row r="371" spans="4:8" ht="14.4" x14ac:dyDescent="0.25">
      <c r="D371" s="117"/>
      <c r="F371" s="118"/>
      <c r="H371" s="50"/>
    </row>
    <row r="372" spans="4:8" ht="14.4" x14ac:dyDescent="0.25">
      <c r="D372" s="117"/>
      <c r="F372" s="118"/>
      <c r="H372" s="50"/>
    </row>
    <row r="373" spans="4:8" ht="14.4" x14ac:dyDescent="0.25">
      <c r="D373" s="117"/>
      <c r="F373" s="118"/>
      <c r="H373" s="50"/>
    </row>
    <row r="374" spans="4:8" ht="14.4" x14ac:dyDescent="0.25">
      <c r="D374" s="117"/>
      <c r="F374" s="118"/>
      <c r="H374" s="50"/>
    </row>
    <row r="375" spans="4:8" ht="14.4" x14ac:dyDescent="0.25">
      <c r="D375" s="117"/>
      <c r="F375" s="118"/>
      <c r="H375" s="50"/>
    </row>
    <row r="376" spans="4:8" ht="14.4" x14ac:dyDescent="0.25">
      <c r="D376" s="117"/>
      <c r="F376" s="118"/>
      <c r="H376" s="50"/>
    </row>
    <row r="377" spans="4:8" ht="14.4" x14ac:dyDescent="0.25">
      <c r="D377" s="117"/>
      <c r="F377" s="118"/>
      <c r="H377" s="50"/>
    </row>
    <row r="378" spans="4:8" ht="14.4" x14ac:dyDescent="0.25">
      <c r="D378" s="117"/>
      <c r="F378" s="118"/>
      <c r="H378" s="50"/>
    </row>
    <row r="379" spans="4:8" ht="14.4" x14ac:dyDescent="0.25">
      <c r="D379" s="117"/>
      <c r="F379" s="118"/>
      <c r="H379" s="50"/>
    </row>
    <row r="380" spans="4:8" ht="14.4" x14ac:dyDescent="0.25">
      <c r="D380" s="117"/>
      <c r="F380" s="118"/>
      <c r="H380" s="50"/>
    </row>
    <row r="381" spans="4:8" ht="14.4" x14ac:dyDescent="0.25">
      <c r="D381" s="117"/>
      <c r="F381" s="118"/>
      <c r="H381" s="50"/>
    </row>
    <row r="382" spans="4:8" ht="14.4" x14ac:dyDescent="0.25">
      <c r="D382" s="117"/>
      <c r="F382" s="118"/>
      <c r="H382" s="50"/>
    </row>
    <row r="383" spans="4:8" ht="14.4" x14ac:dyDescent="0.25">
      <c r="D383" s="117"/>
      <c r="F383" s="118"/>
      <c r="H383" s="50"/>
    </row>
    <row r="384" spans="4:8" ht="14.4" x14ac:dyDescent="0.25">
      <c r="D384" s="117"/>
      <c r="F384" s="118"/>
      <c r="H384" s="50"/>
    </row>
    <row r="385" spans="4:8" ht="14.4" x14ac:dyDescent="0.25">
      <c r="D385" s="117"/>
      <c r="F385" s="118"/>
      <c r="H385" s="50"/>
    </row>
    <row r="386" spans="4:8" ht="14.4" x14ac:dyDescent="0.25">
      <c r="D386" s="117"/>
      <c r="F386" s="118"/>
      <c r="H386" s="50"/>
    </row>
    <row r="387" spans="4:8" ht="14.4" x14ac:dyDescent="0.25">
      <c r="D387" s="117"/>
      <c r="F387" s="118"/>
      <c r="H387" s="50"/>
    </row>
    <row r="388" spans="4:8" ht="14.4" x14ac:dyDescent="0.25">
      <c r="D388" s="117"/>
      <c r="F388" s="118"/>
      <c r="H388" s="50"/>
    </row>
    <row r="389" spans="4:8" ht="14.4" x14ac:dyDescent="0.25">
      <c r="D389" s="117"/>
      <c r="F389" s="118"/>
      <c r="H389" s="50"/>
    </row>
    <row r="390" spans="4:8" ht="14.4" x14ac:dyDescent="0.25">
      <c r="D390" s="117"/>
      <c r="F390" s="118"/>
      <c r="H390" s="50"/>
    </row>
    <row r="391" spans="4:8" ht="14.4" x14ac:dyDescent="0.25">
      <c r="D391" s="117"/>
      <c r="F391" s="118"/>
      <c r="H391" s="50"/>
    </row>
    <row r="392" spans="4:8" ht="14.4" x14ac:dyDescent="0.25">
      <c r="D392" s="117"/>
      <c r="F392" s="118"/>
      <c r="H392" s="50"/>
    </row>
    <row r="393" spans="4:8" ht="14.4" x14ac:dyDescent="0.25">
      <c r="D393" s="117"/>
      <c r="F393" s="118"/>
      <c r="H393" s="50"/>
    </row>
    <row r="394" spans="4:8" ht="14.4" x14ac:dyDescent="0.25">
      <c r="D394" s="117"/>
      <c r="F394" s="118"/>
      <c r="H394" s="50"/>
    </row>
    <row r="395" spans="4:8" ht="14.4" x14ac:dyDescent="0.25">
      <c r="D395" s="117"/>
      <c r="F395" s="118"/>
      <c r="H395" s="50"/>
    </row>
    <row r="396" spans="4:8" ht="14.4" x14ac:dyDescent="0.25">
      <c r="D396" s="117"/>
      <c r="F396" s="118"/>
      <c r="H396" s="50"/>
    </row>
    <row r="397" spans="4:8" ht="14.4" x14ac:dyDescent="0.25">
      <c r="D397" s="117"/>
      <c r="F397" s="118"/>
      <c r="H397" s="50"/>
    </row>
    <row r="398" spans="4:8" ht="14.4" x14ac:dyDescent="0.25">
      <c r="D398" s="117"/>
      <c r="F398" s="118"/>
      <c r="H398" s="50"/>
    </row>
    <row r="399" spans="4:8" ht="14.4" x14ac:dyDescent="0.25">
      <c r="D399" s="117"/>
      <c r="F399" s="118"/>
      <c r="H399" s="50"/>
    </row>
    <row r="400" spans="4:8" ht="14.4" x14ac:dyDescent="0.25">
      <c r="D400" s="117"/>
      <c r="F400" s="118"/>
      <c r="H400" s="50"/>
    </row>
    <row r="401" spans="4:8" ht="14.4" x14ac:dyDescent="0.25">
      <c r="D401" s="117"/>
      <c r="F401" s="118"/>
      <c r="H401" s="50"/>
    </row>
    <row r="402" spans="4:8" ht="14.4" x14ac:dyDescent="0.25">
      <c r="D402" s="117"/>
      <c r="F402" s="118"/>
      <c r="H402" s="50"/>
    </row>
    <row r="403" spans="4:8" ht="14.4" x14ac:dyDescent="0.25">
      <c r="D403" s="117"/>
      <c r="F403" s="118"/>
      <c r="H403" s="50"/>
    </row>
    <row r="404" spans="4:8" ht="14.4" x14ac:dyDescent="0.25">
      <c r="D404" s="117"/>
      <c r="F404" s="118"/>
      <c r="H404" s="50"/>
    </row>
    <row r="405" spans="4:8" ht="14.4" x14ac:dyDescent="0.25">
      <c r="D405" s="117"/>
      <c r="F405" s="118"/>
      <c r="H405" s="50"/>
    </row>
    <row r="406" spans="4:8" ht="14.4" x14ac:dyDescent="0.25">
      <c r="D406" s="117"/>
      <c r="F406" s="118"/>
      <c r="H406" s="50"/>
    </row>
    <row r="407" spans="4:8" ht="14.4" x14ac:dyDescent="0.25">
      <c r="D407" s="117"/>
      <c r="F407" s="118"/>
      <c r="H407" s="50"/>
    </row>
    <row r="408" spans="4:8" ht="14.4" x14ac:dyDescent="0.25">
      <c r="D408" s="117"/>
      <c r="F408" s="118"/>
      <c r="H408" s="50"/>
    </row>
    <row r="409" spans="4:8" ht="14.4" x14ac:dyDescent="0.25">
      <c r="D409" s="117"/>
      <c r="F409" s="118"/>
      <c r="H409" s="50"/>
    </row>
    <row r="410" spans="4:8" ht="14.4" x14ac:dyDescent="0.25">
      <c r="D410" s="117"/>
      <c r="F410" s="118"/>
      <c r="H410" s="50"/>
    </row>
    <row r="411" spans="4:8" ht="14.4" x14ac:dyDescent="0.25">
      <c r="D411" s="117"/>
      <c r="F411" s="118"/>
      <c r="H411" s="50"/>
    </row>
    <row r="412" spans="4:8" ht="14.4" x14ac:dyDescent="0.25">
      <c r="D412" s="117"/>
      <c r="F412" s="118"/>
      <c r="H412" s="50"/>
    </row>
    <row r="413" spans="4:8" ht="14.4" x14ac:dyDescent="0.25">
      <c r="D413" s="117"/>
      <c r="F413" s="118"/>
      <c r="H413" s="50"/>
    </row>
    <row r="414" spans="4:8" ht="14.4" x14ac:dyDescent="0.25">
      <c r="D414" s="117"/>
      <c r="F414" s="118"/>
      <c r="H414" s="50"/>
    </row>
    <row r="415" spans="4:8" ht="14.4" x14ac:dyDescent="0.25">
      <c r="D415" s="117"/>
      <c r="F415" s="118"/>
      <c r="H415" s="50"/>
    </row>
    <row r="416" spans="4:8" ht="14.4" x14ac:dyDescent="0.25">
      <c r="D416" s="117"/>
      <c r="F416" s="118"/>
      <c r="H416" s="50"/>
    </row>
    <row r="417" spans="4:8" ht="14.4" x14ac:dyDescent="0.25">
      <c r="D417" s="117"/>
      <c r="F417" s="118"/>
      <c r="H417" s="50"/>
    </row>
    <row r="418" spans="4:8" ht="14.4" x14ac:dyDescent="0.25">
      <c r="D418" s="117"/>
      <c r="F418" s="118"/>
      <c r="H418" s="50"/>
    </row>
    <row r="419" spans="4:8" ht="14.4" x14ac:dyDescent="0.25">
      <c r="D419" s="117"/>
      <c r="F419" s="118"/>
      <c r="H419" s="50"/>
    </row>
    <row r="420" spans="4:8" ht="14.4" x14ac:dyDescent="0.25">
      <c r="D420" s="117"/>
      <c r="F420" s="118"/>
      <c r="H420" s="50"/>
    </row>
    <row r="421" spans="4:8" ht="14.4" x14ac:dyDescent="0.25">
      <c r="D421" s="117"/>
      <c r="F421" s="118"/>
      <c r="H421" s="50"/>
    </row>
    <row r="422" spans="4:8" ht="14.4" x14ac:dyDescent="0.25">
      <c r="D422" s="117"/>
      <c r="F422" s="118"/>
      <c r="H422" s="50"/>
    </row>
    <row r="423" spans="4:8" ht="14.4" x14ac:dyDescent="0.25">
      <c r="D423" s="117"/>
      <c r="F423" s="118"/>
      <c r="H423" s="50"/>
    </row>
    <row r="424" spans="4:8" ht="14.4" x14ac:dyDescent="0.25">
      <c r="D424" s="117"/>
      <c r="F424" s="118"/>
      <c r="H424" s="50"/>
    </row>
    <row r="425" spans="4:8" ht="14.4" x14ac:dyDescent="0.25">
      <c r="D425" s="117"/>
      <c r="F425" s="118"/>
      <c r="H425" s="50"/>
    </row>
    <row r="426" spans="4:8" ht="14.4" x14ac:dyDescent="0.25">
      <c r="D426" s="117"/>
      <c r="F426" s="118"/>
      <c r="H426" s="50"/>
    </row>
    <row r="427" spans="4:8" ht="14.4" x14ac:dyDescent="0.25">
      <c r="D427" s="117"/>
      <c r="F427" s="118"/>
      <c r="H427" s="50"/>
    </row>
    <row r="428" spans="4:8" ht="14.4" x14ac:dyDescent="0.25">
      <c r="D428" s="117"/>
      <c r="F428" s="118"/>
      <c r="H428" s="50"/>
    </row>
    <row r="429" spans="4:8" ht="14.4" x14ac:dyDescent="0.25">
      <c r="D429" s="117"/>
      <c r="F429" s="118"/>
      <c r="H429" s="50"/>
    </row>
    <row r="430" spans="4:8" ht="14.4" x14ac:dyDescent="0.25">
      <c r="D430" s="117"/>
      <c r="F430" s="118"/>
      <c r="H430" s="50"/>
    </row>
    <row r="431" spans="4:8" ht="14.4" x14ac:dyDescent="0.25">
      <c r="D431" s="117"/>
      <c r="F431" s="118"/>
      <c r="H431" s="50"/>
    </row>
    <row r="432" spans="4:8" ht="14.4" x14ac:dyDescent="0.25">
      <c r="D432" s="117"/>
      <c r="F432" s="118"/>
      <c r="H432" s="50"/>
    </row>
    <row r="433" spans="4:8" ht="14.4" x14ac:dyDescent="0.25">
      <c r="D433" s="117"/>
      <c r="F433" s="118"/>
      <c r="H433" s="50"/>
    </row>
    <row r="434" spans="4:8" ht="14.4" x14ac:dyDescent="0.25">
      <c r="D434" s="117"/>
      <c r="F434" s="118"/>
      <c r="H434" s="50"/>
    </row>
    <row r="435" spans="4:8" ht="14.4" x14ac:dyDescent="0.25">
      <c r="D435" s="117"/>
      <c r="F435" s="118"/>
      <c r="H435" s="50"/>
    </row>
    <row r="436" spans="4:8" ht="14.4" x14ac:dyDescent="0.25">
      <c r="D436" s="117"/>
      <c r="F436" s="118"/>
      <c r="H436" s="50"/>
    </row>
    <row r="437" spans="4:8" ht="14.4" x14ac:dyDescent="0.25">
      <c r="D437" s="117"/>
      <c r="F437" s="118"/>
      <c r="H437" s="50"/>
    </row>
    <row r="438" spans="4:8" ht="14.4" x14ac:dyDescent="0.25">
      <c r="D438" s="117"/>
      <c r="F438" s="118"/>
      <c r="H438" s="50"/>
    </row>
    <row r="439" spans="4:8" ht="14.4" x14ac:dyDescent="0.25">
      <c r="D439" s="117"/>
      <c r="F439" s="118"/>
      <c r="H439" s="50"/>
    </row>
    <row r="440" spans="4:8" ht="14.4" x14ac:dyDescent="0.25">
      <c r="D440" s="117"/>
      <c r="F440" s="118"/>
      <c r="H440" s="50"/>
    </row>
    <row r="441" spans="4:8" ht="14.4" x14ac:dyDescent="0.25">
      <c r="D441" s="117"/>
      <c r="F441" s="118"/>
      <c r="H441" s="50"/>
    </row>
    <row r="442" spans="4:8" ht="14.4" x14ac:dyDescent="0.25">
      <c r="D442" s="117"/>
      <c r="F442" s="118"/>
      <c r="H442" s="50"/>
    </row>
    <row r="443" spans="4:8" ht="14.4" x14ac:dyDescent="0.25">
      <c r="D443" s="117"/>
      <c r="F443" s="118"/>
      <c r="H443" s="50"/>
    </row>
    <row r="444" spans="4:8" ht="14.4" x14ac:dyDescent="0.25">
      <c r="D444" s="117"/>
      <c r="F444" s="118"/>
      <c r="H444" s="50"/>
    </row>
    <row r="445" spans="4:8" ht="14.4" x14ac:dyDescent="0.25">
      <c r="D445" s="117"/>
      <c r="F445" s="118"/>
      <c r="H445" s="50"/>
    </row>
    <row r="446" spans="4:8" ht="14.4" x14ac:dyDescent="0.25">
      <c r="D446" s="117"/>
      <c r="F446" s="118"/>
      <c r="H446" s="50"/>
    </row>
    <row r="447" spans="4:8" ht="14.4" x14ac:dyDescent="0.25">
      <c r="D447" s="117"/>
      <c r="F447" s="118"/>
      <c r="H447" s="50"/>
    </row>
    <row r="448" spans="4:8" ht="14.4" x14ac:dyDescent="0.25">
      <c r="D448" s="117"/>
      <c r="F448" s="118"/>
      <c r="H448" s="50"/>
    </row>
    <row r="449" spans="4:8" ht="14.4" x14ac:dyDescent="0.25">
      <c r="D449" s="117"/>
      <c r="F449" s="118"/>
      <c r="H449" s="50"/>
    </row>
    <row r="450" spans="4:8" ht="14.4" x14ac:dyDescent="0.25">
      <c r="D450" s="117"/>
      <c r="F450" s="118"/>
      <c r="H450" s="50"/>
    </row>
    <row r="451" spans="4:8" ht="14.4" x14ac:dyDescent="0.25">
      <c r="D451" s="117"/>
      <c r="F451" s="118"/>
      <c r="H451" s="50"/>
    </row>
    <row r="452" spans="4:8" ht="14.4" x14ac:dyDescent="0.25">
      <c r="D452" s="117"/>
      <c r="F452" s="118"/>
      <c r="H452" s="50"/>
    </row>
    <row r="453" spans="4:8" ht="14.4" x14ac:dyDescent="0.25">
      <c r="D453" s="117"/>
      <c r="F453" s="118"/>
      <c r="H453" s="50"/>
    </row>
    <row r="454" spans="4:8" ht="14.4" x14ac:dyDescent="0.25">
      <c r="D454" s="117"/>
      <c r="F454" s="118"/>
      <c r="H454" s="50"/>
    </row>
    <row r="455" spans="4:8" ht="14.4" x14ac:dyDescent="0.25">
      <c r="D455" s="117"/>
      <c r="F455" s="118"/>
      <c r="H455" s="50"/>
    </row>
    <row r="456" spans="4:8" ht="14.4" x14ac:dyDescent="0.25">
      <c r="D456" s="117"/>
      <c r="F456" s="118"/>
      <c r="H456" s="50"/>
    </row>
    <row r="457" spans="4:8" ht="14.4" x14ac:dyDescent="0.25">
      <c r="D457" s="117"/>
      <c r="F457" s="118"/>
      <c r="H457" s="50"/>
    </row>
    <row r="458" spans="4:8" ht="14.4" x14ac:dyDescent="0.25">
      <c r="D458" s="117"/>
      <c r="F458" s="118"/>
      <c r="H458" s="50"/>
    </row>
    <row r="459" spans="4:8" ht="14.4" x14ac:dyDescent="0.25">
      <c r="D459" s="117"/>
      <c r="F459" s="118"/>
      <c r="H459" s="50"/>
    </row>
    <row r="460" spans="4:8" ht="14.4" x14ac:dyDescent="0.25">
      <c r="D460" s="117"/>
      <c r="F460" s="118"/>
      <c r="H460" s="50"/>
    </row>
    <row r="461" spans="4:8" ht="14.4" x14ac:dyDescent="0.25">
      <c r="D461" s="117"/>
      <c r="F461" s="118"/>
      <c r="H461" s="50"/>
    </row>
    <row r="462" spans="4:8" ht="14.4" x14ac:dyDescent="0.25">
      <c r="D462" s="117"/>
      <c r="F462" s="118"/>
      <c r="H462" s="50"/>
    </row>
    <row r="463" spans="4:8" ht="14.4" x14ac:dyDescent="0.25">
      <c r="D463" s="117"/>
      <c r="F463" s="118"/>
      <c r="H463" s="50"/>
    </row>
    <row r="464" spans="4:8" ht="14.4" x14ac:dyDescent="0.25">
      <c r="D464" s="117"/>
      <c r="F464" s="118"/>
      <c r="H464" s="50"/>
    </row>
    <row r="465" spans="4:8" ht="14.4" x14ac:dyDescent="0.25">
      <c r="D465" s="117"/>
      <c r="F465" s="118"/>
      <c r="H465" s="50"/>
    </row>
    <row r="466" spans="4:8" ht="14.4" x14ac:dyDescent="0.25">
      <c r="D466" s="117"/>
      <c r="F466" s="118"/>
      <c r="H466" s="50"/>
    </row>
    <row r="467" spans="4:8" ht="14.4" x14ac:dyDescent="0.25">
      <c r="D467" s="117"/>
      <c r="F467" s="118"/>
      <c r="H467" s="50"/>
    </row>
    <row r="468" spans="4:8" ht="14.4" x14ac:dyDescent="0.25">
      <c r="D468" s="117"/>
      <c r="F468" s="118"/>
      <c r="H468" s="50"/>
    </row>
    <row r="469" spans="4:8" ht="14.4" x14ac:dyDescent="0.25">
      <c r="D469" s="117"/>
      <c r="F469" s="118"/>
      <c r="H469" s="50"/>
    </row>
    <row r="470" spans="4:8" ht="14.4" x14ac:dyDescent="0.25">
      <c r="D470" s="117"/>
      <c r="F470" s="118"/>
      <c r="H470" s="50"/>
    </row>
    <row r="471" spans="4:8" ht="14.4" x14ac:dyDescent="0.25">
      <c r="D471" s="117"/>
      <c r="F471" s="118"/>
      <c r="H471" s="50"/>
    </row>
    <row r="472" spans="4:8" ht="14.4" x14ac:dyDescent="0.25">
      <c r="D472" s="117"/>
      <c r="F472" s="118"/>
      <c r="H472" s="50"/>
    </row>
    <row r="473" spans="4:8" ht="14.4" x14ac:dyDescent="0.25">
      <c r="D473" s="117"/>
      <c r="F473" s="118"/>
      <c r="H473" s="50"/>
    </row>
    <row r="474" spans="4:8" ht="14.4" x14ac:dyDescent="0.25">
      <c r="D474" s="117"/>
      <c r="F474" s="118"/>
      <c r="H474" s="50"/>
    </row>
    <row r="475" spans="4:8" ht="14.4" x14ac:dyDescent="0.25">
      <c r="D475" s="117"/>
      <c r="F475" s="118"/>
      <c r="H475" s="50"/>
    </row>
    <row r="476" spans="4:8" ht="14.4" x14ac:dyDescent="0.25">
      <c r="D476" s="117"/>
      <c r="F476" s="118"/>
      <c r="H476" s="50"/>
    </row>
    <row r="477" spans="4:8" ht="14.4" x14ac:dyDescent="0.25">
      <c r="D477" s="117"/>
      <c r="F477" s="118"/>
      <c r="H477" s="50"/>
    </row>
    <row r="478" spans="4:8" ht="14.4" x14ac:dyDescent="0.25">
      <c r="D478" s="117"/>
      <c r="F478" s="118"/>
      <c r="H478" s="50"/>
    </row>
    <row r="479" spans="4:8" ht="14.4" x14ac:dyDescent="0.25">
      <c r="D479" s="117"/>
      <c r="F479" s="118"/>
      <c r="H479" s="50"/>
    </row>
    <row r="480" spans="4:8" ht="14.4" x14ac:dyDescent="0.25">
      <c r="D480" s="117"/>
      <c r="F480" s="118"/>
      <c r="H480" s="50"/>
    </row>
    <row r="481" spans="4:8" ht="14.4" x14ac:dyDescent="0.25">
      <c r="D481" s="117"/>
      <c r="F481" s="118"/>
      <c r="H481" s="50"/>
    </row>
    <row r="482" spans="4:8" ht="14.4" x14ac:dyDescent="0.25">
      <c r="D482" s="117"/>
      <c r="F482" s="118"/>
      <c r="H482" s="50"/>
    </row>
    <row r="483" spans="4:8" ht="14.4" x14ac:dyDescent="0.25">
      <c r="D483" s="117"/>
      <c r="F483" s="118"/>
      <c r="H483" s="50"/>
    </row>
    <row r="484" spans="4:8" ht="14.4" x14ac:dyDescent="0.25">
      <c r="D484" s="117"/>
      <c r="F484" s="118"/>
      <c r="H484" s="50"/>
    </row>
    <row r="485" spans="4:8" ht="14.4" x14ac:dyDescent="0.25">
      <c r="D485" s="117"/>
      <c r="F485" s="118"/>
      <c r="H485" s="50"/>
    </row>
    <row r="486" spans="4:8" ht="14.4" x14ac:dyDescent="0.25">
      <c r="D486" s="117"/>
      <c r="F486" s="118"/>
      <c r="H486" s="50"/>
    </row>
    <row r="487" spans="4:8" ht="14.4" x14ac:dyDescent="0.25">
      <c r="D487" s="117"/>
      <c r="F487" s="118"/>
      <c r="H487" s="50"/>
    </row>
    <row r="488" spans="4:8" ht="14.4" x14ac:dyDescent="0.25">
      <c r="D488" s="117"/>
      <c r="F488" s="118"/>
      <c r="H488" s="50"/>
    </row>
    <row r="489" spans="4:8" ht="14.4" x14ac:dyDescent="0.25">
      <c r="D489" s="117"/>
      <c r="F489" s="118"/>
      <c r="H489" s="50"/>
    </row>
    <row r="490" spans="4:8" ht="14.4" x14ac:dyDescent="0.25">
      <c r="D490" s="117"/>
      <c r="F490" s="118"/>
      <c r="H490" s="50"/>
    </row>
    <row r="491" spans="4:8" ht="14.4" x14ac:dyDescent="0.25">
      <c r="D491" s="117"/>
      <c r="F491" s="118"/>
      <c r="H491" s="50"/>
    </row>
    <row r="492" spans="4:8" ht="14.4" x14ac:dyDescent="0.25">
      <c r="D492" s="117"/>
      <c r="F492" s="118"/>
      <c r="H492" s="50"/>
    </row>
    <row r="493" spans="4:8" ht="14.4" x14ac:dyDescent="0.25">
      <c r="D493" s="117"/>
      <c r="F493" s="118"/>
      <c r="H493" s="50"/>
    </row>
    <row r="494" spans="4:8" ht="14.4" x14ac:dyDescent="0.25">
      <c r="D494" s="117"/>
      <c r="F494" s="118"/>
      <c r="H494" s="50"/>
    </row>
    <row r="495" spans="4:8" ht="14.4" x14ac:dyDescent="0.25">
      <c r="D495" s="117"/>
      <c r="F495" s="118"/>
      <c r="H495" s="50"/>
    </row>
    <row r="496" spans="4:8" ht="14.4" x14ac:dyDescent="0.25">
      <c r="D496" s="117"/>
      <c r="F496" s="118"/>
      <c r="H496" s="50"/>
    </row>
    <row r="497" spans="4:8" ht="14.4" x14ac:dyDescent="0.25">
      <c r="D497" s="117"/>
      <c r="F497" s="118"/>
      <c r="H497" s="50"/>
    </row>
    <row r="498" spans="4:8" ht="14.4" x14ac:dyDescent="0.25">
      <c r="D498" s="117"/>
      <c r="F498" s="118"/>
      <c r="H498" s="50"/>
    </row>
    <row r="499" spans="4:8" ht="14.4" x14ac:dyDescent="0.25">
      <c r="D499" s="117"/>
      <c r="F499" s="118"/>
      <c r="H499" s="50"/>
    </row>
    <row r="500" spans="4:8" ht="14.4" x14ac:dyDescent="0.25">
      <c r="D500" s="117"/>
      <c r="F500" s="118"/>
      <c r="H500" s="50"/>
    </row>
    <row r="501" spans="4:8" ht="14.4" x14ac:dyDescent="0.25">
      <c r="D501" s="117"/>
      <c r="F501" s="118"/>
      <c r="H501" s="50"/>
    </row>
    <row r="502" spans="4:8" ht="14.4" x14ac:dyDescent="0.25">
      <c r="D502" s="117"/>
      <c r="F502" s="118"/>
      <c r="H502" s="50"/>
    </row>
    <row r="503" spans="4:8" ht="14.4" x14ac:dyDescent="0.25">
      <c r="D503" s="117"/>
      <c r="F503" s="118"/>
      <c r="H503" s="50"/>
    </row>
    <row r="504" spans="4:8" ht="14.4" x14ac:dyDescent="0.25">
      <c r="D504" s="117"/>
      <c r="F504" s="118"/>
      <c r="H504" s="50"/>
    </row>
    <row r="505" spans="4:8" ht="14.4" x14ac:dyDescent="0.25">
      <c r="D505" s="117"/>
      <c r="F505" s="118"/>
      <c r="H505" s="50"/>
    </row>
    <row r="506" spans="4:8" ht="14.4" x14ac:dyDescent="0.25">
      <c r="D506" s="117"/>
      <c r="F506" s="118"/>
      <c r="H506" s="50"/>
    </row>
    <row r="507" spans="4:8" ht="14.4" x14ac:dyDescent="0.25">
      <c r="D507" s="117"/>
      <c r="F507" s="118"/>
      <c r="H507" s="50"/>
    </row>
    <row r="508" spans="4:8" ht="14.4" x14ac:dyDescent="0.25">
      <c r="D508" s="117"/>
      <c r="F508" s="118"/>
      <c r="H508" s="50"/>
    </row>
    <row r="509" spans="4:8" ht="14.4" x14ac:dyDescent="0.25">
      <c r="D509" s="117"/>
      <c r="F509" s="118"/>
      <c r="H509" s="50"/>
    </row>
    <row r="510" spans="4:8" ht="14.4" x14ac:dyDescent="0.25">
      <c r="D510" s="117"/>
      <c r="F510" s="118"/>
      <c r="H510" s="50"/>
    </row>
    <row r="511" spans="4:8" ht="14.4" x14ac:dyDescent="0.25">
      <c r="D511" s="117"/>
      <c r="F511" s="118"/>
      <c r="H511" s="50"/>
    </row>
    <row r="512" spans="4:8" ht="14.4" x14ac:dyDescent="0.25">
      <c r="D512" s="117"/>
      <c r="F512" s="118"/>
      <c r="H512" s="50"/>
    </row>
    <row r="513" spans="4:8" ht="14.4" x14ac:dyDescent="0.25">
      <c r="D513" s="117"/>
      <c r="F513" s="118"/>
      <c r="H513" s="50"/>
    </row>
    <row r="514" spans="4:8" ht="14.4" x14ac:dyDescent="0.25">
      <c r="D514" s="117"/>
      <c r="F514" s="118"/>
      <c r="H514" s="50"/>
    </row>
    <row r="515" spans="4:8" ht="14.4" x14ac:dyDescent="0.25">
      <c r="D515" s="117"/>
      <c r="F515" s="118"/>
      <c r="H515" s="50"/>
    </row>
    <row r="516" spans="4:8" ht="14.4" x14ac:dyDescent="0.25">
      <c r="D516" s="117"/>
      <c r="F516" s="118"/>
      <c r="H516" s="50"/>
    </row>
    <row r="517" spans="4:8" ht="14.4" x14ac:dyDescent="0.25">
      <c r="D517" s="117"/>
      <c r="F517" s="118"/>
      <c r="H517" s="50"/>
    </row>
    <row r="518" spans="4:8" ht="14.4" x14ac:dyDescent="0.25">
      <c r="D518" s="117"/>
      <c r="F518" s="118"/>
      <c r="H518" s="50"/>
    </row>
    <row r="519" spans="4:8" ht="14.4" x14ac:dyDescent="0.25">
      <c r="D519" s="117"/>
      <c r="F519" s="118"/>
      <c r="H519" s="50"/>
    </row>
    <row r="520" spans="4:8" ht="14.4" x14ac:dyDescent="0.25">
      <c r="D520" s="117"/>
      <c r="F520" s="118"/>
      <c r="H520" s="50"/>
    </row>
    <row r="521" spans="4:8" ht="14.4" x14ac:dyDescent="0.25">
      <c r="D521" s="117"/>
      <c r="F521" s="118"/>
      <c r="H521" s="50"/>
    </row>
    <row r="522" spans="4:8" ht="14.4" x14ac:dyDescent="0.25">
      <c r="D522" s="117"/>
      <c r="F522" s="118"/>
      <c r="H522" s="50"/>
    </row>
    <row r="523" spans="4:8" ht="14.4" x14ac:dyDescent="0.25">
      <c r="D523" s="117"/>
      <c r="F523" s="118"/>
      <c r="H523" s="50"/>
    </row>
    <row r="524" spans="4:8" ht="14.4" x14ac:dyDescent="0.25">
      <c r="D524" s="117"/>
      <c r="F524" s="118"/>
      <c r="H524" s="50"/>
    </row>
    <row r="525" spans="4:8" ht="14.4" x14ac:dyDescent="0.25">
      <c r="D525" s="117"/>
      <c r="F525" s="118"/>
      <c r="H525" s="50"/>
    </row>
    <row r="526" spans="4:8" ht="14.4" x14ac:dyDescent="0.25">
      <c r="D526" s="117"/>
      <c r="F526" s="118"/>
      <c r="H526" s="50"/>
    </row>
    <row r="527" spans="4:8" ht="14.4" x14ac:dyDescent="0.25">
      <c r="D527" s="117"/>
      <c r="F527" s="118"/>
      <c r="H527" s="50"/>
    </row>
    <row r="528" spans="4:8" ht="14.4" x14ac:dyDescent="0.25">
      <c r="D528" s="117"/>
      <c r="F528" s="118"/>
      <c r="H528" s="50"/>
    </row>
    <row r="529" spans="4:8" ht="14.4" x14ac:dyDescent="0.25">
      <c r="D529" s="117"/>
      <c r="F529" s="118"/>
      <c r="H529" s="50"/>
    </row>
    <row r="530" spans="4:8" ht="14.4" x14ac:dyDescent="0.25">
      <c r="D530" s="117"/>
      <c r="F530" s="118"/>
      <c r="H530" s="50"/>
    </row>
    <row r="531" spans="4:8" ht="14.4" x14ac:dyDescent="0.25">
      <c r="D531" s="117"/>
      <c r="F531" s="118"/>
      <c r="H531" s="50"/>
    </row>
    <row r="532" spans="4:8" ht="14.4" x14ac:dyDescent="0.25">
      <c r="D532" s="117"/>
      <c r="F532" s="118"/>
      <c r="H532" s="50"/>
    </row>
    <row r="533" spans="4:8" ht="14.4" x14ac:dyDescent="0.25">
      <c r="D533" s="117"/>
      <c r="F533" s="118"/>
      <c r="H533" s="50"/>
    </row>
    <row r="534" spans="4:8" ht="14.4" x14ac:dyDescent="0.25">
      <c r="D534" s="117"/>
      <c r="F534" s="118"/>
      <c r="H534" s="50"/>
    </row>
    <row r="535" spans="4:8" ht="14.4" x14ac:dyDescent="0.25">
      <c r="D535" s="117"/>
      <c r="F535" s="118"/>
      <c r="H535" s="50"/>
    </row>
    <row r="536" spans="4:8" ht="14.4" x14ac:dyDescent="0.25">
      <c r="D536" s="117"/>
      <c r="F536" s="118"/>
      <c r="H536" s="50"/>
    </row>
    <row r="537" spans="4:8" ht="14.4" x14ac:dyDescent="0.25">
      <c r="D537" s="117"/>
      <c r="F537" s="118"/>
      <c r="H537" s="50"/>
    </row>
    <row r="538" spans="4:8" ht="14.4" x14ac:dyDescent="0.25">
      <c r="D538" s="117"/>
      <c r="F538" s="118"/>
      <c r="H538" s="50"/>
    </row>
    <row r="539" spans="4:8" ht="14.4" x14ac:dyDescent="0.25">
      <c r="D539" s="117"/>
      <c r="F539" s="118"/>
      <c r="H539" s="50"/>
    </row>
  </sheetData>
  <mergeCells count="2">
    <mergeCell ref="D6:J6"/>
    <mergeCell ref="D4:J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3CBA-8885-4A5D-8D38-2BF0F02A0751}">
  <dimension ref="D4:J536"/>
  <sheetViews>
    <sheetView showGridLines="0" workbookViewId="0">
      <selection activeCell="N15" sqref="N15"/>
    </sheetView>
  </sheetViews>
  <sheetFormatPr defaultRowHeight="13.8" x14ac:dyDescent="0.25"/>
  <cols>
    <col min="1" max="3" width="1.33203125" style="1" customWidth="1"/>
    <col min="4" max="4" width="11.33203125" style="1" customWidth="1"/>
    <col min="5" max="5" width="8.88671875" style="1"/>
    <col min="6" max="6" width="8.88671875" style="1" customWidth="1"/>
    <col min="7" max="7" width="11.44140625" style="1" bestFit="1" customWidth="1"/>
    <col min="8" max="8" width="8.88671875" style="1"/>
    <col min="9" max="9" width="17.21875" style="1" bestFit="1" customWidth="1"/>
    <col min="10" max="10" width="15.77734375" style="1" customWidth="1"/>
    <col min="11" max="16384" width="8.88671875" style="1"/>
  </cols>
  <sheetData>
    <row r="4" spans="4:10" ht="16.8" customHeight="1" x14ac:dyDescent="0.25">
      <c r="D4" s="428" t="s">
        <v>250</v>
      </c>
      <c r="E4" s="428"/>
      <c r="F4" s="428"/>
      <c r="G4" s="428"/>
    </row>
    <row r="5" spans="4:10" ht="16.8" customHeight="1" x14ac:dyDescent="0.25">
      <c r="D5" s="115"/>
      <c r="E5" s="115"/>
      <c r="F5" s="115"/>
      <c r="G5" s="115"/>
    </row>
    <row r="6" spans="4:10" x14ac:dyDescent="0.25">
      <c r="G6" s="116" t="s">
        <v>252</v>
      </c>
    </row>
    <row r="7" spans="4:10" x14ac:dyDescent="0.25">
      <c r="D7" s="8" t="s">
        <v>251</v>
      </c>
      <c r="E7" s="9"/>
      <c r="G7" s="149" t="s">
        <v>253</v>
      </c>
    </row>
    <row r="8" spans="4:10" ht="14.4" customHeight="1" x14ac:dyDescent="0.25">
      <c r="D8" s="122">
        <v>45777</v>
      </c>
      <c r="F8" s="113"/>
      <c r="G8" s="123">
        <v>24334.2</v>
      </c>
    </row>
    <row r="9" spans="4:10" ht="14.4" customHeight="1" thickBot="1" x14ac:dyDescent="0.3">
      <c r="D9" s="122">
        <v>45772</v>
      </c>
      <c r="G9" s="123">
        <v>24091.599999999999</v>
      </c>
    </row>
    <row r="10" spans="4:10" ht="16.2" thickBot="1" x14ac:dyDescent="0.3">
      <c r="D10" s="122">
        <v>45768</v>
      </c>
      <c r="G10" s="123">
        <v>24246.7</v>
      </c>
      <c r="I10" s="119" t="s">
        <v>254</v>
      </c>
      <c r="J10" s="150" t="s">
        <v>255</v>
      </c>
    </row>
    <row r="11" spans="4:10" ht="16.2" thickBot="1" x14ac:dyDescent="0.3">
      <c r="D11" s="122">
        <v>45761</v>
      </c>
      <c r="G11" s="123">
        <v>23851.65</v>
      </c>
      <c r="I11" s="120"/>
      <c r="J11" s="120"/>
    </row>
    <row r="12" spans="4:10" ht="16.2" thickBot="1" x14ac:dyDescent="0.3">
      <c r="D12" s="122">
        <v>45754</v>
      </c>
      <c r="G12" s="123">
        <v>22828.55</v>
      </c>
      <c r="I12" s="119" t="s">
        <v>256</v>
      </c>
      <c r="J12" s="151">
        <f>YEARFRAC(D536,D9)</f>
        <v>10.127777777777778</v>
      </c>
    </row>
    <row r="13" spans="4:10" ht="16.2" thickBot="1" x14ac:dyDescent="0.3">
      <c r="D13" s="122">
        <v>45747</v>
      </c>
      <c r="G13" s="123">
        <v>22904.45</v>
      </c>
      <c r="I13" s="120"/>
      <c r="J13" s="121"/>
    </row>
    <row r="14" spans="4:10" ht="16.2" thickBot="1" x14ac:dyDescent="0.3">
      <c r="D14" s="122">
        <v>45740</v>
      </c>
      <c r="G14" s="123">
        <v>23519.35</v>
      </c>
      <c r="I14" s="119" t="s">
        <v>250</v>
      </c>
      <c r="J14" s="152">
        <f>_xlfn.RRI(J12,G536,G9)</f>
        <v>0.10645781828415002</v>
      </c>
    </row>
    <row r="15" spans="4:10" x14ac:dyDescent="0.25">
      <c r="D15" s="122">
        <v>45733</v>
      </c>
      <c r="G15" s="123">
        <v>23350.400000000001</v>
      </c>
    </row>
    <row r="16" spans="4:10" x14ac:dyDescent="0.25">
      <c r="D16" s="122">
        <v>45726</v>
      </c>
      <c r="G16" s="123">
        <v>22397.200000000001</v>
      </c>
    </row>
    <row r="17" spans="4:7" x14ac:dyDescent="0.25">
      <c r="D17" s="122">
        <v>45719</v>
      </c>
      <c r="G17" s="123">
        <v>22552.5</v>
      </c>
    </row>
    <row r="18" spans="4:7" x14ac:dyDescent="0.25">
      <c r="D18" s="122">
        <v>45712</v>
      </c>
      <c r="G18" s="123">
        <v>22124.7</v>
      </c>
    </row>
    <row r="19" spans="4:7" x14ac:dyDescent="0.25">
      <c r="D19" s="122">
        <v>45705</v>
      </c>
      <c r="G19" s="123">
        <v>22795.9</v>
      </c>
    </row>
    <row r="20" spans="4:7" x14ac:dyDescent="0.25">
      <c r="D20" s="122">
        <v>45698</v>
      </c>
      <c r="G20" s="123">
        <v>22929.25</v>
      </c>
    </row>
    <row r="21" spans="4:7" x14ac:dyDescent="0.25">
      <c r="D21" s="122">
        <v>45691</v>
      </c>
      <c r="G21" s="123">
        <v>23559.95</v>
      </c>
    </row>
    <row r="22" spans="4:7" x14ac:dyDescent="0.25">
      <c r="D22" s="122">
        <v>45684</v>
      </c>
      <c r="G22" s="123">
        <v>23508.400000000001</v>
      </c>
    </row>
    <row r="23" spans="4:7" x14ac:dyDescent="0.25">
      <c r="D23" s="122">
        <v>45677</v>
      </c>
      <c r="G23" s="123">
        <v>23092.2</v>
      </c>
    </row>
    <row r="24" spans="4:7" x14ac:dyDescent="0.25">
      <c r="D24" s="122">
        <v>45670</v>
      </c>
      <c r="G24" s="123">
        <v>23203.200000000001</v>
      </c>
    </row>
    <row r="25" spans="4:7" x14ac:dyDescent="0.25">
      <c r="D25" s="122">
        <v>45663</v>
      </c>
      <c r="G25" s="123">
        <v>23431.5</v>
      </c>
    </row>
    <row r="26" spans="4:7" x14ac:dyDescent="0.25">
      <c r="D26" s="122">
        <v>45656</v>
      </c>
      <c r="G26" s="123">
        <v>24004.75</v>
      </c>
    </row>
    <row r="27" spans="4:7" x14ac:dyDescent="0.25">
      <c r="D27" s="122">
        <v>45649</v>
      </c>
      <c r="G27" s="123">
        <v>23813.4</v>
      </c>
    </row>
    <row r="28" spans="4:7" x14ac:dyDescent="0.25">
      <c r="D28" s="122">
        <v>45642</v>
      </c>
      <c r="G28" s="123">
        <v>23587.5</v>
      </c>
    </row>
    <row r="29" spans="4:7" x14ac:dyDescent="0.25">
      <c r="D29" s="122">
        <v>45635</v>
      </c>
      <c r="G29" s="123">
        <v>24768.3</v>
      </c>
    </row>
    <row r="30" spans="4:7" x14ac:dyDescent="0.25">
      <c r="D30" s="122">
        <v>45628</v>
      </c>
      <c r="G30" s="123">
        <v>24677.8</v>
      </c>
    </row>
    <row r="31" spans="4:7" x14ac:dyDescent="0.25">
      <c r="D31" s="122">
        <v>45621</v>
      </c>
      <c r="G31" s="123">
        <v>24131.1</v>
      </c>
    </row>
    <row r="32" spans="4:7" x14ac:dyDescent="0.25">
      <c r="D32" s="122">
        <v>45614</v>
      </c>
      <c r="G32" s="123">
        <v>23907.25</v>
      </c>
    </row>
    <row r="33" spans="4:7" x14ac:dyDescent="0.25">
      <c r="D33" s="122">
        <v>45607</v>
      </c>
      <c r="G33" s="123">
        <v>23532.7</v>
      </c>
    </row>
    <row r="34" spans="4:7" x14ac:dyDescent="0.25">
      <c r="D34" s="122">
        <v>45600</v>
      </c>
      <c r="G34" s="123">
        <v>24148.2</v>
      </c>
    </row>
    <row r="35" spans="4:7" x14ac:dyDescent="0.25">
      <c r="D35" s="122">
        <v>45593</v>
      </c>
      <c r="G35" s="123">
        <v>24304.35</v>
      </c>
    </row>
    <row r="36" spans="4:7" x14ac:dyDescent="0.25">
      <c r="D36" s="122">
        <v>45586</v>
      </c>
      <c r="G36" s="123">
        <v>24180.799999999999</v>
      </c>
    </row>
    <row r="37" spans="4:7" x14ac:dyDescent="0.25">
      <c r="D37" s="122">
        <v>45579</v>
      </c>
      <c r="G37" s="123">
        <v>24854.05</v>
      </c>
    </row>
    <row r="38" spans="4:7" x14ac:dyDescent="0.25">
      <c r="D38" s="122">
        <v>45572</v>
      </c>
      <c r="G38" s="123">
        <v>24964.25</v>
      </c>
    </row>
    <row r="39" spans="4:7" x14ac:dyDescent="0.25">
      <c r="D39" s="122">
        <v>45565</v>
      </c>
      <c r="G39" s="123">
        <v>25014.6</v>
      </c>
    </row>
    <row r="40" spans="4:7" x14ac:dyDescent="0.25">
      <c r="D40" s="122">
        <v>45558</v>
      </c>
      <c r="G40" s="123">
        <v>26178.95</v>
      </c>
    </row>
    <row r="41" spans="4:7" x14ac:dyDescent="0.25">
      <c r="D41" s="122">
        <v>45551</v>
      </c>
      <c r="G41" s="123">
        <v>25790.95</v>
      </c>
    </row>
    <row r="42" spans="4:7" x14ac:dyDescent="0.25">
      <c r="D42" s="122">
        <v>45544</v>
      </c>
      <c r="G42" s="123">
        <v>25356.5</v>
      </c>
    </row>
    <row r="43" spans="4:7" x14ac:dyDescent="0.25">
      <c r="D43" s="122">
        <v>45537</v>
      </c>
      <c r="G43" s="123">
        <v>24852.15</v>
      </c>
    </row>
    <row r="44" spans="4:7" x14ac:dyDescent="0.25">
      <c r="D44" s="122">
        <v>45530</v>
      </c>
      <c r="G44" s="123">
        <v>25235.9</v>
      </c>
    </row>
    <row r="45" spans="4:7" x14ac:dyDescent="0.25">
      <c r="D45" s="122">
        <v>45523</v>
      </c>
      <c r="G45" s="123">
        <v>24823.15</v>
      </c>
    </row>
    <row r="46" spans="4:7" x14ac:dyDescent="0.25">
      <c r="D46" s="122">
        <v>45516</v>
      </c>
      <c r="G46" s="123">
        <v>24541.15</v>
      </c>
    </row>
    <row r="47" spans="4:7" x14ac:dyDescent="0.25">
      <c r="D47" s="122">
        <v>45509</v>
      </c>
      <c r="G47" s="123">
        <v>24367.5</v>
      </c>
    </row>
    <row r="48" spans="4:7" x14ac:dyDescent="0.25">
      <c r="D48" s="122">
        <v>45502</v>
      </c>
      <c r="G48" s="123">
        <v>24717.7</v>
      </c>
    </row>
    <row r="49" spans="4:7" x14ac:dyDescent="0.25">
      <c r="D49" s="122">
        <v>45495</v>
      </c>
      <c r="G49" s="123">
        <v>24834.85</v>
      </c>
    </row>
    <row r="50" spans="4:7" x14ac:dyDescent="0.25">
      <c r="D50" s="122">
        <v>45488</v>
      </c>
      <c r="G50" s="123">
        <v>24530.9</v>
      </c>
    </row>
    <row r="51" spans="4:7" x14ac:dyDescent="0.25">
      <c r="D51" s="122">
        <v>45481</v>
      </c>
      <c r="G51" s="123">
        <v>24502.15</v>
      </c>
    </row>
    <row r="52" spans="4:7" x14ac:dyDescent="0.25">
      <c r="D52" s="122">
        <v>45474</v>
      </c>
      <c r="G52" s="123">
        <v>24323.85</v>
      </c>
    </row>
    <row r="53" spans="4:7" x14ac:dyDescent="0.25">
      <c r="D53" s="122">
        <v>45467</v>
      </c>
      <c r="G53" s="123">
        <v>24010.6</v>
      </c>
    </row>
    <row r="54" spans="4:7" x14ac:dyDescent="0.25">
      <c r="D54" s="122">
        <v>45460</v>
      </c>
      <c r="G54" s="123">
        <v>23501.1</v>
      </c>
    </row>
    <row r="55" spans="4:7" x14ac:dyDescent="0.25">
      <c r="D55" s="122">
        <v>45453</v>
      </c>
      <c r="G55" s="123">
        <v>23465.599999999999</v>
      </c>
    </row>
    <row r="56" spans="4:7" x14ac:dyDescent="0.25">
      <c r="D56" s="122">
        <v>45446</v>
      </c>
      <c r="G56" s="123">
        <v>23290.15</v>
      </c>
    </row>
    <row r="57" spans="4:7" x14ac:dyDescent="0.25">
      <c r="D57" s="122">
        <v>45439</v>
      </c>
      <c r="G57" s="123">
        <v>22530.7</v>
      </c>
    </row>
    <row r="58" spans="4:7" x14ac:dyDescent="0.25">
      <c r="D58" s="122">
        <v>45432</v>
      </c>
      <c r="G58" s="123">
        <v>22957.1</v>
      </c>
    </row>
    <row r="59" spans="4:7" x14ac:dyDescent="0.25">
      <c r="D59" s="122">
        <v>45425</v>
      </c>
      <c r="G59" s="123">
        <v>22466.1</v>
      </c>
    </row>
    <row r="60" spans="4:7" x14ac:dyDescent="0.25">
      <c r="D60" s="122">
        <v>45418</v>
      </c>
      <c r="G60" s="123">
        <v>22055.200000000001</v>
      </c>
    </row>
    <row r="61" spans="4:7" x14ac:dyDescent="0.25">
      <c r="D61" s="122">
        <v>45411</v>
      </c>
      <c r="G61" s="123">
        <v>22475.85</v>
      </c>
    </row>
    <row r="62" spans="4:7" x14ac:dyDescent="0.25">
      <c r="D62" s="122">
        <v>45404</v>
      </c>
      <c r="G62" s="123">
        <v>22419.95</v>
      </c>
    </row>
    <row r="63" spans="4:7" x14ac:dyDescent="0.25">
      <c r="D63" s="122">
        <v>45397</v>
      </c>
      <c r="G63" s="123">
        <v>22147</v>
      </c>
    </row>
    <row r="64" spans="4:7" x14ac:dyDescent="0.25">
      <c r="D64" s="122">
        <v>45390</v>
      </c>
      <c r="G64" s="123">
        <v>22519.4</v>
      </c>
    </row>
    <row r="65" spans="4:7" x14ac:dyDescent="0.25">
      <c r="D65" s="122">
        <v>45383</v>
      </c>
      <c r="G65" s="123">
        <v>22513.7</v>
      </c>
    </row>
    <row r="66" spans="4:7" x14ac:dyDescent="0.25">
      <c r="D66" s="122">
        <v>45376</v>
      </c>
      <c r="G66" s="123">
        <v>22326.9</v>
      </c>
    </row>
    <row r="67" spans="4:7" x14ac:dyDescent="0.25">
      <c r="D67" s="122">
        <v>45369</v>
      </c>
      <c r="G67" s="123">
        <v>22096.75</v>
      </c>
    </row>
    <row r="68" spans="4:7" x14ac:dyDescent="0.25">
      <c r="D68" s="122">
        <v>45362</v>
      </c>
      <c r="G68" s="123">
        <v>22023.35</v>
      </c>
    </row>
    <row r="69" spans="4:7" x14ac:dyDescent="0.25">
      <c r="D69" s="122">
        <v>45355</v>
      </c>
      <c r="G69" s="123">
        <v>22493.55</v>
      </c>
    </row>
    <row r="70" spans="4:7" x14ac:dyDescent="0.25">
      <c r="D70" s="122">
        <v>45348</v>
      </c>
      <c r="G70" s="123">
        <v>22338.75</v>
      </c>
    </row>
    <row r="71" spans="4:7" x14ac:dyDescent="0.25">
      <c r="D71" s="122">
        <v>45341</v>
      </c>
      <c r="G71" s="123">
        <v>22212.7</v>
      </c>
    </row>
    <row r="72" spans="4:7" x14ac:dyDescent="0.25">
      <c r="D72" s="122">
        <v>45334</v>
      </c>
      <c r="G72" s="123">
        <v>22040.7</v>
      </c>
    </row>
    <row r="73" spans="4:7" x14ac:dyDescent="0.25">
      <c r="D73" s="122">
        <v>45327</v>
      </c>
      <c r="G73" s="123">
        <v>21782.5</v>
      </c>
    </row>
    <row r="74" spans="4:7" x14ac:dyDescent="0.25">
      <c r="D74" s="122">
        <v>45320</v>
      </c>
      <c r="G74" s="123">
        <v>21853.8</v>
      </c>
    </row>
    <row r="75" spans="4:7" x14ac:dyDescent="0.25">
      <c r="D75" s="122">
        <v>45313</v>
      </c>
      <c r="G75" s="123">
        <v>21352.6</v>
      </c>
    </row>
    <row r="76" spans="4:7" x14ac:dyDescent="0.25">
      <c r="D76" s="122">
        <v>45306</v>
      </c>
      <c r="G76" s="123">
        <v>21622.400000000001</v>
      </c>
    </row>
    <row r="77" spans="4:7" x14ac:dyDescent="0.25">
      <c r="D77" s="122">
        <v>45299</v>
      </c>
      <c r="G77" s="123">
        <v>21894.55</v>
      </c>
    </row>
    <row r="78" spans="4:7" x14ac:dyDescent="0.25">
      <c r="D78" s="122">
        <v>45292</v>
      </c>
      <c r="G78" s="123">
        <v>21710.799999999999</v>
      </c>
    </row>
    <row r="79" spans="4:7" x14ac:dyDescent="0.25">
      <c r="D79" s="122">
        <v>45285</v>
      </c>
      <c r="G79" s="123">
        <v>21731.4</v>
      </c>
    </row>
    <row r="80" spans="4:7" x14ac:dyDescent="0.25">
      <c r="D80" s="122">
        <v>45278</v>
      </c>
      <c r="G80" s="123">
        <v>21349.4</v>
      </c>
    </row>
    <row r="81" spans="4:7" x14ac:dyDescent="0.25">
      <c r="D81" s="122">
        <v>45271</v>
      </c>
      <c r="G81" s="123">
        <v>21456.65</v>
      </c>
    </row>
    <row r="82" spans="4:7" x14ac:dyDescent="0.25">
      <c r="D82" s="122">
        <v>45264</v>
      </c>
      <c r="G82" s="123">
        <v>20969.400000000001</v>
      </c>
    </row>
    <row r="83" spans="4:7" x14ac:dyDescent="0.25">
      <c r="D83" s="122">
        <v>45257</v>
      </c>
      <c r="G83" s="123">
        <v>20267.900000000001</v>
      </c>
    </row>
    <row r="84" spans="4:7" x14ac:dyDescent="0.25">
      <c r="D84" s="122">
        <v>45250</v>
      </c>
      <c r="G84" s="123">
        <v>19794.7</v>
      </c>
    </row>
    <row r="85" spans="4:7" x14ac:dyDescent="0.25">
      <c r="D85" s="122">
        <v>45243</v>
      </c>
      <c r="G85" s="123">
        <v>19731.8</v>
      </c>
    </row>
    <row r="86" spans="4:7" x14ac:dyDescent="0.25">
      <c r="D86" s="122">
        <v>45236</v>
      </c>
      <c r="G86" s="123">
        <v>19425.349999999999</v>
      </c>
    </row>
    <row r="87" spans="4:7" x14ac:dyDescent="0.25">
      <c r="D87" s="122">
        <v>45229</v>
      </c>
      <c r="G87" s="123">
        <v>19230.599999999999</v>
      </c>
    </row>
    <row r="88" spans="4:7" x14ac:dyDescent="0.25">
      <c r="D88" s="122">
        <v>45222</v>
      </c>
      <c r="G88" s="123">
        <v>19047.25</v>
      </c>
    </row>
    <row r="89" spans="4:7" x14ac:dyDescent="0.25">
      <c r="D89" s="122">
        <v>45215</v>
      </c>
      <c r="G89" s="123">
        <v>19542.650000000001</v>
      </c>
    </row>
    <row r="90" spans="4:7" x14ac:dyDescent="0.25">
      <c r="D90" s="122">
        <v>45208</v>
      </c>
      <c r="G90" s="123">
        <v>19751.05</v>
      </c>
    </row>
    <row r="91" spans="4:7" x14ac:dyDescent="0.25">
      <c r="D91" s="122">
        <v>45201</v>
      </c>
      <c r="G91" s="123">
        <v>19653.5</v>
      </c>
    </row>
    <row r="92" spans="4:7" x14ac:dyDescent="0.25">
      <c r="D92" s="122">
        <v>45194</v>
      </c>
      <c r="G92" s="123">
        <v>19638.3</v>
      </c>
    </row>
    <row r="93" spans="4:7" x14ac:dyDescent="0.25">
      <c r="D93" s="122">
        <v>45187</v>
      </c>
      <c r="G93" s="123">
        <v>19674.25</v>
      </c>
    </row>
    <row r="94" spans="4:7" x14ac:dyDescent="0.25">
      <c r="D94" s="122">
        <v>45180</v>
      </c>
      <c r="G94" s="123">
        <v>20192.349999999999</v>
      </c>
    </row>
    <row r="95" spans="4:7" x14ac:dyDescent="0.25">
      <c r="D95" s="122">
        <v>45173</v>
      </c>
      <c r="G95" s="123">
        <v>19819.95</v>
      </c>
    </row>
    <row r="96" spans="4:7" x14ac:dyDescent="0.25">
      <c r="D96" s="122">
        <v>45166</v>
      </c>
      <c r="G96" s="123">
        <v>19435.3</v>
      </c>
    </row>
    <row r="97" spans="4:7" x14ac:dyDescent="0.25">
      <c r="D97" s="122">
        <v>45159</v>
      </c>
      <c r="G97" s="123">
        <v>19265.8</v>
      </c>
    </row>
    <row r="98" spans="4:7" x14ac:dyDescent="0.25">
      <c r="D98" s="122">
        <v>45152</v>
      </c>
      <c r="G98" s="123">
        <v>19310.150000000001</v>
      </c>
    </row>
    <row r="99" spans="4:7" x14ac:dyDescent="0.25">
      <c r="D99" s="122">
        <v>45145</v>
      </c>
      <c r="G99" s="123">
        <v>19428.3</v>
      </c>
    </row>
    <row r="100" spans="4:7" x14ac:dyDescent="0.25">
      <c r="D100" s="122">
        <v>45138</v>
      </c>
      <c r="G100" s="123">
        <v>19517</v>
      </c>
    </row>
    <row r="101" spans="4:7" x14ac:dyDescent="0.25">
      <c r="D101" s="122">
        <v>45131</v>
      </c>
      <c r="G101" s="123">
        <v>19646.05</v>
      </c>
    </row>
    <row r="102" spans="4:7" x14ac:dyDescent="0.25">
      <c r="D102" s="122">
        <v>45124</v>
      </c>
      <c r="G102" s="123">
        <v>19745</v>
      </c>
    </row>
    <row r="103" spans="4:7" x14ac:dyDescent="0.25">
      <c r="D103" s="122">
        <v>45117</v>
      </c>
      <c r="G103" s="123">
        <v>19564.5</v>
      </c>
    </row>
    <row r="104" spans="4:7" x14ac:dyDescent="0.25">
      <c r="D104" s="122">
        <v>45110</v>
      </c>
      <c r="G104" s="123">
        <v>19331.8</v>
      </c>
    </row>
    <row r="105" spans="4:7" x14ac:dyDescent="0.25">
      <c r="D105" s="122">
        <v>45103</v>
      </c>
      <c r="G105" s="123">
        <v>19189.05</v>
      </c>
    </row>
    <row r="106" spans="4:7" x14ac:dyDescent="0.25">
      <c r="D106" s="122">
        <v>45096</v>
      </c>
      <c r="G106" s="123">
        <v>18665.5</v>
      </c>
    </row>
    <row r="107" spans="4:7" x14ac:dyDescent="0.25">
      <c r="D107" s="122">
        <v>45089</v>
      </c>
      <c r="G107" s="123">
        <v>18826</v>
      </c>
    </row>
    <row r="108" spans="4:7" x14ac:dyDescent="0.25">
      <c r="D108" s="122">
        <v>45082</v>
      </c>
      <c r="G108" s="123">
        <v>18563.400000000001</v>
      </c>
    </row>
    <row r="109" spans="4:7" x14ac:dyDescent="0.25">
      <c r="D109" s="122">
        <v>45075</v>
      </c>
      <c r="G109" s="123">
        <v>18534.099999999999</v>
      </c>
    </row>
    <row r="110" spans="4:7" x14ac:dyDescent="0.25">
      <c r="D110" s="122">
        <v>45068</v>
      </c>
      <c r="G110" s="123">
        <v>18499.349999999999</v>
      </c>
    </row>
    <row r="111" spans="4:7" x14ac:dyDescent="0.25">
      <c r="D111" s="122">
        <v>45061</v>
      </c>
      <c r="G111" s="123">
        <v>18203.400000000001</v>
      </c>
    </row>
    <row r="112" spans="4:7" x14ac:dyDescent="0.25">
      <c r="D112" s="122">
        <v>45054</v>
      </c>
      <c r="G112" s="123">
        <v>18314.8</v>
      </c>
    </row>
    <row r="113" spans="4:7" x14ac:dyDescent="0.25">
      <c r="D113" s="122">
        <v>45047</v>
      </c>
      <c r="G113" s="123">
        <v>18069</v>
      </c>
    </row>
    <row r="114" spans="4:7" x14ac:dyDescent="0.25">
      <c r="D114" s="122">
        <v>45040</v>
      </c>
      <c r="G114" s="123">
        <v>18065</v>
      </c>
    </row>
    <row r="115" spans="4:7" x14ac:dyDescent="0.25">
      <c r="D115" s="122">
        <v>45033</v>
      </c>
      <c r="G115" s="123">
        <v>17624.05</v>
      </c>
    </row>
    <row r="116" spans="4:7" x14ac:dyDescent="0.25">
      <c r="D116" s="122">
        <v>45026</v>
      </c>
      <c r="G116" s="123">
        <v>17828</v>
      </c>
    </row>
    <row r="117" spans="4:7" x14ac:dyDescent="0.25">
      <c r="D117" s="122">
        <v>45019</v>
      </c>
      <c r="G117" s="123">
        <v>17599.150000000001</v>
      </c>
    </row>
    <row r="118" spans="4:7" x14ac:dyDescent="0.25">
      <c r="D118" s="122">
        <v>45012</v>
      </c>
      <c r="G118" s="123">
        <v>17359.75</v>
      </c>
    </row>
    <row r="119" spans="4:7" x14ac:dyDescent="0.25">
      <c r="D119" s="122">
        <v>45005</v>
      </c>
      <c r="G119" s="123">
        <v>16945.05</v>
      </c>
    </row>
    <row r="120" spans="4:7" x14ac:dyDescent="0.25">
      <c r="D120" s="122">
        <v>44998</v>
      </c>
      <c r="G120" s="123">
        <v>17100.05</v>
      </c>
    </row>
    <row r="121" spans="4:7" x14ac:dyDescent="0.25">
      <c r="D121" s="122">
        <v>44991</v>
      </c>
      <c r="G121" s="123">
        <v>17412.900000000001</v>
      </c>
    </row>
    <row r="122" spans="4:7" x14ac:dyDescent="0.25">
      <c r="D122" s="122">
        <v>44984</v>
      </c>
      <c r="G122" s="123">
        <v>17594.349999999999</v>
      </c>
    </row>
    <row r="123" spans="4:7" x14ac:dyDescent="0.25">
      <c r="D123" s="122">
        <v>44977</v>
      </c>
      <c r="G123" s="123">
        <v>17465.8</v>
      </c>
    </row>
    <row r="124" spans="4:7" x14ac:dyDescent="0.25">
      <c r="D124" s="122">
        <v>44970</v>
      </c>
      <c r="G124" s="123">
        <v>17944.2</v>
      </c>
    </row>
    <row r="125" spans="4:7" x14ac:dyDescent="0.25">
      <c r="D125" s="122">
        <v>44963</v>
      </c>
      <c r="G125" s="123">
        <v>17856.5</v>
      </c>
    </row>
    <row r="126" spans="4:7" x14ac:dyDescent="0.25">
      <c r="D126" s="122">
        <v>44956</v>
      </c>
      <c r="G126" s="123">
        <v>17854.05</v>
      </c>
    </row>
    <row r="127" spans="4:7" x14ac:dyDescent="0.25">
      <c r="D127" s="122">
        <v>44949</v>
      </c>
      <c r="G127" s="123">
        <v>17604.349999999999</v>
      </c>
    </row>
    <row r="128" spans="4:7" x14ac:dyDescent="0.25">
      <c r="D128" s="122">
        <v>44942</v>
      </c>
      <c r="G128" s="123">
        <v>18027.650000000001</v>
      </c>
    </row>
    <row r="129" spans="4:7" x14ac:dyDescent="0.25">
      <c r="D129" s="122">
        <v>44935</v>
      </c>
      <c r="G129" s="123">
        <v>17956.599999999999</v>
      </c>
    </row>
    <row r="130" spans="4:7" x14ac:dyDescent="0.25">
      <c r="D130" s="122">
        <v>44928</v>
      </c>
      <c r="G130" s="123">
        <v>17859.45</v>
      </c>
    </row>
    <row r="131" spans="4:7" x14ac:dyDescent="0.25">
      <c r="D131" s="122">
        <v>44921</v>
      </c>
      <c r="G131" s="123">
        <v>18105.3</v>
      </c>
    </row>
    <row r="132" spans="4:7" x14ac:dyDescent="0.25">
      <c r="D132" s="122">
        <v>44914</v>
      </c>
      <c r="G132" s="123">
        <v>17806.8</v>
      </c>
    </row>
    <row r="133" spans="4:7" x14ac:dyDescent="0.25">
      <c r="D133" s="122">
        <v>44907</v>
      </c>
      <c r="G133" s="123">
        <v>18269</v>
      </c>
    </row>
    <row r="134" spans="4:7" x14ac:dyDescent="0.25">
      <c r="D134" s="122">
        <v>44900</v>
      </c>
      <c r="G134" s="123">
        <v>18496.599999999999</v>
      </c>
    </row>
    <row r="135" spans="4:7" x14ac:dyDescent="0.25">
      <c r="D135" s="122">
        <v>44893</v>
      </c>
      <c r="G135" s="123">
        <v>18696.099999999999</v>
      </c>
    </row>
    <row r="136" spans="4:7" x14ac:dyDescent="0.25">
      <c r="D136" s="122">
        <v>44886</v>
      </c>
      <c r="G136" s="123">
        <v>18512.75</v>
      </c>
    </row>
    <row r="137" spans="4:7" x14ac:dyDescent="0.25">
      <c r="D137" s="122">
        <v>44879</v>
      </c>
      <c r="G137" s="123">
        <v>18307.650000000001</v>
      </c>
    </row>
    <row r="138" spans="4:7" x14ac:dyDescent="0.25">
      <c r="D138" s="122">
        <v>44872</v>
      </c>
      <c r="G138" s="123">
        <v>18349.7</v>
      </c>
    </row>
    <row r="139" spans="4:7" x14ac:dyDescent="0.25">
      <c r="D139" s="122">
        <v>44865</v>
      </c>
      <c r="G139" s="123">
        <v>18117.150000000001</v>
      </c>
    </row>
    <row r="140" spans="4:7" x14ac:dyDescent="0.25">
      <c r="D140" s="122">
        <v>44858</v>
      </c>
      <c r="G140" s="123">
        <v>17786.8</v>
      </c>
    </row>
    <row r="141" spans="4:7" x14ac:dyDescent="0.25">
      <c r="D141" s="122">
        <v>44851</v>
      </c>
      <c r="G141" s="123">
        <v>17576.3</v>
      </c>
    </row>
    <row r="142" spans="4:7" x14ac:dyDescent="0.25">
      <c r="D142" s="122">
        <v>44844</v>
      </c>
      <c r="G142" s="123">
        <v>17185.7</v>
      </c>
    </row>
    <row r="143" spans="4:7" x14ac:dyDescent="0.25">
      <c r="D143" s="122">
        <v>44837</v>
      </c>
      <c r="G143" s="123">
        <v>17314.650000000001</v>
      </c>
    </row>
    <row r="144" spans="4:7" x14ac:dyDescent="0.25">
      <c r="D144" s="122">
        <v>44830</v>
      </c>
      <c r="G144" s="123">
        <v>17094.349999999999</v>
      </c>
    </row>
    <row r="145" spans="4:7" x14ac:dyDescent="0.25">
      <c r="D145" s="122">
        <v>44823</v>
      </c>
      <c r="G145" s="123">
        <v>17327.349999999999</v>
      </c>
    </row>
    <row r="146" spans="4:7" x14ac:dyDescent="0.25">
      <c r="D146" s="122">
        <v>44816</v>
      </c>
      <c r="G146" s="123">
        <v>17530.849999999999</v>
      </c>
    </row>
    <row r="147" spans="4:7" x14ac:dyDescent="0.25">
      <c r="D147" s="122">
        <v>44809</v>
      </c>
      <c r="G147" s="123">
        <v>17833.349999999999</v>
      </c>
    </row>
    <row r="148" spans="4:7" x14ac:dyDescent="0.25">
      <c r="D148" s="122">
        <v>44802</v>
      </c>
      <c r="G148" s="123">
        <v>17539.45</v>
      </c>
    </row>
    <row r="149" spans="4:7" x14ac:dyDescent="0.25">
      <c r="D149" s="122">
        <v>44795</v>
      </c>
      <c r="G149" s="123">
        <v>17558.900000000001</v>
      </c>
    </row>
    <row r="150" spans="4:7" x14ac:dyDescent="0.25">
      <c r="D150" s="122">
        <v>44788</v>
      </c>
      <c r="G150" s="123">
        <v>17758.45</v>
      </c>
    </row>
    <row r="151" spans="4:7" x14ac:dyDescent="0.25">
      <c r="D151" s="122">
        <v>44781</v>
      </c>
      <c r="G151" s="123">
        <v>17698.150000000001</v>
      </c>
    </row>
    <row r="152" spans="4:7" x14ac:dyDescent="0.25">
      <c r="D152" s="122">
        <v>44774</v>
      </c>
      <c r="G152" s="123">
        <v>17397.5</v>
      </c>
    </row>
    <row r="153" spans="4:7" x14ac:dyDescent="0.25">
      <c r="D153" s="122">
        <v>44767</v>
      </c>
      <c r="G153" s="123">
        <v>17158.25</v>
      </c>
    </row>
    <row r="154" spans="4:7" x14ac:dyDescent="0.25">
      <c r="D154" s="122">
        <v>44760</v>
      </c>
      <c r="G154" s="123">
        <v>16719.45</v>
      </c>
    </row>
    <row r="155" spans="4:7" x14ac:dyDescent="0.25">
      <c r="D155" s="122">
        <v>44753</v>
      </c>
      <c r="G155" s="123">
        <v>16049.2</v>
      </c>
    </row>
    <row r="156" spans="4:7" x14ac:dyDescent="0.25">
      <c r="D156" s="122">
        <v>44746</v>
      </c>
      <c r="G156" s="123">
        <v>16220.6</v>
      </c>
    </row>
    <row r="157" spans="4:7" x14ac:dyDescent="0.25">
      <c r="D157" s="122">
        <v>44739</v>
      </c>
      <c r="G157" s="123">
        <v>15752.05</v>
      </c>
    </row>
    <row r="158" spans="4:7" x14ac:dyDescent="0.25">
      <c r="D158" s="122">
        <v>44732</v>
      </c>
      <c r="G158" s="123">
        <v>15699.25</v>
      </c>
    </row>
    <row r="159" spans="4:7" x14ac:dyDescent="0.25">
      <c r="D159" s="122">
        <v>44725</v>
      </c>
      <c r="G159" s="123">
        <v>15293.5</v>
      </c>
    </row>
    <row r="160" spans="4:7" x14ac:dyDescent="0.25">
      <c r="D160" s="122">
        <v>44718</v>
      </c>
      <c r="G160" s="123">
        <v>16201.8</v>
      </c>
    </row>
    <row r="161" spans="4:7" x14ac:dyDescent="0.25">
      <c r="D161" s="122">
        <v>44711</v>
      </c>
      <c r="G161" s="123">
        <v>16584.3</v>
      </c>
    </row>
    <row r="162" spans="4:7" x14ac:dyDescent="0.25">
      <c r="D162" s="122">
        <v>44704</v>
      </c>
      <c r="G162" s="123">
        <v>16352.45</v>
      </c>
    </row>
    <row r="163" spans="4:7" x14ac:dyDescent="0.25">
      <c r="D163" s="122">
        <v>44697</v>
      </c>
      <c r="G163" s="123">
        <v>16266.15</v>
      </c>
    </row>
    <row r="164" spans="4:7" x14ac:dyDescent="0.25">
      <c r="D164" s="122">
        <v>44690</v>
      </c>
      <c r="G164" s="123">
        <v>15782.15</v>
      </c>
    </row>
    <row r="165" spans="4:7" x14ac:dyDescent="0.25">
      <c r="D165" s="122">
        <v>44683</v>
      </c>
      <c r="G165" s="123">
        <v>16411.25</v>
      </c>
    </row>
    <row r="166" spans="4:7" x14ac:dyDescent="0.25">
      <c r="D166" s="122">
        <v>44676</v>
      </c>
      <c r="G166" s="123">
        <v>17102.55</v>
      </c>
    </row>
    <row r="167" spans="4:7" x14ac:dyDescent="0.25">
      <c r="D167" s="122">
        <v>44669</v>
      </c>
      <c r="G167" s="123">
        <v>17171.95</v>
      </c>
    </row>
    <row r="168" spans="4:7" x14ac:dyDescent="0.25">
      <c r="D168" s="122">
        <v>44662</v>
      </c>
      <c r="G168" s="123">
        <v>17475.650000000001</v>
      </c>
    </row>
    <row r="169" spans="4:7" x14ac:dyDescent="0.25">
      <c r="D169" s="122">
        <v>44655</v>
      </c>
      <c r="G169" s="123">
        <v>17784.349999999999</v>
      </c>
    </row>
    <row r="170" spans="4:7" x14ac:dyDescent="0.25">
      <c r="D170" s="122">
        <v>44648</v>
      </c>
      <c r="G170" s="123">
        <v>17670.45</v>
      </c>
    </row>
    <row r="171" spans="4:7" x14ac:dyDescent="0.25">
      <c r="D171" s="122">
        <v>44641</v>
      </c>
      <c r="G171" s="123">
        <v>17153</v>
      </c>
    </row>
    <row r="172" spans="4:7" x14ac:dyDescent="0.25">
      <c r="D172" s="122">
        <v>44634</v>
      </c>
      <c r="G172" s="123">
        <v>17287.05</v>
      </c>
    </row>
    <row r="173" spans="4:7" x14ac:dyDescent="0.25">
      <c r="D173" s="122">
        <v>44627</v>
      </c>
      <c r="G173" s="123">
        <v>16630.45</v>
      </c>
    </row>
    <row r="174" spans="4:7" x14ac:dyDescent="0.25">
      <c r="D174" s="122">
        <v>44620</v>
      </c>
      <c r="G174" s="123">
        <v>16245.35</v>
      </c>
    </row>
    <row r="175" spans="4:7" x14ac:dyDescent="0.25">
      <c r="D175" s="122">
        <v>44613</v>
      </c>
      <c r="G175" s="123">
        <v>16658.400000000001</v>
      </c>
    </row>
    <row r="176" spans="4:7" x14ac:dyDescent="0.25">
      <c r="D176" s="122">
        <v>44606</v>
      </c>
      <c r="G176" s="123">
        <v>17276.3</v>
      </c>
    </row>
    <row r="177" spans="4:7" x14ac:dyDescent="0.25">
      <c r="D177" s="122">
        <v>44599</v>
      </c>
      <c r="G177" s="123">
        <v>17374.75</v>
      </c>
    </row>
    <row r="178" spans="4:7" x14ac:dyDescent="0.25">
      <c r="D178" s="122">
        <v>44592</v>
      </c>
      <c r="G178" s="123">
        <v>17516.3</v>
      </c>
    </row>
    <row r="179" spans="4:7" x14ac:dyDescent="0.25">
      <c r="D179" s="122">
        <v>44585</v>
      </c>
      <c r="G179" s="123">
        <v>17101.95</v>
      </c>
    </row>
    <row r="180" spans="4:7" x14ac:dyDescent="0.25">
      <c r="D180" s="122">
        <v>44578</v>
      </c>
      <c r="G180" s="123">
        <v>17617.150000000001</v>
      </c>
    </row>
    <row r="181" spans="4:7" x14ac:dyDescent="0.25">
      <c r="D181" s="122">
        <v>44571</v>
      </c>
      <c r="G181" s="123">
        <v>18255.75</v>
      </c>
    </row>
    <row r="182" spans="4:7" x14ac:dyDescent="0.25">
      <c r="D182" s="122">
        <v>44564</v>
      </c>
      <c r="G182" s="123">
        <v>17812.7</v>
      </c>
    </row>
    <row r="183" spans="4:7" x14ac:dyDescent="0.25">
      <c r="D183" s="122">
        <v>44557</v>
      </c>
      <c r="G183" s="123">
        <v>17354.05</v>
      </c>
    </row>
    <row r="184" spans="4:7" x14ac:dyDescent="0.25">
      <c r="D184" s="122">
        <v>44550</v>
      </c>
      <c r="G184" s="123">
        <v>17003.75</v>
      </c>
    </row>
    <row r="185" spans="4:7" x14ac:dyDescent="0.25">
      <c r="D185" s="122">
        <v>44543</v>
      </c>
      <c r="G185" s="123">
        <v>16985.2</v>
      </c>
    </row>
    <row r="186" spans="4:7" x14ac:dyDescent="0.25">
      <c r="D186" s="122">
        <v>44536</v>
      </c>
      <c r="G186" s="123">
        <v>17511.3</v>
      </c>
    </row>
    <row r="187" spans="4:7" x14ac:dyDescent="0.25">
      <c r="D187" s="122">
        <v>44529</v>
      </c>
      <c r="G187" s="123">
        <v>17196.7</v>
      </c>
    </row>
    <row r="188" spans="4:7" x14ac:dyDescent="0.25">
      <c r="D188" s="122">
        <v>44522</v>
      </c>
      <c r="G188" s="123">
        <v>17026.45</v>
      </c>
    </row>
    <row r="189" spans="4:7" x14ac:dyDescent="0.25">
      <c r="D189" s="122">
        <v>44515</v>
      </c>
      <c r="G189" s="123">
        <v>17764.8</v>
      </c>
    </row>
    <row r="190" spans="4:7" x14ac:dyDescent="0.25">
      <c r="D190" s="122">
        <v>44508</v>
      </c>
      <c r="G190" s="123">
        <v>18102.75</v>
      </c>
    </row>
    <row r="191" spans="4:7" x14ac:dyDescent="0.25">
      <c r="D191" s="122">
        <v>44501</v>
      </c>
      <c r="G191" s="123">
        <v>17916.8</v>
      </c>
    </row>
    <row r="192" spans="4:7" x14ac:dyDescent="0.25">
      <c r="D192" s="122">
        <v>44494</v>
      </c>
      <c r="G192" s="123">
        <v>17671.650000000001</v>
      </c>
    </row>
    <row r="193" spans="4:7" x14ac:dyDescent="0.25">
      <c r="D193" s="122">
        <v>44487</v>
      </c>
      <c r="G193" s="123">
        <v>18114.900000000001</v>
      </c>
    </row>
    <row r="194" spans="4:7" x14ac:dyDescent="0.25">
      <c r="D194" s="122">
        <v>44480</v>
      </c>
      <c r="G194" s="123">
        <v>18338.55</v>
      </c>
    </row>
    <row r="195" spans="4:7" x14ac:dyDescent="0.25">
      <c r="D195" s="122">
        <v>44473</v>
      </c>
      <c r="G195" s="123">
        <v>17895.2</v>
      </c>
    </row>
    <row r="196" spans="4:7" x14ac:dyDescent="0.25">
      <c r="D196" s="122">
        <v>44466</v>
      </c>
      <c r="G196" s="123">
        <v>17532.05</v>
      </c>
    </row>
    <row r="197" spans="4:7" x14ac:dyDescent="0.25">
      <c r="D197" s="122">
        <v>44459</v>
      </c>
      <c r="G197" s="123">
        <v>17853.2</v>
      </c>
    </row>
    <row r="198" spans="4:7" x14ac:dyDescent="0.25">
      <c r="D198" s="122">
        <v>44452</v>
      </c>
      <c r="G198" s="123">
        <v>17585.150000000001</v>
      </c>
    </row>
    <row r="199" spans="4:7" x14ac:dyDescent="0.25">
      <c r="D199" s="122">
        <v>44445</v>
      </c>
      <c r="G199" s="123">
        <v>17369.25</v>
      </c>
    </row>
    <row r="200" spans="4:7" x14ac:dyDescent="0.25">
      <c r="D200" s="122">
        <v>44438</v>
      </c>
      <c r="G200" s="123">
        <v>17323.599999999999</v>
      </c>
    </row>
    <row r="201" spans="4:7" x14ac:dyDescent="0.25">
      <c r="D201" s="122">
        <v>44431</v>
      </c>
      <c r="G201" s="123">
        <v>16705.2</v>
      </c>
    </row>
    <row r="202" spans="4:7" x14ac:dyDescent="0.25">
      <c r="D202" s="122">
        <v>44424</v>
      </c>
      <c r="G202" s="123">
        <v>16450.5</v>
      </c>
    </row>
    <row r="203" spans="4:7" x14ac:dyDescent="0.25">
      <c r="D203" s="122">
        <v>44417</v>
      </c>
      <c r="G203" s="123">
        <v>16529.099999999999</v>
      </c>
    </row>
    <row r="204" spans="4:7" x14ac:dyDescent="0.25">
      <c r="D204" s="122">
        <v>44410</v>
      </c>
      <c r="G204" s="123">
        <v>16238.2</v>
      </c>
    </row>
    <row r="205" spans="4:7" x14ac:dyDescent="0.25">
      <c r="D205" s="122">
        <v>44403</v>
      </c>
      <c r="G205" s="123">
        <v>15763.05</v>
      </c>
    </row>
    <row r="206" spans="4:7" x14ac:dyDescent="0.25">
      <c r="D206" s="122">
        <v>44396</v>
      </c>
      <c r="G206" s="123">
        <v>15856.05</v>
      </c>
    </row>
    <row r="207" spans="4:7" x14ac:dyDescent="0.25">
      <c r="D207" s="122">
        <v>44389</v>
      </c>
      <c r="G207" s="123">
        <v>15923.4</v>
      </c>
    </row>
    <row r="208" spans="4:7" x14ac:dyDescent="0.25">
      <c r="D208" s="122">
        <v>44382</v>
      </c>
      <c r="G208" s="123">
        <v>15689.8</v>
      </c>
    </row>
    <row r="209" spans="4:7" x14ac:dyDescent="0.25">
      <c r="D209" s="122">
        <v>44375</v>
      </c>
      <c r="G209" s="123">
        <v>15722.2</v>
      </c>
    </row>
    <row r="210" spans="4:7" x14ac:dyDescent="0.25">
      <c r="D210" s="122">
        <v>44368</v>
      </c>
      <c r="G210" s="123">
        <v>15860.35</v>
      </c>
    </row>
    <row r="211" spans="4:7" x14ac:dyDescent="0.25">
      <c r="D211" s="122">
        <v>44361</v>
      </c>
      <c r="G211" s="123">
        <v>15683.35</v>
      </c>
    </row>
    <row r="212" spans="4:7" x14ac:dyDescent="0.25">
      <c r="D212" s="122">
        <v>44354</v>
      </c>
      <c r="G212" s="123">
        <v>15799.35</v>
      </c>
    </row>
    <row r="213" spans="4:7" x14ac:dyDescent="0.25">
      <c r="D213" s="122">
        <v>44347</v>
      </c>
      <c r="G213" s="123">
        <v>15670.25</v>
      </c>
    </row>
    <row r="214" spans="4:7" x14ac:dyDescent="0.25">
      <c r="D214" s="122">
        <v>44340</v>
      </c>
      <c r="G214" s="123">
        <v>15435.65</v>
      </c>
    </row>
    <row r="215" spans="4:7" x14ac:dyDescent="0.25">
      <c r="D215" s="122">
        <v>44333</v>
      </c>
      <c r="G215" s="123">
        <v>15175.3</v>
      </c>
    </row>
    <row r="216" spans="4:7" x14ac:dyDescent="0.25">
      <c r="D216" s="122">
        <v>44326</v>
      </c>
      <c r="G216" s="123">
        <v>14677.8</v>
      </c>
    </row>
    <row r="217" spans="4:7" x14ac:dyDescent="0.25">
      <c r="D217" s="122">
        <v>44319</v>
      </c>
      <c r="G217" s="123">
        <v>14823.15</v>
      </c>
    </row>
    <row r="218" spans="4:7" x14ac:dyDescent="0.25">
      <c r="D218" s="122">
        <v>44312</v>
      </c>
      <c r="G218" s="123">
        <v>14631.1</v>
      </c>
    </row>
    <row r="219" spans="4:7" x14ac:dyDescent="0.25">
      <c r="D219" s="122">
        <v>44305</v>
      </c>
      <c r="G219" s="123">
        <v>14341.35</v>
      </c>
    </row>
    <row r="220" spans="4:7" x14ac:dyDescent="0.25">
      <c r="D220" s="122">
        <v>44298</v>
      </c>
      <c r="G220" s="123">
        <v>14617.85</v>
      </c>
    </row>
    <row r="221" spans="4:7" x14ac:dyDescent="0.25">
      <c r="D221" s="122">
        <v>44291</v>
      </c>
      <c r="G221" s="123">
        <v>14834.85</v>
      </c>
    </row>
    <row r="222" spans="4:7" x14ac:dyDescent="0.25">
      <c r="D222" s="122">
        <v>44284</v>
      </c>
      <c r="G222" s="123">
        <v>14867.35</v>
      </c>
    </row>
    <row r="223" spans="4:7" x14ac:dyDescent="0.25">
      <c r="D223" s="122">
        <v>44277</v>
      </c>
      <c r="G223" s="123">
        <v>14507.3</v>
      </c>
    </row>
    <row r="224" spans="4:7" x14ac:dyDescent="0.25">
      <c r="D224" s="122">
        <v>44270</v>
      </c>
      <c r="G224" s="123">
        <v>14744</v>
      </c>
    </row>
    <row r="225" spans="4:7" x14ac:dyDescent="0.25">
      <c r="D225" s="122">
        <v>44263</v>
      </c>
      <c r="G225" s="123">
        <v>15030.95</v>
      </c>
    </row>
    <row r="226" spans="4:7" x14ac:dyDescent="0.25">
      <c r="D226" s="122">
        <v>44256</v>
      </c>
      <c r="G226" s="123">
        <v>14938.1</v>
      </c>
    </row>
    <row r="227" spans="4:7" x14ac:dyDescent="0.25">
      <c r="D227" s="122">
        <v>44249</v>
      </c>
      <c r="G227" s="123">
        <v>14529.15</v>
      </c>
    </row>
    <row r="228" spans="4:7" x14ac:dyDescent="0.25">
      <c r="D228" s="122">
        <v>44242</v>
      </c>
      <c r="G228" s="123">
        <v>14981.75</v>
      </c>
    </row>
    <row r="229" spans="4:7" x14ac:dyDescent="0.25">
      <c r="D229" s="122">
        <v>44235</v>
      </c>
      <c r="G229" s="123">
        <v>15163.3</v>
      </c>
    </row>
    <row r="230" spans="4:7" x14ac:dyDescent="0.25">
      <c r="D230" s="122">
        <v>44228</v>
      </c>
      <c r="G230" s="123">
        <v>14924.25</v>
      </c>
    </row>
    <row r="231" spans="4:7" x14ac:dyDescent="0.25">
      <c r="D231" s="122">
        <v>44221</v>
      </c>
      <c r="G231" s="123">
        <v>13634.6</v>
      </c>
    </row>
    <row r="232" spans="4:7" x14ac:dyDescent="0.25">
      <c r="D232" s="122">
        <v>44214</v>
      </c>
      <c r="G232" s="123">
        <v>14371.9</v>
      </c>
    </row>
    <row r="233" spans="4:7" x14ac:dyDescent="0.25">
      <c r="D233" s="122">
        <v>44207</v>
      </c>
      <c r="G233" s="123">
        <v>14433.7</v>
      </c>
    </row>
    <row r="234" spans="4:7" x14ac:dyDescent="0.25">
      <c r="D234" s="122">
        <v>44200</v>
      </c>
      <c r="G234" s="123">
        <v>14347.25</v>
      </c>
    </row>
    <row r="235" spans="4:7" x14ac:dyDescent="0.25">
      <c r="D235" s="122">
        <v>44193</v>
      </c>
      <c r="G235" s="123">
        <v>14018.5</v>
      </c>
    </row>
    <row r="236" spans="4:7" x14ac:dyDescent="0.25">
      <c r="D236" s="122">
        <v>44186</v>
      </c>
      <c r="G236" s="123">
        <v>13749.25</v>
      </c>
    </row>
    <row r="237" spans="4:7" x14ac:dyDescent="0.25">
      <c r="D237" s="122">
        <v>44179</v>
      </c>
      <c r="G237" s="123">
        <v>13760.55</v>
      </c>
    </row>
    <row r="238" spans="4:7" x14ac:dyDescent="0.25">
      <c r="D238" s="122">
        <v>44172</v>
      </c>
      <c r="G238" s="123">
        <v>13513.85</v>
      </c>
    </row>
    <row r="239" spans="4:7" x14ac:dyDescent="0.25">
      <c r="D239" s="122">
        <v>44165</v>
      </c>
      <c r="G239" s="123">
        <v>13258.55</v>
      </c>
    </row>
    <row r="240" spans="4:7" x14ac:dyDescent="0.25">
      <c r="D240" s="122">
        <v>44158</v>
      </c>
      <c r="G240" s="123">
        <v>12968.95</v>
      </c>
    </row>
    <row r="241" spans="4:7" x14ac:dyDescent="0.25">
      <c r="D241" s="122">
        <v>44151</v>
      </c>
      <c r="G241" s="123">
        <v>12859.05</v>
      </c>
    </row>
    <row r="242" spans="4:7" x14ac:dyDescent="0.25">
      <c r="D242" s="122">
        <v>44144</v>
      </c>
      <c r="G242" s="123">
        <v>12719.95</v>
      </c>
    </row>
    <row r="243" spans="4:7" x14ac:dyDescent="0.25">
      <c r="D243" s="122">
        <v>44137</v>
      </c>
      <c r="G243" s="123">
        <v>12263.55</v>
      </c>
    </row>
    <row r="244" spans="4:7" x14ac:dyDescent="0.25">
      <c r="D244" s="122">
        <v>44130</v>
      </c>
      <c r="G244" s="123">
        <v>11642.4</v>
      </c>
    </row>
    <row r="245" spans="4:7" x14ac:dyDescent="0.25">
      <c r="D245" s="122">
        <v>44123</v>
      </c>
      <c r="G245" s="123">
        <v>11930.35</v>
      </c>
    </row>
    <row r="246" spans="4:7" x14ac:dyDescent="0.25">
      <c r="D246" s="122">
        <v>44116</v>
      </c>
      <c r="G246" s="123">
        <v>11762.45</v>
      </c>
    </row>
    <row r="247" spans="4:7" x14ac:dyDescent="0.25">
      <c r="D247" s="122">
        <v>44109</v>
      </c>
      <c r="G247" s="123">
        <v>11914.2</v>
      </c>
    </row>
    <row r="248" spans="4:7" x14ac:dyDescent="0.25">
      <c r="D248" s="122">
        <v>44102</v>
      </c>
      <c r="G248" s="123">
        <v>11416.95</v>
      </c>
    </row>
    <row r="249" spans="4:7" x14ac:dyDescent="0.25">
      <c r="D249" s="122">
        <v>44095</v>
      </c>
      <c r="G249" s="123">
        <v>11050.25</v>
      </c>
    </row>
    <row r="250" spans="4:7" x14ac:dyDescent="0.25">
      <c r="D250" s="122">
        <v>44088</v>
      </c>
      <c r="G250" s="123">
        <v>11504.95</v>
      </c>
    </row>
    <row r="251" spans="4:7" x14ac:dyDescent="0.25">
      <c r="D251" s="122">
        <v>44081</v>
      </c>
      <c r="G251" s="123">
        <v>11464.45</v>
      </c>
    </row>
    <row r="252" spans="4:7" x14ac:dyDescent="0.25">
      <c r="D252" s="122">
        <v>44074</v>
      </c>
      <c r="G252" s="123">
        <v>11333.85</v>
      </c>
    </row>
    <row r="253" spans="4:7" x14ac:dyDescent="0.25">
      <c r="D253" s="122">
        <v>44067</v>
      </c>
      <c r="G253" s="123">
        <v>11647.6</v>
      </c>
    </row>
    <row r="254" spans="4:7" x14ac:dyDescent="0.25">
      <c r="D254" s="122">
        <v>44060</v>
      </c>
      <c r="G254" s="123">
        <v>11371.6</v>
      </c>
    </row>
    <row r="255" spans="4:7" x14ac:dyDescent="0.25">
      <c r="D255" s="122">
        <v>44053</v>
      </c>
      <c r="G255" s="123">
        <v>11178.4</v>
      </c>
    </row>
    <row r="256" spans="4:7" x14ac:dyDescent="0.25">
      <c r="D256" s="122">
        <v>44046</v>
      </c>
      <c r="G256" s="123">
        <v>11214.05</v>
      </c>
    </row>
    <row r="257" spans="4:7" x14ac:dyDescent="0.25">
      <c r="D257" s="122">
        <v>44039</v>
      </c>
      <c r="G257" s="123">
        <v>11073.45</v>
      </c>
    </row>
    <row r="258" spans="4:7" x14ac:dyDescent="0.25">
      <c r="D258" s="122">
        <v>44032</v>
      </c>
      <c r="G258" s="123">
        <v>11194.15</v>
      </c>
    </row>
    <row r="259" spans="4:7" x14ac:dyDescent="0.25">
      <c r="D259" s="122">
        <v>44025</v>
      </c>
      <c r="G259" s="123">
        <v>10901.7</v>
      </c>
    </row>
    <row r="260" spans="4:7" x14ac:dyDescent="0.25">
      <c r="D260" s="122">
        <v>44018</v>
      </c>
      <c r="G260" s="123">
        <v>10768.05</v>
      </c>
    </row>
    <row r="261" spans="4:7" x14ac:dyDescent="0.25">
      <c r="D261" s="122">
        <v>44011</v>
      </c>
      <c r="G261" s="123">
        <v>10607.35</v>
      </c>
    </row>
    <row r="262" spans="4:7" x14ac:dyDescent="0.25">
      <c r="D262" s="122">
        <v>44004</v>
      </c>
      <c r="G262" s="123">
        <v>10383</v>
      </c>
    </row>
    <row r="263" spans="4:7" x14ac:dyDescent="0.25">
      <c r="D263" s="122">
        <v>43997</v>
      </c>
      <c r="G263" s="123">
        <v>10244.4</v>
      </c>
    </row>
    <row r="264" spans="4:7" x14ac:dyDescent="0.25">
      <c r="D264" s="122">
        <v>43990</v>
      </c>
      <c r="G264" s="123">
        <v>9972.9</v>
      </c>
    </row>
    <row r="265" spans="4:7" x14ac:dyDescent="0.25">
      <c r="D265" s="122">
        <v>43983</v>
      </c>
      <c r="G265" s="123">
        <v>10142.15</v>
      </c>
    </row>
    <row r="266" spans="4:7" x14ac:dyDescent="0.25">
      <c r="D266" s="122">
        <v>43976</v>
      </c>
      <c r="G266" s="123">
        <v>9580.2999999999993</v>
      </c>
    </row>
    <row r="267" spans="4:7" x14ac:dyDescent="0.25">
      <c r="D267" s="122">
        <v>43969</v>
      </c>
      <c r="G267" s="123">
        <v>9039.25</v>
      </c>
    </row>
    <row r="268" spans="4:7" x14ac:dyDescent="0.25">
      <c r="D268" s="122">
        <v>43962</v>
      </c>
      <c r="G268" s="123">
        <v>9136.85</v>
      </c>
    </row>
    <row r="269" spans="4:7" x14ac:dyDescent="0.25">
      <c r="D269" s="122">
        <v>43955</v>
      </c>
      <c r="G269" s="123">
        <v>9251.5</v>
      </c>
    </row>
    <row r="270" spans="4:7" x14ac:dyDescent="0.25">
      <c r="D270" s="122">
        <v>43948</v>
      </c>
      <c r="G270" s="123">
        <v>9859.9</v>
      </c>
    </row>
    <row r="271" spans="4:7" ht="14.4" x14ac:dyDescent="0.25">
      <c r="D271" s="117">
        <v>43927</v>
      </c>
      <c r="G271" s="118">
        <v>9111.9</v>
      </c>
    </row>
    <row r="272" spans="4:7" ht="14.4" x14ac:dyDescent="0.25">
      <c r="D272" s="117">
        <v>43920</v>
      </c>
      <c r="G272" s="118">
        <v>8083.8</v>
      </c>
    </row>
    <row r="273" spans="4:7" ht="14.4" x14ac:dyDescent="0.25">
      <c r="D273" s="117">
        <v>43913</v>
      </c>
      <c r="G273" s="118">
        <v>8660.25</v>
      </c>
    </row>
    <row r="274" spans="4:7" ht="14.4" x14ac:dyDescent="0.25">
      <c r="D274" s="117">
        <v>43906</v>
      </c>
      <c r="G274" s="118">
        <v>8745.4500000000007</v>
      </c>
    </row>
    <row r="275" spans="4:7" ht="14.4" x14ac:dyDescent="0.25">
      <c r="D275" s="117">
        <v>43899</v>
      </c>
      <c r="G275" s="118">
        <v>9955.2000000000007</v>
      </c>
    </row>
    <row r="276" spans="4:7" ht="14.4" x14ac:dyDescent="0.25">
      <c r="D276" s="117">
        <v>43892</v>
      </c>
      <c r="G276" s="118">
        <v>10989.45</v>
      </c>
    </row>
    <row r="277" spans="4:7" ht="14.4" x14ac:dyDescent="0.25">
      <c r="D277" s="117">
        <v>43885</v>
      </c>
      <c r="G277" s="118">
        <v>11201.75</v>
      </c>
    </row>
    <row r="278" spans="4:7" ht="14.4" x14ac:dyDescent="0.25">
      <c r="D278" s="117">
        <v>43878</v>
      </c>
      <c r="G278" s="118">
        <v>12080.85</v>
      </c>
    </row>
    <row r="279" spans="4:7" ht="14.4" x14ac:dyDescent="0.25">
      <c r="D279" s="117">
        <v>43871</v>
      </c>
      <c r="G279" s="118">
        <v>12113.45</v>
      </c>
    </row>
    <row r="280" spans="4:7" ht="14.4" x14ac:dyDescent="0.25">
      <c r="D280" s="117">
        <v>43864</v>
      </c>
      <c r="G280" s="118">
        <v>12098.35</v>
      </c>
    </row>
    <row r="281" spans="4:7" ht="14.4" x14ac:dyDescent="0.25">
      <c r="D281" s="117">
        <v>43857</v>
      </c>
      <c r="G281" s="118">
        <v>11962.1</v>
      </c>
    </row>
    <row r="282" spans="4:7" ht="14.4" x14ac:dyDescent="0.25">
      <c r="D282" s="117">
        <v>43850</v>
      </c>
      <c r="G282" s="118">
        <v>12248.25</v>
      </c>
    </row>
    <row r="283" spans="4:7" ht="14.4" x14ac:dyDescent="0.25">
      <c r="D283" s="117">
        <v>43843</v>
      </c>
      <c r="G283" s="118">
        <v>12352.35</v>
      </c>
    </row>
    <row r="284" spans="4:7" ht="14.4" x14ac:dyDescent="0.25">
      <c r="D284" s="117">
        <v>43836</v>
      </c>
      <c r="G284" s="118">
        <v>12256.8</v>
      </c>
    </row>
    <row r="285" spans="4:7" ht="14.4" x14ac:dyDescent="0.25">
      <c r="D285" s="117">
        <v>43829</v>
      </c>
      <c r="G285" s="118">
        <v>12226.65</v>
      </c>
    </row>
    <row r="286" spans="4:7" ht="14.4" x14ac:dyDescent="0.25">
      <c r="D286" s="117">
        <v>43822</v>
      </c>
      <c r="G286" s="118">
        <v>12245.8</v>
      </c>
    </row>
    <row r="287" spans="4:7" ht="14.4" x14ac:dyDescent="0.25">
      <c r="D287" s="117">
        <v>43815</v>
      </c>
      <c r="G287" s="118">
        <v>12271.8</v>
      </c>
    </row>
    <row r="288" spans="4:7" ht="14.4" x14ac:dyDescent="0.25">
      <c r="D288" s="117">
        <v>43808</v>
      </c>
      <c r="G288" s="118">
        <v>12086.7</v>
      </c>
    </row>
    <row r="289" spans="4:7" ht="14.4" x14ac:dyDescent="0.25">
      <c r="D289" s="117">
        <v>43801</v>
      </c>
      <c r="G289" s="118">
        <v>11921.5</v>
      </c>
    </row>
    <row r="290" spans="4:7" ht="14.4" x14ac:dyDescent="0.25">
      <c r="D290" s="117">
        <v>43794</v>
      </c>
      <c r="G290" s="118">
        <v>12056.05</v>
      </c>
    </row>
    <row r="291" spans="4:7" ht="14.4" x14ac:dyDescent="0.25">
      <c r="D291" s="117">
        <v>43787</v>
      </c>
      <c r="G291" s="118">
        <v>11914.4</v>
      </c>
    </row>
    <row r="292" spans="4:7" ht="14.4" x14ac:dyDescent="0.25">
      <c r="D292" s="117">
        <v>43780</v>
      </c>
      <c r="G292" s="118">
        <v>11895.45</v>
      </c>
    </row>
    <row r="293" spans="4:7" ht="14.4" x14ac:dyDescent="0.25">
      <c r="D293" s="117">
        <v>43773</v>
      </c>
      <c r="G293" s="118">
        <v>11908.15</v>
      </c>
    </row>
    <row r="294" spans="4:7" ht="14.4" x14ac:dyDescent="0.25">
      <c r="D294" s="117">
        <v>43766</v>
      </c>
      <c r="G294" s="118">
        <v>11890.6</v>
      </c>
    </row>
    <row r="295" spans="4:7" ht="14.4" x14ac:dyDescent="0.25">
      <c r="D295" s="117">
        <v>43759</v>
      </c>
      <c r="G295" s="118">
        <v>11583.9</v>
      </c>
    </row>
    <row r="296" spans="4:7" ht="14.4" x14ac:dyDescent="0.25">
      <c r="D296" s="117">
        <v>43752</v>
      </c>
      <c r="G296" s="118">
        <v>11661.85</v>
      </c>
    </row>
    <row r="297" spans="4:7" ht="14.4" x14ac:dyDescent="0.25">
      <c r="D297" s="117">
        <v>43745</v>
      </c>
      <c r="G297" s="118">
        <v>11305.05</v>
      </c>
    </row>
    <row r="298" spans="4:7" ht="14.4" x14ac:dyDescent="0.25">
      <c r="D298" s="117">
        <v>43738</v>
      </c>
      <c r="G298" s="118">
        <v>11174.75</v>
      </c>
    </row>
    <row r="299" spans="4:7" ht="14.4" x14ac:dyDescent="0.25">
      <c r="D299" s="117">
        <v>43731</v>
      </c>
      <c r="G299" s="118">
        <v>11512.4</v>
      </c>
    </row>
    <row r="300" spans="4:7" ht="14.4" x14ac:dyDescent="0.25">
      <c r="D300" s="117">
        <v>43724</v>
      </c>
      <c r="G300" s="118">
        <v>11274.2</v>
      </c>
    </row>
    <row r="301" spans="4:7" ht="14.4" x14ac:dyDescent="0.25">
      <c r="D301" s="117">
        <v>43717</v>
      </c>
      <c r="G301" s="118">
        <v>11075.9</v>
      </c>
    </row>
    <row r="302" spans="4:7" ht="14.4" x14ac:dyDescent="0.25">
      <c r="D302" s="117">
        <v>43710</v>
      </c>
      <c r="G302" s="118">
        <v>10946.2</v>
      </c>
    </row>
    <row r="303" spans="4:7" ht="14.4" x14ac:dyDescent="0.25">
      <c r="D303" s="117">
        <v>43703</v>
      </c>
      <c r="G303" s="118">
        <v>11023.25</v>
      </c>
    </row>
    <row r="304" spans="4:7" ht="14.4" x14ac:dyDescent="0.25">
      <c r="D304" s="117">
        <v>43696</v>
      </c>
      <c r="G304" s="118">
        <v>10829.35</v>
      </c>
    </row>
    <row r="305" spans="4:7" ht="14.4" x14ac:dyDescent="0.25">
      <c r="D305" s="117">
        <v>43689</v>
      </c>
      <c r="G305" s="118">
        <v>11047.8</v>
      </c>
    </row>
    <row r="306" spans="4:7" ht="14.4" x14ac:dyDescent="0.25">
      <c r="D306" s="117">
        <v>43682</v>
      </c>
      <c r="G306" s="118">
        <v>11109.65</v>
      </c>
    </row>
    <row r="307" spans="4:7" ht="14.4" x14ac:dyDescent="0.25">
      <c r="D307" s="117">
        <v>43675</v>
      </c>
      <c r="G307" s="118">
        <v>10997.35</v>
      </c>
    </row>
    <row r="308" spans="4:7" ht="14.4" x14ac:dyDescent="0.25">
      <c r="D308" s="117">
        <v>43668</v>
      </c>
      <c r="G308" s="118">
        <v>11284.3</v>
      </c>
    </row>
    <row r="309" spans="4:7" ht="14.4" x14ac:dyDescent="0.25">
      <c r="D309" s="117">
        <v>43661</v>
      </c>
      <c r="G309" s="118">
        <v>11419.25</v>
      </c>
    </row>
    <row r="310" spans="4:7" ht="14.4" x14ac:dyDescent="0.25">
      <c r="D310" s="117">
        <v>43654</v>
      </c>
      <c r="G310" s="118">
        <v>11552.5</v>
      </c>
    </row>
    <row r="311" spans="4:7" ht="14.4" x14ac:dyDescent="0.25">
      <c r="D311" s="117">
        <v>43647</v>
      </c>
      <c r="G311" s="118">
        <v>11811.15</v>
      </c>
    </row>
    <row r="312" spans="4:7" ht="14.4" x14ac:dyDescent="0.25">
      <c r="D312" s="117">
        <v>43640</v>
      </c>
      <c r="G312" s="118">
        <v>11788.85</v>
      </c>
    </row>
    <row r="313" spans="4:7" ht="14.4" x14ac:dyDescent="0.25">
      <c r="D313" s="117">
        <v>43633</v>
      </c>
      <c r="G313" s="118">
        <v>11724.1</v>
      </c>
    </row>
    <row r="314" spans="4:7" ht="14.4" x14ac:dyDescent="0.25">
      <c r="D314" s="117">
        <v>43626</v>
      </c>
      <c r="G314" s="118">
        <v>11823.3</v>
      </c>
    </row>
    <row r="315" spans="4:7" ht="14.4" x14ac:dyDescent="0.25">
      <c r="D315" s="117">
        <v>43619</v>
      </c>
      <c r="G315" s="118">
        <v>11870.65</v>
      </c>
    </row>
    <row r="316" spans="4:7" ht="14.4" x14ac:dyDescent="0.25">
      <c r="D316" s="117">
        <v>43612</v>
      </c>
      <c r="G316" s="118">
        <v>11922.8</v>
      </c>
    </row>
    <row r="317" spans="4:7" ht="14.4" x14ac:dyDescent="0.25">
      <c r="D317" s="117">
        <v>43605</v>
      </c>
      <c r="G317" s="118">
        <v>11844.1</v>
      </c>
    </row>
    <row r="318" spans="4:7" ht="14.4" x14ac:dyDescent="0.25">
      <c r="D318" s="117">
        <v>43598</v>
      </c>
      <c r="G318" s="118">
        <v>11407.15</v>
      </c>
    </row>
    <row r="319" spans="4:7" ht="14.4" x14ac:dyDescent="0.25">
      <c r="D319" s="117">
        <v>43591</v>
      </c>
      <c r="G319" s="118">
        <v>11278.9</v>
      </c>
    </row>
    <row r="320" spans="4:7" ht="14.4" x14ac:dyDescent="0.25">
      <c r="D320" s="117">
        <v>43584</v>
      </c>
      <c r="G320" s="118">
        <v>11712.25</v>
      </c>
    </row>
    <row r="321" spans="4:7" ht="14.4" x14ac:dyDescent="0.25">
      <c r="D321" s="117">
        <v>43577</v>
      </c>
      <c r="G321" s="118">
        <v>11754.65</v>
      </c>
    </row>
    <row r="322" spans="4:7" ht="14.4" x14ac:dyDescent="0.25">
      <c r="D322" s="117">
        <v>43570</v>
      </c>
      <c r="G322" s="118">
        <v>11752.8</v>
      </c>
    </row>
    <row r="323" spans="4:7" ht="14.4" x14ac:dyDescent="0.25">
      <c r="D323" s="117">
        <v>43563</v>
      </c>
      <c r="G323" s="118">
        <v>11643.45</v>
      </c>
    </row>
    <row r="324" spans="4:7" ht="14.4" x14ac:dyDescent="0.25">
      <c r="D324" s="117">
        <v>43556</v>
      </c>
      <c r="G324" s="118">
        <v>11665.95</v>
      </c>
    </row>
    <row r="325" spans="4:7" ht="14.4" x14ac:dyDescent="0.25">
      <c r="D325" s="117">
        <v>43549</v>
      </c>
      <c r="G325" s="118">
        <v>11623.9</v>
      </c>
    </row>
    <row r="326" spans="4:7" ht="14.4" x14ac:dyDescent="0.25">
      <c r="D326" s="117">
        <v>43542</v>
      </c>
      <c r="G326" s="118">
        <v>11456.9</v>
      </c>
    </row>
    <row r="327" spans="4:7" ht="14.4" x14ac:dyDescent="0.25">
      <c r="D327" s="117">
        <v>43535</v>
      </c>
      <c r="G327" s="118">
        <v>11426.85</v>
      </c>
    </row>
    <row r="328" spans="4:7" ht="14.4" x14ac:dyDescent="0.25">
      <c r="D328" s="117">
        <v>43528</v>
      </c>
      <c r="G328" s="118">
        <v>11035.4</v>
      </c>
    </row>
    <row r="329" spans="4:7" ht="14.4" x14ac:dyDescent="0.25">
      <c r="D329" s="117">
        <v>43521</v>
      </c>
      <c r="G329" s="118">
        <v>10863.5</v>
      </c>
    </row>
    <row r="330" spans="4:7" ht="14.4" x14ac:dyDescent="0.25">
      <c r="D330" s="117">
        <v>43514</v>
      </c>
      <c r="G330" s="118">
        <v>10791.65</v>
      </c>
    </row>
    <row r="331" spans="4:7" ht="14.4" x14ac:dyDescent="0.25">
      <c r="D331" s="117">
        <v>43507</v>
      </c>
      <c r="G331" s="118">
        <v>10724.4</v>
      </c>
    </row>
    <row r="332" spans="4:7" ht="14.4" x14ac:dyDescent="0.25">
      <c r="D332" s="117">
        <v>43500</v>
      </c>
      <c r="G332" s="118">
        <v>10943.6</v>
      </c>
    </row>
    <row r="333" spans="4:7" ht="14.4" x14ac:dyDescent="0.25">
      <c r="D333" s="117">
        <v>43493</v>
      </c>
      <c r="G333" s="118">
        <v>10893.65</v>
      </c>
    </row>
    <row r="334" spans="4:7" ht="14.4" x14ac:dyDescent="0.25">
      <c r="D334" s="117">
        <v>43486</v>
      </c>
      <c r="G334" s="118">
        <v>10780.55</v>
      </c>
    </row>
    <row r="335" spans="4:7" ht="14.4" x14ac:dyDescent="0.25">
      <c r="D335" s="117">
        <v>43479</v>
      </c>
      <c r="G335" s="118">
        <v>10906.95</v>
      </c>
    </row>
    <row r="336" spans="4:7" ht="14.4" x14ac:dyDescent="0.25">
      <c r="D336" s="117">
        <v>43472</v>
      </c>
      <c r="G336" s="118">
        <v>10794.95</v>
      </c>
    </row>
    <row r="337" spans="4:7" ht="14.4" x14ac:dyDescent="0.25">
      <c r="D337" s="117">
        <v>43465</v>
      </c>
      <c r="G337" s="118">
        <v>10727.35</v>
      </c>
    </row>
    <row r="338" spans="4:7" ht="14.4" x14ac:dyDescent="0.25">
      <c r="D338" s="117">
        <v>43458</v>
      </c>
      <c r="G338" s="118">
        <v>10859.9</v>
      </c>
    </row>
    <row r="339" spans="4:7" ht="14.4" x14ac:dyDescent="0.25">
      <c r="D339" s="117">
        <v>43451</v>
      </c>
      <c r="G339" s="118">
        <v>10754</v>
      </c>
    </row>
    <row r="340" spans="4:7" ht="14.4" x14ac:dyDescent="0.25">
      <c r="D340" s="117">
        <v>43444</v>
      </c>
      <c r="G340" s="118">
        <v>10805.45</v>
      </c>
    </row>
    <row r="341" spans="4:7" ht="14.4" x14ac:dyDescent="0.25">
      <c r="D341" s="117">
        <v>43437</v>
      </c>
      <c r="G341" s="118">
        <v>10693.7</v>
      </c>
    </row>
    <row r="342" spans="4:7" ht="14.4" x14ac:dyDescent="0.25">
      <c r="D342" s="117">
        <v>43430</v>
      </c>
      <c r="G342" s="118">
        <v>10876.75</v>
      </c>
    </row>
    <row r="343" spans="4:7" ht="14.4" x14ac:dyDescent="0.25">
      <c r="D343" s="117">
        <v>43423</v>
      </c>
      <c r="G343" s="118">
        <v>10526.75</v>
      </c>
    </row>
    <row r="344" spans="4:7" ht="14.4" x14ac:dyDescent="0.25">
      <c r="D344" s="117">
        <v>43416</v>
      </c>
      <c r="G344" s="118">
        <v>10682.2</v>
      </c>
    </row>
    <row r="345" spans="4:7" ht="14.4" x14ac:dyDescent="0.25">
      <c r="D345" s="117">
        <v>43409</v>
      </c>
      <c r="G345" s="118">
        <v>10585.2</v>
      </c>
    </row>
    <row r="346" spans="4:7" ht="14.4" x14ac:dyDescent="0.25">
      <c r="D346" s="117">
        <v>43402</v>
      </c>
      <c r="G346" s="118">
        <v>10553</v>
      </c>
    </row>
    <row r="347" spans="4:7" ht="14.4" x14ac:dyDescent="0.25">
      <c r="D347" s="117">
        <v>43395</v>
      </c>
      <c r="G347" s="118">
        <v>10030</v>
      </c>
    </row>
    <row r="348" spans="4:7" ht="14.4" x14ac:dyDescent="0.25">
      <c r="D348" s="117">
        <v>43388</v>
      </c>
      <c r="G348" s="118">
        <v>10303.549999999999</v>
      </c>
    </row>
    <row r="349" spans="4:7" ht="14.4" x14ac:dyDescent="0.25">
      <c r="D349" s="117">
        <v>43381</v>
      </c>
      <c r="G349" s="118">
        <v>10472.5</v>
      </c>
    </row>
    <row r="350" spans="4:7" ht="14.4" x14ac:dyDescent="0.25">
      <c r="D350" s="117">
        <v>43374</v>
      </c>
      <c r="G350" s="118">
        <v>10316.450000000001</v>
      </c>
    </row>
    <row r="351" spans="4:7" ht="14.4" x14ac:dyDescent="0.25">
      <c r="D351" s="117">
        <v>43367</v>
      </c>
      <c r="G351" s="118">
        <v>10930.45</v>
      </c>
    </row>
    <row r="352" spans="4:7" ht="14.4" x14ac:dyDescent="0.25">
      <c r="D352" s="117">
        <v>43360</v>
      </c>
      <c r="G352" s="118">
        <v>11143.1</v>
      </c>
    </row>
    <row r="353" spans="4:7" ht="14.4" x14ac:dyDescent="0.25">
      <c r="D353" s="117">
        <v>43353</v>
      </c>
      <c r="G353" s="118">
        <v>11515.2</v>
      </c>
    </row>
    <row r="354" spans="4:7" ht="14.4" x14ac:dyDescent="0.25">
      <c r="D354" s="117">
        <v>43346</v>
      </c>
      <c r="G354" s="118">
        <v>11589.1</v>
      </c>
    </row>
    <row r="355" spans="4:7" ht="14.4" x14ac:dyDescent="0.25">
      <c r="D355" s="117">
        <v>43339</v>
      </c>
      <c r="G355" s="118">
        <v>11680.5</v>
      </c>
    </row>
    <row r="356" spans="4:7" ht="14.4" x14ac:dyDescent="0.25">
      <c r="D356" s="117">
        <v>43332</v>
      </c>
      <c r="G356" s="118">
        <v>11557.1</v>
      </c>
    </row>
    <row r="357" spans="4:7" ht="14.4" x14ac:dyDescent="0.25">
      <c r="D357" s="117">
        <v>43325</v>
      </c>
      <c r="G357" s="118">
        <v>11470.75</v>
      </c>
    </row>
    <row r="358" spans="4:7" ht="14.4" x14ac:dyDescent="0.25">
      <c r="D358" s="117">
        <v>43318</v>
      </c>
      <c r="G358" s="118">
        <v>11429.5</v>
      </c>
    </row>
    <row r="359" spans="4:7" ht="14.4" x14ac:dyDescent="0.25">
      <c r="D359" s="117">
        <v>43311</v>
      </c>
      <c r="G359" s="118">
        <v>11360.8</v>
      </c>
    </row>
    <row r="360" spans="4:7" ht="14.4" x14ac:dyDescent="0.25">
      <c r="D360" s="117">
        <v>43304</v>
      </c>
      <c r="G360" s="118">
        <v>11278.35</v>
      </c>
    </row>
    <row r="361" spans="4:7" ht="14.4" x14ac:dyDescent="0.25">
      <c r="D361" s="117">
        <v>43297</v>
      </c>
      <c r="G361" s="118">
        <v>11010.2</v>
      </c>
    </row>
    <row r="362" spans="4:7" ht="14.4" x14ac:dyDescent="0.25">
      <c r="D362" s="117">
        <v>43290</v>
      </c>
      <c r="G362" s="118">
        <v>11018.9</v>
      </c>
    </row>
    <row r="363" spans="4:7" ht="14.4" x14ac:dyDescent="0.25">
      <c r="D363" s="117">
        <v>43283</v>
      </c>
      <c r="G363" s="118">
        <v>10772.65</v>
      </c>
    </row>
    <row r="364" spans="4:7" ht="14.4" x14ac:dyDescent="0.25">
      <c r="D364" s="117">
        <v>43276</v>
      </c>
      <c r="G364" s="118">
        <v>10714.3</v>
      </c>
    </row>
    <row r="365" spans="4:7" ht="14.4" x14ac:dyDescent="0.25">
      <c r="D365" s="117">
        <v>43269</v>
      </c>
      <c r="G365" s="118">
        <v>10821.85</v>
      </c>
    </row>
    <row r="366" spans="4:7" ht="14.4" x14ac:dyDescent="0.25">
      <c r="D366" s="117">
        <v>43262</v>
      </c>
      <c r="G366" s="118">
        <v>10817.7</v>
      </c>
    </row>
    <row r="367" spans="4:7" ht="14.4" x14ac:dyDescent="0.25">
      <c r="D367" s="117">
        <v>43255</v>
      </c>
      <c r="G367" s="118">
        <v>10767.65</v>
      </c>
    </row>
    <row r="368" spans="4:7" ht="14.4" x14ac:dyDescent="0.25">
      <c r="D368" s="117">
        <v>43248</v>
      </c>
      <c r="G368" s="118">
        <v>10696.2</v>
      </c>
    </row>
    <row r="369" spans="4:7" ht="14.4" x14ac:dyDescent="0.25">
      <c r="D369" s="117">
        <v>43241</v>
      </c>
      <c r="G369" s="118">
        <v>10605.15</v>
      </c>
    </row>
    <row r="370" spans="4:7" ht="14.4" x14ac:dyDescent="0.25">
      <c r="D370" s="117">
        <v>43234</v>
      </c>
      <c r="G370" s="118">
        <v>10596.4</v>
      </c>
    </row>
    <row r="371" spans="4:7" ht="14.4" x14ac:dyDescent="0.25">
      <c r="D371" s="117">
        <v>43227</v>
      </c>
      <c r="G371" s="118">
        <v>10806.5</v>
      </c>
    </row>
    <row r="372" spans="4:7" ht="14.4" x14ac:dyDescent="0.25">
      <c r="D372" s="117">
        <v>43220</v>
      </c>
      <c r="G372" s="118">
        <v>10618.25</v>
      </c>
    </row>
    <row r="373" spans="4:7" ht="14.4" x14ac:dyDescent="0.25">
      <c r="D373" s="117">
        <v>43213</v>
      </c>
      <c r="G373" s="118">
        <v>10692.3</v>
      </c>
    </row>
    <row r="374" spans="4:7" ht="14.4" x14ac:dyDescent="0.25">
      <c r="D374" s="117">
        <v>43206</v>
      </c>
      <c r="G374" s="118">
        <v>10564.05</v>
      </c>
    </row>
    <row r="375" spans="4:7" ht="14.4" x14ac:dyDescent="0.25">
      <c r="D375" s="117">
        <v>43199</v>
      </c>
      <c r="G375" s="118">
        <v>10480.6</v>
      </c>
    </row>
    <row r="376" spans="4:7" ht="14.4" x14ac:dyDescent="0.25">
      <c r="D376" s="117">
        <v>43192</v>
      </c>
      <c r="G376" s="118">
        <v>10331.6</v>
      </c>
    </row>
    <row r="377" spans="4:7" ht="14.4" x14ac:dyDescent="0.25">
      <c r="D377" s="117">
        <v>43185</v>
      </c>
      <c r="G377" s="118">
        <v>10113.700000000001</v>
      </c>
    </row>
    <row r="378" spans="4:7" ht="14.4" x14ac:dyDescent="0.25">
      <c r="D378" s="117">
        <v>43178</v>
      </c>
      <c r="G378" s="118">
        <v>9998.0499999999993</v>
      </c>
    </row>
    <row r="379" spans="4:7" ht="14.4" x14ac:dyDescent="0.25">
      <c r="D379" s="117">
        <v>43171</v>
      </c>
      <c r="G379" s="118">
        <v>10195.15</v>
      </c>
    </row>
    <row r="380" spans="4:7" ht="14.4" x14ac:dyDescent="0.25">
      <c r="D380" s="117">
        <v>43164</v>
      </c>
      <c r="G380" s="118">
        <v>10226.85</v>
      </c>
    </row>
    <row r="381" spans="4:7" ht="14.4" x14ac:dyDescent="0.25">
      <c r="D381" s="117">
        <v>43157</v>
      </c>
      <c r="G381" s="118">
        <v>10458.35</v>
      </c>
    </row>
    <row r="382" spans="4:7" ht="14.4" x14ac:dyDescent="0.25">
      <c r="D382" s="117">
        <v>43150</v>
      </c>
      <c r="G382" s="118">
        <v>10491.05</v>
      </c>
    </row>
    <row r="383" spans="4:7" ht="14.4" x14ac:dyDescent="0.25">
      <c r="D383" s="117">
        <v>43143</v>
      </c>
      <c r="G383" s="118">
        <v>10452.299999999999</v>
      </c>
    </row>
    <row r="384" spans="4:7" ht="14.4" x14ac:dyDescent="0.25">
      <c r="D384" s="117">
        <v>43136</v>
      </c>
      <c r="G384" s="118">
        <v>10454.950000000001</v>
      </c>
    </row>
    <row r="385" spans="4:7" ht="14.4" x14ac:dyDescent="0.25">
      <c r="D385" s="117">
        <v>43129</v>
      </c>
      <c r="G385" s="118">
        <v>10760.6</v>
      </c>
    </row>
    <row r="386" spans="4:7" ht="14.4" x14ac:dyDescent="0.25">
      <c r="D386" s="117">
        <v>43122</v>
      </c>
      <c r="G386" s="118">
        <v>11069.65</v>
      </c>
    </row>
    <row r="387" spans="4:7" ht="14.4" x14ac:dyDescent="0.25">
      <c r="D387" s="117">
        <v>43115</v>
      </c>
      <c r="G387" s="118">
        <v>10894.7</v>
      </c>
    </row>
    <row r="388" spans="4:7" ht="14.4" x14ac:dyDescent="0.25">
      <c r="D388" s="117">
        <v>43108</v>
      </c>
      <c r="G388" s="118">
        <v>10681.25</v>
      </c>
    </row>
    <row r="389" spans="4:7" ht="14.4" x14ac:dyDescent="0.25">
      <c r="D389" s="117">
        <v>43101</v>
      </c>
      <c r="G389" s="118">
        <v>10558.85</v>
      </c>
    </row>
    <row r="390" spans="4:7" ht="14.4" x14ac:dyDescent="0.25">
      <c r="D390" s="117">
        <v>43094</v>
      </c>
      <c r="G390" s="118">
        <v>10530.7</v>
      </c>
    </row>
    <row r="391" spans="4:7" ht="14.4" x14ac:dyDescent="0.25">
      <c r="D391" s="117">
        <v>43087</v>
      </c>
      <c r="G391" s="118">
        <v>10493</v>
      </c>
    </row>
    <row r="392" spans="4:7" ht="14.4" x14ac:dyDescent="0.25">
      <c r="D392" s="117">
        <v>43080</v>
      </c>
      <c r="G392" s="118">
        <v>10333.25</v>
      </c>
    </row>
    <row r="393" spans="4:7" ht="14.4" x14ac:dyDescent="0.25">
      <c r="D393" s="117">
        <v>43073</v>
      </c>
      <c r="G393" s="118">
        <v>10265.65</v>
      </c>
    </row>
    <row r="394" spans="4:7" ht="14.4" x14ac:dyDescent="0.25">
      <c r="D394" s="117">
        <v>43066</v>
      </c>
      <c r="G394" s="118">
        <v>10121.799999999999</v>
      </c>
    </row>
    <row r="395" spans="4:7" ht="14.4" x14ac:dyDescent="0.25">
      <c r="D395" s="117">
        <v>43059</v>
      </c>
      <c r="G395" s="118">
        <v>10389.700000000001</v>
      </c>
    </row>
    <row r="396" spans="4:7" ht="14.4" x14ac:dyDescent="0.25">
      <c r="D396" s="117">
        <v>43052</v>
      </c>
      <c r="G396" s="118">
        <v>10283.6</v>
      </c>
    </row>
    <row r="397" spans="4:7" ht="14.4" x14ac:dyDescent="0.25">
      <c r="D397" s="117">
        <v>43045</v>
      </c>
      <c r="G397" s="118">
        <v>10321.75</v>
      </c>
    </row>
    <row r="398" spans="4:7" ht="14.4" x14ac:dyDescent="0.25">
      <c r="D398" s="117">
        <v>43038</v>
      </c>
      <c r="G398" s="118">
        <v>10452.5</v>
      </c>
    </row>
    <row r="399" spans="4:7" ht="14.4" x14ac:dyDescent="0.25">
      <c r="D399" s="117">
        <v>43031</v>
      </c>
      <c r="G399" s="118">
        <v>10323.049999999999</v>
      </c>
    </row>
    <row r="400" spans="4:7" ht="14.4" x14ac:dyDescent="0.25">
      <c r="D400" s="117">
        <v>43024</v>
      </c>
      <c r="G400" s="118">
        <v>10146.549999999999</v>
      </c>
    </row>
    <row r="401" spans="4:7" ht="14.4" x14ac:dyDescent="0.25">
      <c r="D401" s="117">
        <v>43017</v>
      </c>
      <c r="G401" s="118">
        <v>10167.450000000001</v>
      </c>
    </row>
    <row r="402" spans="4:7" ht="14.4" x14ac:dyDescent="0.25">
      <c r="D402" s="117">
        <v>43010</v>
      </c>
      <c r="G402" s="118">
        <v>9979.7000000000007</v>
      </c>
    </row>
    <row r="403" spans="4:7" ht="14.4" x14ac:dyDescent="0.25">
      <c r="D403" s="117">
        <v>43003</v>
      </c>
      <c r="G403" s="118">
        <v>9788.6</v>
      </c>
    </row>
    <row r="404" spans="4:7" ht="14.4" x14ac:dyDescent="0.25">
      <c r="D404" s="117">
        <v>42996</v>
      </c>
      <c r="G404" s="118">
        <v>9964.4</v>
      </c>
    </row>
    <row r="405" spans="4:7" ht="14.4" x14ac:dyDescent="0.25">
      <c r="D405" s="117">
        <v>42989</v>
      </c>
      <c r="G405" s="118">
        <v>10085.4</v>
      </c>
    </row>
    <row r="406" spans="4:7" ht="14.4" x14ac:dyDescent="0.25">
      <c r="D406" s="117">
        <v>42982</v>
      </c>
      <c r="G406" s="118">
        <v>9934.7999999999993</v>
      </c>
    </row>
    <row r="407" spans="4:7" ht="14.4" x14ac:dyDescent="0.25">
      <c r="D407" s="117">
        <v>42975</v>
      </c>
      <c r="G407" s="118">
        <v>9974.4</v>
      </c>
    </row>
    <row r="408" spans="4:7" ht="14.4" x14ac:dyDescent="0.25">
      <c r="D408" s="117">
        <v>42968</v>
      </c>
      <c r="G408" s="118">
        <v>9857.0499999999993</v>
      </c>
    </row>
    <row r="409" spans="4:7" ht="14.4" x14ac:dyDescent="0.25">
      <c r="D409" s="117">
        <v>42961</v>
      </c>
      <c r="G409" s="118">
        <v>9837.4</v>
      </c>
    </row>
    <row r="410" spans="4:7" ht="14.4" x14ac:dyDescent="0.25">
      <c r="D410" s="117">
        <v>42954</v>
      </c>
      <c r="G410" s="118">
        <v>9710.7999999999993</v>
      </c>
    </row>
    <row r="411" spans="4:7" ht="14.4" x14ac:dyDescent="0.25">
      <c r="D411" s="117">
        <v>42947</v>
      </c>
      <c r="G411" s="118">
        <v>10066.4</v>
      </c>
    </row>
    <row r="412" spans="4:7" ht="14.4" x14ac:dyDescent="0.25">
      <c r="D412" s="117">
        <v>42940</v>
      </c>
      <c r="G412" s="118">
        <v>10014.5</v>
      </c>
    </row>
    <row r="413" spans="4:7" ht="14.4" x14ac:dyDescent="0.25">
      <c r="D413" s="117">
        <v>42933</v>
      </c>
      <c r="G413" s="118">
        <v>9915.25</v>
      </c>
    </row>
    <row r="414" spans="4:7" ht="14.4" x14ac:dyDescent="0.25">
      <c r="D414" s="117">
        <v>42926</v>
      </c>
      <c r="G414" s="118">
        <v>9886.35</v>
      </c>
    </row>
    <row r="415" spans="4:7" ht="14.4" x14ac:dyDescent="0.25">
      <c r="D415" s="117">
        <v>42919</v>
      </c>
      <c r="G415" s="118">
        <v>9665.7999999999993</v>
      </c>
    </row>
    <row r="416" spans="4:7" ht="14.4" x14ac:dyDescent="0.25">
      <c r="D416" s="117">
        <v>42912</v>
      </c>
      <c r="G416" s="118">
        <v>9520.9</v>
      </c>
    </row>
    <row r="417" spans="4:7" ht="14.4" x14ac:dyDescent="0.25">
      <c r="D417" s="117">
        <v>42905</v>
      </c>
      <c r="G417" s="118">
        <v>9574.9500000000007</v>
      </c>
    </row>
    <row r="418" spans="4:7" ht="14.4" x14ac:dyDescent="0.25">
      <c r="D418" s="117">
        <v>42898</v>
      </c>
      <c r="G418" s="118">
        <v>9588.0499999999993</v>
      </c>
    </row>
    <row r="419" spans="4:7" ht="14.4" x14ac:dyDescent="0.25">
      <c r="D419" s="117">
        <v>42891</v>
      </c>
      <c r="G419" s="118">
        <v>9668.25</v>
      </c>
    </row>
    <row r="420" spans="4:7" ht="14.4" x14ac:dyDescent="0.25">
      <c r="D420" s="117">
        <v>42884</v>
      </c>
      <c r="G420" s="118">
        <v>9653.5</v>
      </c>
    </row>
    <row r="421" spans="4:7" ht="14.4" x14ac:dyDescent="0.25">
      <c r="D421" s="117">
        <v>42877</v>
      </c>
      <c r="G421" s="118">
        <v>9595.1</v>
      </c>
    </row>
    <row r="422" spans="4:7" ht="14.4" x14ac:dyDescent="0.25">
      <c r="D422" s="117">
        <v>42870</v>
      </c>
      <c r="G422" s="118">
        <v>9427.9</v>
      </c>
    </row>
    <row r="423" spans="4:7" ht="14.4" x14ac:dyDescent="0.25">
      <c r="D423" s="117">
        <v>42863</v>
      </c>
      <c r="G423" s="118">
        <v>9400.9</v>
      </c>
    </row>
    <row r="424" spans="4:7" ht="14.4" x14ac:dyDescent="0.25">
      <c r="D424" s="117">
        <v>42856</v>
      </c>
      <c r="G424" s="118">
        <v>9285.2999999999993</v>
      </c>
    </row>
    <row r="425" spans="4:7" ht="14.4" x14ac:dyDescent="0.25">
      <c r="D425" s="117">
        <v>42849</v>
      </c>
      <c r="G425" s="118">
        <v>9304.0499999999993</v>
      </c>
    </row>
    <row r="426" spans="4:7" ht="14.4" x14ac:dyDescent="0.25">
      <c r="D426" s="117">
        <v>42842</v>
      </c>
      <c r="G426" s="118">
        <v>9119.4</v>
      </c>
    </row>
    <row r="427" spans="4:7" ht="14.4" x14ac:dyDescent="0.25">
      <c r="D427" s="117">
        <v>42835</v>
      </c>
      <c r="G427" s="118">
        <v>9150.7999999999993</v>
      </c>
    </row>
    <row r="428" spans="4:7" ht="14.4" x14ac:dyDescent="0.25">
      <c r="D428" s="117">
        <v>42828</v>
      </c>
      <c r="G428" s="118">
        <v>9198.2999999999993</v>
      </c>
    </row>
    <row r="429" spans="4:7" ht="14.4" x14ac:dyDescent="0.25">
      <c r="D429" s="117">
        <v>42821</v>
      </c>
      <c r="G429" s="118">
        <v>9173.75</v>
      </c>
    </row>
    <row r="430" spans="4:7" ht="14.4" x14ac:dyDescent="0.25">
      <c r="D430" s="117">
        <v>42814</v>
      </c>
      <c r="G430" s="118">
        <v>9108</v>
      </c>
    </row>
    <row r="431" spans="4:7" ht="14.4" x14ac:dyDescent="0.25">
      <c r="D431" s="117">
        <v>42807</v>
      </c>
      <c r="G431" s="118">
        <v>9160.0499999999993</v>
      </c>
    </row>
    <row r="432" spans="4:7" ht="14.4" x14ac:dyDescent="0.25">
      <c r="D432" s="117">
        <v>42800</v>
      </c>
      <c r="G432" s="118">
        <v>8934.5499999999993</v>
      </c>
    </row>
    <row r="433" spans="4:7" ht="14.4" x14ac:dyDescent="0.25">
      <c r="D433" s="117">
        <v>42793</v>
      </c>
      <c r="G433" s="118">
        <v>8897.5499999999993</v>
      </c>
    </row>
    <row r="434" spans="4:7" ht="14.4" x14ac:dyDescent="0.25">
      <c r="D434" s="117">
        <v>42786</v>
      </c>
      <c r="G434" s="118">
        <v>8939.5</v>
      </c>
    </row>
    <row r="435" spans="4:7" ht="14.4" x14ac:dyDescent="0.25">
      <c r="D435" s="117">
        <v>42779</v>
      </c>
      <c r="G435" s="118">
        <v>8821.7000000000007</v>
      </c>
    </row>
    <row r="436" spans="4:7" ht="14.4" x14ac:dyDescent="0.25">
      <c r="D436" s="117">
        <v>42772</v>
      </c>
      <c r="G436" s="118">
        <v>8793.5499999999993</v>
      </c>
    </row>
    <row r="437" spans="4:7" ht="14.4" x14ac:dyDescent="0.25">
      <c r="D437" s="117">
        <v>42765</v>
      </c>
      <c r="G437" s="118">
        <v>8740.9500000000007</v>
      </c>
    </row>
    <row r="438" spans="4:7" ht="14.4" x14ac:dyDescent="0.25">
      <c r="D438" s="117">
        <v>42758</v>
      </c>
      <c r="G438" s="118">
        <v>8641.25</v>
      </c>
    </row>
    <row r="439" spans="4:7" ht="14.4" x14ac:dyDescent="0.25">
      <c r="D439" s="117">
        <v>42751</v>
      </c>
      <c r="G439" s="118">
        <v>8349.35</v>
      </c>
    </row>
    <row r="440" spans="4:7" ht="14.4" x14ac:dyDescent="0.25">
      <c r="D440" s="117">
        <v>42744</v>
      </c>
      <c r="G440" s="118">
        <v>8400.35</v>
      </c>
    </row>
    <row r="441" spans="4:7" ht="14.4" x14ac:dyDescent="0.25">
      <c r="D441" s="117">
        <v>42737</v>
      </c>
      <c r="G441" s="118">
        <v>8243.7999999999993</v>
      </c>
    </row>
    <row r="442" spans="4:7" ht="14.4" x14ac:dyDescent="0.25">
      <c r="D442" s="117">
        <v>42730</v>
      </c>
      <c r="G442" s="118">
        <v>8185.8</v>
      </c>
    </row>
    <row r="443" spans="4:7" ht="14.4" x14ac:dyDescent="0.25">
      <c r="D443" s="117">
        <v>42723</v>
      </c>
      <c r="G443" s="118">
        <v>7985.75</v>
      </c>
    </row>
    <row r="444" spans="4:7" ht="14.4" x14ac:dyDescent="0.25">
      <c r="D444" s="117">
        <v>42716</v>
      </c>
      <c r="G444" s="118">
        <v>8139.45</v>
      </c>
    </row>
    <row r="445" spans="4:7" ht="14.4" x14ac:dyDescent="0.25">
      <c r="D445" s="117">
        <v>42709</v>
      </c>
      <c r="G445" s="118">
        <v>8261.75</v>
      </c>
    </row>
    <row r="446" spans="4:7" ht="14.4" x14ac:dyDescent="0.25">
      <c r="D446" s="117">
        <v>42702</v>
      </c>
      <c r="G446" s="118">
        <v>8086.8</v>
      </c>
    </row>
    <row r="447" spans="4:7" ht="14.4" x14ac:dyDescent="0.25">
      <c r="D447" s="117">
        <v>42695</v>
      </c>
      <c r="G447" s="118">
        <v>8114.3</v>
      </c>
    </row>
    <row r="448" spans="4:7" ht="14.4" x14ac:dyDescent="0.25">
      <c r="D448" s="117">
        <v>42688</v>
      </c>
      <c r="G448" s="118">
        <v>8074.1</v>
      </c>
    </row>
    <row r="449" spans="4:7" ht="14.4" x14ac:dyDescent="0.25">
      <c r="D449" s="117">
        <v>42681</v>
      </c>
      <c r="G449" s="118">
        <v>8296.2999999999993</v>
      </c>
    </row>
    <row r="450" spans="4:7" ht="14.4" x14ac:dyDescent="0.25">
      <c r="D450" s="117">
        <v>42674</v>
      </c>
      <c r="G450" s="118">
        <v>8433.75</v>
      </c>
    </row>
    <row r="451" spans="4:7" ht="14.4" x14ac:dyDescent="0.25">
      <c r="D451" s="117">
        <v>42667</v>
      </c>
      <c r="G451" s="118">
        <v>8638</v>
      </c>
    </row>
    <row r="452" spans="4:7" ht="14.4" x14ac:dyDescent="0.25">
      <c r="D452" s="117">
        <v>42660</v>
      </c>
      <c r="G452" s="118">
        <v>8693.0499999999993</v>
      </c>
    </row>
    <row r="453" spans="4:7" ht="14.4" x14ac:dyDescent="0.25">
      <c r="D453" s="117">
        <v>42653</v>
      </c>
      <c r="G453" s="118">
        <v>8583.4</v>
      </c>
    </row>
    <row r="454" spans="4:7" ht="14.4" x14ac:dyDescent="0.25">
      <c r="D454" s="117">
        <v>42646</v>
      </c>
      <c r="G454" s="118">
        <v>8697.6</v>
      </c>
    </row>
    <row r="455" spans="4:7" ht="14.4" x14ac:dyDescent="0.25">
      <c r="D455" s="117">
        <v>42639</v>
      </c>
      <c r="G455" s="118">
        <v>8611.15</v>
      </c>
    </row>
    <row r="456" spans="4:7" ht="14.4" x14ac:dyDescent="0.25">
      <c r="D456" s="117">
        <v>42632</v>
      </c>
      <c r="G456" s="118">
        <v>8831.5499999999993</v>
      </c>
    </row>
    <row r="457" spans="4:7" ht="14.4" x14ac:dyDescent="0.25">
      <c r="D457" s="117">
        <v>42625</v>
      </c>
      <c r="G457" s="118">
        <v>8779.85</v>
      </c>
    </row>
    <row r="458" spans="4:7" ht="14.4" x14ac:dyDescent="0.25">
      <c r="D458" s="117">
        <v>42618</v>
      </c>
      <c r="G458" s="118">
        <v>8866.7000000000007</v>
      </c>
    </row>
    <row r="459" spans="4:7" ht="14.4" x14ac:dyDescent="0.25">
      <c r="D459" s="117">
        <v>42611</v>
      </c>
      <c r="G459" s="118">
        <v>8809.65</v>
      </c>
    </row>
    <row r="460" spans="4:7" ht="14.4" x14ac:dyDescent="0.25">
      <c r="D460" s="117">
        <v>42604</v>
      </c>
      <c r="G460" s="118">
        <v>8572.5499999999993</v>
      </c>
    </row>
    <row r="461" spans="4:7" ht="14.4" x14ac:dyDescent="0.25">
      <c r="D461" s="117">
        <v>42597</v>
      </c>
      <c r="G461" s="118">
        <v>8666.9</v>
      </c>
    </row>
    <row r="462" spans="4:7" ht="14.4" x14ac:dyDescent="0.25">
      <c r="D462" s="117">
        <v>42590</v>
      </c>
      <c r="G462" s="118">
        <v>8592.15</v>
      </c>
    </row>
    <row r="463" spans="4:7" ht="14.4" x14ac:dyDescent="0.25">
      <c r="D463" s="117">
        <v>42583</v>
      </c>
      <c r="G463" s="118">
        <v>8683.15</v>
      </c>
    </row>
    <row r="464" spans="4:7" ht="14.4" x14ac:dyDescent="0.25">
      <c r="D464" s="117">
        <v>42576</v>
      </c>
      <c r="G464" s="118">
        <v>8638.5</v>
      </c>
    </row>
    <row r="465" spans="4:7" ht="14.4" x14ac:dyDescent="0.25">
      <c r="D465" s="117">
        <v>42569</v>
      </c>
      <c r="G465" s="118">
        <v>8541.2000000000007</v>
      </c>
    </row>
    <row r="466" spans="4:7" ht="14.4" x14ac:dyDescent="0.25">
      <c r="D466" s="117">
        <v>42562</v>
      </c>
      <c r="G466" s="118">
        <v>8541.4</v>
      </c>
    </row>
    <row r="467" spans="4:7" ht="14.4" x14ac:dyDescent="0.25">
      <c r="D467" s="117">
        <v>42555</v>
      </c>
      <c r="G467" s="118">
        <v>8323.2000000000007</v>
      </c>
    </row>
    <row r="468" spans="4:7" ht="14.4" x14ac:dyDescent="0.25">
      <c r="D468" s="117">
        <v>42548</v>
      </c>
      <c r="G468" s="118">
        <v>8328.35</v>
      </c>
    </row>
    <row r="469" spans="4:7" ht="14.4" x14ac:dyDescent="0.25">
      <c r="D469" s="117">
        <v>42541</v>
      </c>
      <c r="G469" s="118">
        <v>8088.6</v>
      </c>
    </row>
    <row r="470" spans="4:7" ht="14.4" x14ac:dyDescent="0.25">
      <c r="D470" s="117">
        <v>42534</v>
      </c>
      <c r="G470" s="118">
        <v>8170.2</v>
      </c>
    </row>
    <row r="471" spans="4:7" ht="14.4" x14ac:dyDescent="0.25">
      <c r="D471" s="117">
        <v>42527</v>
      </c>
      <c r="G471" s="118">
        <v>8170.05</v>
      </c>
    </row>
    <row r="472" spans="4:7" ht="14.4" x14ac:dyDescent="0.25">
      <c r="D472" s="117">
        <v>42520</v>
      </c>
      <c r="G472" s="118">
        <v>8220.7999999999993</v>
      </c>
    </row>
    <row r="473" spans="4:7" ht="14.4" x14ac:dyDescent="0.25">
      <c r="D473" s="117">
        <v>42513</v>
      </c>
      <c r="G473" s="118">
        <v>8156.65</v>
      </c>
    </row>
    <row r="474" spans="4:7" ht="14.4" x14ac:dyDescent="0.25">
      <c r="D474" s="117">
        <v>42506</v>
      </c>
      <c r="G474" s="118">
        <v>7749.7</v>
      </c>
    </row>
    <row r="475" spans="4:7" ht="14.4" x14ac:dyDescent="0.25">
      <c r="D475" s="117">
        <v>42499</v>
      </c>
      <c r="G475" s="118">
        <v>7814.9</v>
      </c>
    </row>
    <row r="476" spans="4:7" ht="14.4" x14ac:dyDescent="0.25">
      <c r="D476" s="117">
        <v>42492</v>
      </c>
      <c r="G476" s="118">
        <v>7733.45</v>
      </c>
    </row>
    <row r="477" spans="4:7" ht="14.4" x14ac:dyDescent="0.25">
      <c r="D477" s="117">
        <v>42485</v>
      </c>
      <c r="G477" s="118">
        <v>7849.8</v>
      </c>
    </row>
    <row r="478" spans="4:7" ht="14.4" x14ac:dyDescent="0.25">
      <c r="D478" s="117">
        <v>42478</v>
      </c>
      <c r="G478" s="118">
        <v>7899.3</v>
      </c>
    </row>
    <row r="479" spans="4:7" ht="14.4" x14ac:dyDescent="0.25">
      <c r="D479" s="117">
        <v>42471</v>
      </c>
      <c r="G479" s="118">
        <v>7850.45</v>
      </c>
    </row>
    <row r="480" spans="4:7" ht="14.4" x14ac:dyDescent="0.25">
      <c r="D480" s="117">
        <v>42464</v>
      </c>
      <c r="G480" s="118">
        <v>7555.2</v>
      </c>
    </row>
    <row r="481" spans="4:7" ht="14.4" x14ac:dyDescent="0.25">
      <c r="D481" s="117">
        <v>42457</v>
      </c>
      <c r="G481" s="118">
        <v>7713.05</v>
      </c>
    </row>
    <row r="482" spans="4:7" ht="14.4" x14ac:dyDescent="0.25">
      <c r="D482" s="117">
        <v>42450</v>
      </c>
      <c r="G482" s="118">
        <v>7716.5</v>
      </c>
    </row>
    <row r="483" spans="4:7" ht="14.4" x14ac:dyDescent="0.25">
      <c r="D483" s="117">
        <v>42443</v>
      </c>
      <c r="G483" s="118">
        <v>7604.35</v>
      </c>
    </row>
    <row r="484" spans="4:7" ht="14.4" x14ac:dyDescent="0.25">
      <c r="D484" s="117">
        <v>42436</v>
      </c>
      <c r="G484" s="118">
        <v>7510.2</v>
      </c>
    </row>
    <row r="485" spans="4:7" ht="14.4" x14ac:dyDescent="0.25">
      <c r="D485" s="117">
        <v>42429</v>
      </c>
      <c r="G485" s="118">
        <v>7485.35</v>
      </c>
    </row>
    <row r="486" spans="4:7" ht="14.4" x14ac:dyDescent="0.25">
      <c r="D486" s="117">
        <v>42422</v>
      </c>
      <c r="G486" s="118">
        <v>7029.75</v>
      </c>
    </row>
    <row r="487" spans="4:7" ht="14.4" x14ac:dyDescent="0.25">
      <c r="D487" s="117">
        <v>42415</v>
      </c>
      <c r="G487" s="118">
        <v>7210.75</v>
      </c>
    </row>
    <row r="488" spans="4:7" ht="14.4" x14ac:dyDescent="0.25">
      <c r="D488" s="117">
        <v>42408</v>
      </c>
      <c r="G488" s="118">
        <v>6980.95</v>
      </c>
    </row>
    <row r="489" spans="4:7" ht="14.4" x14ac:dyDescent="0.25">
      <c r="D489" s="117">
        <v>42401</v>
      </c>
      <c r="G489" s="118">
        <v>7489.1</v>
      </c>
    </row>
    <row r="490" spans="4:7" ht="14.4" x14ac:dyDescent="0.25">
      <c r="D490" s="117">
        <v>42394</v>
      </c>
      <c r="G490" s="118">
        <v>7563.55</v>
      </c>
    </row>
    <row r="491" spans="4:7" ht="14.4" x14ac:dyDescent="0.25">
      <c r="D491" s="117">
        <v>42387</v>
      </c>
      <c r="G491" s="118">
        <v>7422.45</v>
      </c>
    </row>
    <row r="492" spans="4:7" ht="14.4" x14ac:dyDescent="0.25">
      <c r="D492" s="117">
        <v>42380</v>
      </c>
      <c r="G492" s="118">
        <v>7437.8</v>
      </c>
    </row>
    <row r="493" spans="4:7" ht="14.4" x14ac:dyDescent="0.25">
      <c r="D493" s="117">
        <v>42373</v>
      </c>
      <c r="G493" s="118">
        <v>7601.35</v>
      </c>
    </row>
    <row r="494" spans="4:7" ht="14.4" x14ac:dyDescent="0.25">
      <c r="D494" s="117">
        <v>42366</v>
      </c>
      <c r="G494" s="118">
        <v>7946.35</v>
      </c>
    </row>
    <row r="495" spans="4:7" ht="14.4" x14ac:dyDescent="0.25">
      <c r="D495" s="117">
        <v>42359</v>
      </c>
      <c r="G495" s="118">
        <v>7861.05</v>
      </c>
    </row>
    <row r="496" spans="4:7" ht="14.4" x14ac:dyDescent="0.25">
      <c r="D496" s="117">
        <v>42352</v>
      </c>
      <c r="G496" s="118">
        <v>7761.95</v>
      </c>
    </row>
    <row r="497" spans="4:7" ht="14.4" x14ac:dyDescent="0.25">
      <c r="D497" s="117">
        <v>42345</v>
      </c>
      <c r="G497" s="118">
        <v>7610.45</v>
      </c>
    </row>
    <row r="498" spans="4:7" ht="14.4" x14ac:dyDescent="0.25">
      <c r="D498" s="117">
        <v>42338</v>
      </c>
      <c r="G498" s="118">
        <v>7781.9</v>
      </c>
    </row>
    <row r="499" spans="4:7" ht="14.4" x14ac:dyDescent="0.25">
      <c r="D499" s="117">
        <v>42331</v>
      </c>
      <c r="G499" s="118">
        <v>7942.7</v>
      </c>
    </row>
    <row r="500" spans="4:7" ht="14.4" x14ac:dyDescent="0.25">
      <c r="D500" s="117">
        <v>42324</v>
      </c>
      <c r="G500" s="118">
        <v>7856.55</v>
      </c>
    </row>
    <row r="501" spans="4:7" ht="14.4" x14ac:dyDescent="0.25">
      <c r="D501" s="117">
        <v>42317</v>
      </c>
      <c r="G501" s="118">
        <v>7762.25</v>
      </c>
    </row>
    <row r="502" spans="4:7" ht="14.4" x14ac:dyDescent="0.25">
      <c r="D502" s="117">
        <v>42310</v>
      </c>
      <c r="G502" s="118">
        <v>7954.3</v>
      </c>
    </row>
    <row r="503" spans="4:7" ht="14.4" x14ac:dyDescent="0.25">
      <c r="D503" s="117">
        <v>42303</v>
      </c>
      <c r="G503" s="118">
        <v>8065.8</v>
      </c>
    </row>
    <row r="504" spans="4:7" ht="14.4" x14ac:dyDescent="0.25">
      <c r="D504" s="117">
        <v>42296</v>
      </c>
      <c r="G504" s="118">
        <v>8295.4500000000007</v>
      </c>
    </row>
    <row r="505" spans="4:7" ht="14.4" x14ac:dyDescent="0.25">
      <c r="D505" s="117">
        <v>42289</v>
      </c>
      <c r="G505" s="118">
        <v>8238.15</v>
      </c>
    </row>
    <row r="506" spans="4:7" ht="14.4" x14ac:dyDescent="0.25">
      <c r="D506" s="117">
        <v>42282</v>
      </c>
      <c r="G506" s="118">
        <v>8189.7</v>
      </c>
    </row>
    <row r="507" spans="4:7" ht="14.4" x14ac:dyDescent="0.25">
      <c r="D507" s="117">
        <v>42275</v>
      </c>
      <c r="G507" s="118">
        <v>7950.9</v>
      </c>
    </row>
    <row r="508" spans="4:7" ht="14.4" x14ac:dyDescent="0.25">
      <c r="D508" s="117">
        <v>42268</v>
      </c>
      <c r="G508" s="118">
        <v>7868.5</v>
      </c>
    </row>
    <row r="509" spans="4:7" ht="14.4" x14ac:dyDescent="0.25">
      <c r="D509" s="117">
        <v>42261</v>
      </c>
      <c r="G509" s="118">
        <v>7981.9</v>
      </c>
    </row>
    <row r="510" spans="4:7" ht="14.4" x14ac:dyDescent="0.25">
      <c r="D510" s="117">
        <v>42254</v>
      </c>
      <c r="G510" s="118">
        <v>7789.3</v>
      </c>
    </row>
    <row r="511" spans="4:7" ht="14.4" x14ac:dyDescent="0.25">
      <c r="D511" s="117">
        <v>42247</v>
      </c>
      <c r="G511" s="118">
        <v>7655.05</v>
      </c>
    </row>
    <row r="512" spans="4:7" ht="14.4" x14ac:dyDescent="0.25">
      <c r="D512" s="117">
        <v>42240</v>
      </c>
      <c r="G512" s="118">
        <v>8001.95</v>
      </c>
    </row>
    <row r="513" spans="4:7" ht="14.4" x14ac:dyDescent="0.25">
      <c r="D513" s="117">
        <v>42233</v>
      </c>
      <c r="G513" s="118">
        <v>8299.9500000000007</v>
      </c>
    </row>
    <row r="514" spans="4:7" ht="14.4" x14ac:dyDescent="0.25">
      <c r="D514" s="117">
        <v>42226</v>
      </c>
      <c r="G514" s="118">
        <v>8518.5499999999993</v>
      </c>
    </row>
    <row r="515" spans="4:7" ht="14.4" x14ac:dyDescent="0.25">
      <c r="D515" s="117">
        <v>42219</v>
      </c>
      <c r="G515" s="118">
        <v>8564.6</v>
      </c>
    </row>
    <row r="516" spans="4:7" ht="14.4" x14ac:dyDescent="0.25">
      <c r="D516" s="117">
        <v>42212</v>
      </c>
      <c r="G516" s="118">
        <v>8532.85</v>
      </c>
    </row>
    <row r="517" spans="4:7" ht="14.4" x14ac:dyDescent="0.25">
      <c r="D517" s="117">
        <v>42205</v>
      </c>
      <c r="G517" s="118">
        <v>8521.5499999999993</v>
      </c>
    </row>
    <row r="518" spans="4:7" ht="14.4" x14ac:dyDescent="0.25">
      <c r="D518" s="117">
        <v>42198</v>
      </c>
      <c r="G518" s="118">
        <v>8609.85</v>
      </c>
    </row>
    <row r="519" spans="4:7" ht="14.4" x14ac:dyDescent="0.25">
      <c r="D519" s="117">
        <v>42191</v>
      </c>
      <c r="G519" s="118">
        <v>8360.5499999999993</v>
      </c>
    </row>
    <row r="520" spans="4:7" ht="14.4" x14ac:dyDescent="0.25">
      <c r="D520" s="117">
        <v>42184</v>
      </c>
      <c r="G520" s="118">
        <v>8484.9</v>
      </c>
    </row>
    <row r="521" spans="4:7" ht="14.4" x14ac:dyDescent="0.25">
      <c r="D521" s="117">
        <v>42177</v>
      </c>
      <c r="G521" s="118">
        <v>8381.1</v>
      </c>
    </row>
    <row r="522" spans="4:7" ht="14.4" x14ac:dyDescent="0.25">
      <c r="D522" s="117">
        <v>42170</v>
      </c>
      <c r="G522" s="118">
        <v>8224.9500000000007</v>
      </c>
    </row>
    <row r="523" spans="4:7" ht="14.4" x14ac:dyDescent="0.25">
      <c r="D523" s="117">
        <v>42163</v>
      </c>
      <c r="G523" s="118">
        <v>7982.9</v>
      </c>
    </row>
    <row r="524" spans="4:7" ht="14.4" x14ac:dyDescent="0.25">
      <c r="D524" s="117">
        <v>42156</v>
      </c>
      <c r="G524" s="118">
        <v>8114.7</v>
      </c>
    </row>
    <row r="525" spans="4:7" ht="14.4" x14ac:dyDescent="0.25">
      <c r="D525" s="117">
        <v>42149</v>
      </c>
      <c r="G525" s="118">
        <v>8433.65</v>
      </c>
    </row>
    <row r="526" spans="4:7" ht="14.4" x14ac:dyDescent="0.25">
      <c r="D526" s="117">
        <v>42142</v>
      </c>
      <c r="G526" s="118">
        <v>8458.9500000000007</v>
      </c>
    </row>
    <row r="527" spans="4:7" ht="14.4" x14ac:dyDescent="0.25">
      <c r="D527" s="117">
        <v>42135</v>
      </c>
      <c r="G527" s="118">
        <v>8262.35</v>
      </c>
    </row>
    <row r="528" spans="4:7" ht="14.4" x14ac:dyDescent="0.25">
      <c r="D528" s="117">
        <v>42128</v>
      </c>
      <c r="G528" s="118">
        <v>8191.5</v>
      </c>
    </row>
    <row r="529" spans="4:7" ht="14.4" x14ac:dyDescent="0.25">
      <c r="D529" s="117">
        <v>42121</v>
      </c>
      <c r="G529" s="118">
        <v>8181.5</v>
      </c>
    </row>
    <row r="530" spans="4:7" ht="14.4" x14ac:dyDescent="0.25">
      <c r="D530" s="117">
        <v>42114</v>
      </c>
      <c r="G530" s="118">
        <v>8305.25</v>
      </c>
    </row>
    <row r="531" spans="4:7" ht="14.4" x14ac:dyDescent="0.25">
      <c r="D531" s="117">
        <v>42107</v>
      </c>
      <c r="G531" s="118">
        <v>8606</v>
      </c>
    </row>
    <row r="532" spans="4:7" ht="14.4" x14ac:dyDescent="0.25">
      <c r="D532" s="117">
        <v>42100</v>
      </c>
      <c r="G532" s="118">
        <v>8780.35</v>
      </c>
    </row>
    <row r="533" spans="4:7" ht="14.4" x14ac:dyDescent="0.25">
      <c r="D533" s="117">
        <v>42093</v>
      </c>
      <c r="G533" s="118">
        <v>8586.25</v>
      </c>
    </row>
    <row r="534" spans="4:7" ht="14.4" x14ac:dyDescent="0.25">
      <c r="D534" s="117">
        <v>42086</v>
      </c>
      <c r="G534" s="118">
        <v>8341.4</v>
      </c>
    </row>
    <row r="535" spans="4:7" ht="14.4" x14ac:dyDescent="0.25">
      <c r="D535" s="117">
        <v>42079</v>
      </c>
      <c r="G535" s="118">
        <v>8570.9</v>
      </c>
    </row>
    <row r="536" spans="4:7" ht="14.4" x14ac:dyDescent="0.25">
      <c r="D536" s="117">
        <v>42072</v>
      </c>
      <c r="G536" s="118">
        <v>8647.75</v>
      </c>
    </row>
  </sheetData>
  <mergeCells count="1">
    <mergeCell ref="D4:G4"/>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187D0-523B-46FB-B4A9-E2052FAB753B}">
  <dimension ref="D4:R15"/>
  <sheetViews>
    <sheetView showGridLines="0" topLeftCell="B1" workbookViewId="0">
      <selection activeCell="Q12" sqref="Q12"/>
    </sheetView>
  </sheetViews>
  <sheetFormatPr defaultRowHeight="14.4" x14ac:dyDescent="0.3"/>
  <cols>
    <col min="1" max="3" width="1.33203125" customWidth="1"/>
    <col min="12" max="12" width="13.44140625" bestFit="1" customWidth="1"/>
    <col min="13" max="13" width="10.88671875" bestFit="1" customWidth="1"/>
  </cols>
  <sheetData>
    <row r="4" spans="4:18" ht="16.8" customHeight="1" x14ac:dyDescent="0.3">
      <c r="D4" s="378" t="s">
        <v>417</v>
      </c>
      <c r="E4" s="378"/>
      <c r="F4" s="378"/>
      <c r="G4" s="378"/>
      <c r="H4" s="378"/>
      <c r="I4" s="378"/>
      <c r="J4" s="378"/>
      <c r="K4" s="378"/>
      <c r="L4" s="378"/>
      <c r="M4" s="378"/>
      <c r="N4" s="378"/>
      <c r="O4" s="378"/>
      <c r="P4" s="378"/>
      <c r="Q4" s="378"/>
      <c r="R4" s="378"/>
    </row>
    <row r="7" spans="4:18" ht="15.6" x14ac:dyDescent="0.3">
      <c r="D7" s="429" t="s">
        <v>418</v>
      </c>
      <c r="E7" s="429"/>
      <c r="F7" s="429"/>
      <c r="G7" s="429"/>
      <c r="H7" s="429"/>
      <c r="I7" s="429"/>
      <c r="J7" s="429"/>
      <c r="K7" s="429"/>
      <c r="L7" s="429"/>
      <c r="M7" s="429"/>
      <c r="N7" s="429"/>
      <c r="O7" s="429"/>
      <c r="P7" s="429"/>
      <c r="Q7" s="429"/>
      <c r="R7" s="429"/>
    </row>
    <row r="8" spans="4:18" x14ac:dyDescent="0.3">
      <c r="H8" s="293"/>
      <c r="I8" s="293"/>
      <c r="J8" s="294"/>
      <c r="K8" s="294"/>
      <c r="L8" s="294"/>
      <c r="M8" s="298"/>
    </row>
    <row r="9" spans="4:18" x14ac:dyDescent="0.3">
      <c r="H9" s="293"/>
      <c r="I9" s="293"/>
      <c r="J9" s="295" t="s">
        <v>369</v>
      </c>
      <c r="K9" s="295" t="s">
        <v>419</v>
      </c>
      <c r="L9" s="295" t="s">
        <v>420</v>
      </c>
      <c r="M9" s="298" t="s">
        <v>424</v>
      </c>
    </row>
    <row r="10" spans="4:18" x14ac:dyDescent="0.3">
      <c r="I10" s="293" t="s">
        <v>421</v>
      </c>
      <c r="J10" s="296">
        <f>MAX(Comps!K21:K23)</f>
        <v>2033.4176451909325</v>
      </c>
      <c r="K10" s="296">
        <v>3638</v>
      </c>
      <c r="L10" s="296">
        <v>4171</v>
      </c>
      <c r="M10" s="296">
        <v>3280.8058817303113</v>
      </c>
    </row>
    <row r="11" spans="4:18" x14ac:dyDescent="0.3">
      <c r="I11" s="293" t="s">
        <v>421</v>
      </c>
      <c r="J11" s="296">
        <f>J10</f>
        <v>2033.4176451909325</v>
      </c>
      <c r="K11" s="296">
        <f>K10</f>
        <v>3638</v>
      </c>
      <c r="L11" s="296">
        <f>L10</f>
        <v>4171</v>
      </c>
      <c r="M11" s="296">
        <f>M10</f>
        <v>3280.8058817303113</v>
      </c>
    </row>
    <row r="12" spans="4:18" x14ac:dyDescent="0.3">
      <c r="I12" s="293" t="s">
        <v>422</v>
      </c>
      <c r="J12" s="296">
        <f>MIN(Comps!K21:K23)</f>
        <v>912.08182094374877</v>
      </c>
      <c r="K12" s="296">
        <v>2195</v>
      </c>
      <c r="L12" s="296">
        <v>2580</v>
      </c>
      <c r="M12" s="296">
        <v>1895.6939403145832</v>
      </c>
      <c r="P12" s="297"/>
    </row>
    <row r="13" spans="4:18" x14ac:dyDescent="0.3">
      <c r="I13" s="293" t="s">
        <v>422</v>
      </c>
      <c r="J13" s="296">
        <f>J12</f>
        <v>912.08182094374877</v>
      </c>
      <c r="K13" s="296">
        <f>K12</f>
        <v>2195</v>
      </c>
      <c r="L13" s="296">
        <f>L12</f>
        <v>2580</v>
      </c>
      <c r="M13" s="296">
        <f>M12</f>
        <v>1895.6939403145832</v>
      </c>
      <c r="P13" s="297"/>
    </row>
    <row r="15" spans="4:18" ht="15.6" x14ac:dyDescent="0.3">
      <c r="D15" s="429" t="s">
        <v>423</v>
      </c>
      <c r="E15" s="429"/>
      <c r="F15" s="429"/>
      <c r="G15" s="429"/>
      <c r="H15" s="429"/>
      <c r="I15" s="429"/>
      <c r="J15" s="429"/>
      <c r="K15" s="429"/>
      <c r="L15" s="429"/>
      <c r="M15" s="429"/>
      <c r="N15" s="429"/>
      <c r="O15" s="429"/>
      <c r="P15" s="429"/>
      <c r="Q15" s="429"/>
      <c r="R15" s="429"/>
    </row>
  </sheetData>
  <mergeCells count="3">
    <mergeCell ref="D4:R4"/>
    <mergeCell ref="D7:R7"/>
    <mergeCell ref="D15:R15"/>
  </mergeCells>
  <pageMargins left="0.7" right="0.7" top="0.75" bottom="0.75" header="0.3" footer="0.3"/>
  <ignoredErrors>
    <ignoredError sqref="J12" formula="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B7AFB-A7C0-41EF-8555-182B2A3679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Index</vt:lpstr>
      <vt:lpstr>Assumptions</vt:lpstr>
      <vt:lpstr>P&amp;L Inputs</vt:lpstr>
      <vt:lpstr>BS Inputs</vt:lpstr>
      <vt:lpstr>CF Inputs</vt:lpstr>
      <vt:lpstr>Revenue Buildup</vt:lpstr>
      <vt:lpstr>Cost Buildup</vt:lpstr>
      <vt:lpstr>Supporting Schedules</vt:lpstr>
      <vt:lpstr>Common Sizing Statement</vt:lpstr>
      <vt:lpstr>Income Statement</vt:lpstr>
      <vt:lpstr>Balance Sheet</vt:lpstr>
      <vt:lpstr>Cash Flow Statement</vt:lpstr>
      <vt:lpstr>DCF Valuation</vt:lpstr>
      <vt:lpstr>Comps</vt:lpstr>
      <vt:lpstr>Ratio Analysis</vt:lpstr>
      <vt:lpstr>Comps Data</vt:lpstr>
      <vt:lpstr>WACC</vt:lpstr>
      <vt:lpstr>Equity Beta</vt:lpstr>
      <vt:lpstr>Market Return</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22BBA10087 Sumit</dc:creator>
  <cp:lastModifiedBy>22BBA10087 Sumit</cp:lastModifiedBy>
  <dcterms:created xsi:type="dcterms:W3CDTF">2025-04-24T13:44:04Z</dcterms:created>
  <dcterms:modified xsi:type="dcterms:W3CDTF">2025-05-04T11:07:11Z</dcterms:modified>
</cp:coreProperties>
</file>